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trlProps/ctrlProp1.xml" ContentType="application/vnd.ms-excel.controlproperties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EsteLivro" defaultThemeVersion="124226"/>
  <mc:AlternateContent xmlns:mc="http://schemas.openxmlformats.org/markup-compatibility/2006">
    <mc:Choice Requires="x15">
      <x15ac:absPath xmlns:x15ac="http://schemas.microsoft.com/office/spreadsheetml/2010/11/ac" url="C:\Users\hp\Desktop\stata-guinebissau\economia\contas\"/>
    </mc:Choice>
  </mc:AlternateContent>
  <bookViews>
    <workbookView xWindow="0" yWindow="0" windowWidth="20490" windowHeight="7455" tabRatio="908"/>
  </bookViews>
  <sheets>
    <sheet name="ÍNDICE" sheetId="50" r:id="rId1"/>
    <sheet name="cash-Flow" sheetId="37" r:id="rId2"/>
    <sheet name="T.O.F.E" sheetId="15" r:id="rId3"/>
    <sheet name="cash-Flow(2)" sheetId="45" r:id="rId4"/>
    <sheet name="Tofe" sheetId="35" r:id="rId5"/>
    <sheet name="TofeVI" sheetId="48" r:id="rId6"/>
    <sheet name="Receitas (mensais)" sheetId="16" r:id="rId7"/>
    <sheet name="DGCI " sheetId="18" r:id="rId8"/>
    <sheet name="DGA" sheetId="23" r:id="rId9"/>
    <sheet name="Tofe Versão de controle" sheetId="49" r:id="rId10"/>
    <sheet name="LICENCA PESCA" sheetId="25" r:id="rId11"/>
    <sheet name="PNT" sheetId="20" r:id="rId12"/>
    <sheet name="Ordon-Dep" sheetId="2" r:id="rId13"/>
    <sheet name="Appui-Projets" sheetId="11" r:id="rId14"/>
    <sheet name="Appui-Bud" sheetId="10" r:id="rId15"/>
    <sheet name="Fin-Int" sheetId="6" r:id="rId16"/>
    <sheet name="Dettes" sheetId="22" r:id="rId17"/>
    <sheet name="ARRIERE" sheetId="21" r:id="rId18"/>
    <sheet name="LICENCAS TELEM. e OUTRAS " sheetId="24" r:id="rId19"/>
    <sheet name="OUT. PASSIVOS FINANC. -DIVERSOS" sheetId="28" r:id="rId20"/>
    <sheet name="Rend Diversos -Juros S P BCEAO" sheetId="29" r:id="rId21"/>
    <sheet name="Dividendos" sheetId="33" r:id="rId22"/>
    <sheet name="Multas e Penali-Apreensao Barco" sheetId="30" r:id="rId23"/>
    <sheet name="Plan1" sheetId="38" r:id="rId24"/>
    <sheet name="Recettes détaillées" sheetId="39" r:id="rId25"/>
    <sheet name="Charges, Classif. economique" sheetId="40" r:id="rId26"/>
    <sheet name="ANF, AF &amp; Passifs détaillés" sheetId="41" r:id="rId27"/>
    <sheet name="TOFE resumé MSFP2001" sheetId="42" r:id="rId28"/>
    <sheet name="Feuil2" sheetId="44" r:id="rId29"/>
    <sheet name="Plan2" sheetId="46" r:id="rId30"/>
    <sheet name="Plan3" sheetId="47" r:id="rId31"/>
  </sheets>
  <externalReferences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9">#REF!</definedName>
    <definedName name="\A" localSheetId="5">#REF!</definedName>
    <definedName name="\A">#REF!</definedName>
    <definedName name="\E" localSheetId="9">#REF!</definedName>
    <definedName name="\E" localSheetId="5">#REF!</definedName>
    <definedName name="\E">#REF!</definedName>
    <definedName name="\S" localSheetId="9">#REF!</definedName>
    <definedName name="\S" localSheetId="5">#REF!</definedName>
    <definedName name="\S">#REF!</definedName>
    <definedName name="__123Graph_A" hidden="1">[1]CPIINDEX!$O$263:$O$310</definedName>
    <definedName name="__123Graph_ACurrent" hidden="1">[1]CPIINDEX!$O$263:$O$310</definedName>
    <definedName name="__123Graph_B" hidden="1">[1]CPIINDEX!$S$263:$S$310</definedName>
    <definedName name="__123Graph_BCurrent" hidden="1">[1]CPIINDEX!$S$263:$S$310</definedName>
    <definedName name="__123Graph_C" localSheetId="9" hidden="1">[2]Work_sect!#REF!</definedName>
    <definedName name="__123Graph_C" localSheetId="5" hidden="1">[2]Work_sect!#REF!</definedName>
    <definedName name="__123Graph_C" hidden="1">[2]Work_sect!#REF!</definedName>
    <definedName name="__123Graph_D" localSheetId="9" hidden="1">[2]Work_sect!#REF!</definedName>
    <definedName name="__123Graph_D" localSheetId="5" hidden="1">[2]Work_sect!#REF!</definedName>
    <definedName name="__123Graph_D" hidden="1">[2]Work_sect!#REF!</definedName>
    <definedName name="__123Graph_E" localSheetId="9" hidden="1">[2]Work_sect!#REF!</definedName>
    <definedName name="__123Graph_E" localSheetId="5" hidden="1">[2]Work_sect!#REF!</definedName>
    <definedName name="__123Graph_E" hidden="1">[2]Work_sect!#REF!</definedName>
    <definedName name="__123Graph_F" localSheetId="9" hidden="1">[2]Work_sect!#REF!</definedName>
    <definedName name="__123Graph_F" localSheetId="5" hidden="1">[2]Work_sect!#REF!</definedName>
    <definedName name="__123Graph_F" hidden="1">[2]Work_sect!#REF!</definedName>
    <definedName name="__123Graph_X" hidden="1">[1]CPIINDEX!$B$263:$B$310</definedName>
    <definedName name="__123Graph_XCurrent" hidden="1">[1]CPIINDEX!$B$263:$B$310</definedName>
    <definedName name="_1__123Graph_AChart_1A" hidden="1">[1]CPIINDEX!$O$263:$O$310</definedName>
    <definedName name="_10__123Graph_XChart_3A" hidden="1">[1]CPIINDEX!$B$203:$B$310</definedName>
    <definedName name="_11__123Graph_XChart_4A" hidden="1">[1]CPIINDEX!$B$239:$B$298</definedName>
    <definedName name="_1981" localSheetId="3">#REF!</definedName>
    <definedName name="_1981" localSheetId="9">#REF!</definedName>
    <definedName name="_1981" localSheetId="5">#REF!</definedName>
    <definedName name="_1981">#REF!</definedName>
    <definedName name="_1982" localSheetId="3">#REF!</definedName>
    <definedName name="_1982" localSheetId="9">#REF!</definedName>
    <definedName name="_1982" localSheetId="5">#REF!</definedName>
    <definedName name="_1982">#REF!</definedName>
    <definedName name="_1983" localSheetId="3">#REF!</definedName>
    <definedName name="_1983" localSheetId="9">#REF!</definedName>
    <definedName name="_1983" localSheetId="5">#REF!</definedName>
    <definedName name="_1983">#REF!</definedName>
    <definedName name="_1984" localSheetId="3">#REF!</definedName>
    <definedName name="_1984" localSheetId="9">#REF!</definedName>
    <definedName name="_1984" localSheetId="5">#REF!</definedName>
    <definedName name="_1984">#REF!</definedName>
    <definedName name="_1985" localSheetId="3">#REF!</definedName>
    <definedName name="_1985" localSheetId="9">#REF!</definedName>
    <definedName name="_1985" localSheetId="5">#REF!</definedName>
    <definedName name="_1985">#REF!</definedName>
    <definedName name="_1986" localSheetId="3">#REF!</definedName>
    <definedName name="_1986" localSheetId="9">#REF!</definedName>
    <definedName name="_1986" localSheetId="5">#REF!</definedName>
    <definedName name="_1986">#REF!</definedName>
    <definedName name="_1987" localSheetId="3">#REF!</definedName>
    <definedName name="_1987" localSheetId="9">#REF!</definedName>
    <definedName name="_1987" localSheetId="5">#REF!</definedName>
    <definedName name="_1987">#REF!</definedName>
    <definedName name="_1988" localSheetId="3">#REF!</definedName>
    <definedName name="_1988" localSheetId="9">#REF!</definedName>
    <definedName name="_1988" localSheetId="5">#REF!</definedName>
    <definedName name="_1988">#REF!</definedName>
    <definedName name="_1989" localSheetId="3">#REF!</definedName>
    <definedName name="_1989" localSheetId="9">#REF!</definedName>
    <definedName name="_1989" localSheetId="5">#REF!</definedName>
    <definedName name="_1989">#REF!</definedName>
    <definedName name="_1990" localSheetId="3">#REF!</definedName>
    <definedName name="_1990" localSheetId="9">#REF!</definedName>
    <definedName name="_1990" localSheetId="5">#REF!</definedName>
    <definedName name="_1990">#REF!</definedName>
    <definedName name="_1991" localSheetId="3">#REF!</definedName>
    <definedName name="_1991" localSheetId="9">#REF!</definedName>
    <definedName name="_1991" localSheetId="5">#REF!</definedName>
    <definedName name="_1991">#REF!</definedName>
    <definedName name="_1992" localSheetId="3">#REF!</definedName>
    <definedName name="_1992" localSheetId="9">#REF!</definedName>
    <definedName name="_1992" localSheetId="5">#REF!</definedName>
    <definedName name="_1992">#REF!</definedName>
    <definedName name="_1993" localSheetId="3">#REF!</definedName>
    <definedName name="_1993" localSheetId="9">#REF!</definedName>
    <definedName name="_1993" localSheetId="5">#REF!</definedName>
    <definedName name="_1993">#REF!</definedName>
    <definedName name="_1994" localSheetId="3">#REF!</definedName>
    <definedName name="_1994" localSheetId="9">#REF!</definedName>
    <definedName name="_1994" localSheetId="5">#REF!</definedName>
    <definedName name="_1994">#REF!</definedName>
    <definedName name="_1995" localSheetId="3">#REF!</definedName>
    <definedName name="_1995" localSheetId="9">#REF!</definedName>
    <definedName name="_1995" localSheetId="5">#REF!</definedName>
    <definedName name="_1995">#REF!</definedName>
    <definedName name="_1996" localSheetId="3">#REF!</definedName>
    <definedName name="_1996" localSheetId="9">#REF!</definedName>
    <definedName name="_1996" localSheetId="5">#REF!</definedName>
    <definedName name="_1996">#REF!</definedName>
    <definedName name="_1997" localSheetId="3">#REF!</definedName>
    <definedName name="_1997" localSheetId="9">#REF!</definedName>
    <definedName name="_1997" localSheetId="5">#REF!</definedName>
    <definedName name="_1997">#REF!</definedName>
    <definedName name="_1998" localSheetId="3">#REF!</definedName>
    <definedName name="_1998" localSheetId="9">#REF!</definedName>
    <definedName name="_1998" localSheetId="5">#REF!</definedName>
    <definedName name="_1998">#REF!</definedName>
    <definedName name="_1999" localSheetId="3">#REF!</definedName>
    <definedName name="_1999" localSheetId="9">#REF!</definedName>
    <definedName name="_1999" localSheetId="5">#REF!</definedName>
    <definedName name="_1999">#REF!</definedName>
    <definedName name="_2__123Graph_AChart_2A" hidden="1">[1]CPIINDEX!$K$203:$K$304</definedName>
    <definedName name="_2000" localSheetId="3">#REF!</definedName>
    <definedName name="_2000" localSheetId="9">#REF!</definedName>
    <definedName name="_2000" localSheetId="5">#REF!</definedName>
    <definedName name="_2000">#REF!</definedName>
    <definedName name="_2001" localSheetId="3">#REF!</definedName>
    <definedName name="_2001" localSheetId="9">#REF!</definedName>
    <definedName name="_2001" localSheetId="5">#REF!</definedName>
    <definedName name="_2001">#REF!</definedName>
    <definedName name="_2002" localSheetId="3">#REF!</definedName>
    <definedName name="_2002" localSheetId="9">#REF!</definedName>
    <definedName name="_2002" localSheetId="5">#REF!</definedName>
    <definedName name="_2002">#REF!</definedName>
    <definedName name="_2003" localSheetId="3">#REF!</definedName>
    <definedName name="_2003" localSheetId="9">#REF!</definedName>
    <definedName name="_2003" localSheetId="5">#REF!</definedName>
    <definedName name="_2003">#REF!</definedName>
    <definedName name="_3__123Graph_AChart_3A" hidden="1">[1]CPIINDEX!$O$203:$O$304</definedName>
    <definedName name="_4__123Graph_AChart_4A" hidden="1">[1]CPIINDEX!$O$239:$O$298</definedName>
    <definedName name="_5__123Graph_BChart_1A" hidden="1">[1]CPIINDEX!$S$263:$S$310</definedName>
    <definedName name="_6__123Graph_BChart_3A" localSheetId="9" hidden="1">[1]CPIINDEX!#REF!</definedName>
    <definedName name="_6__123Graph_BChart_3A" localSheetId="5" hidden="1">[1]CPIINDEX!#REF!</definedName>
    <definedName name="_6__123Graph_BChart_3A" hidden="1">[1]CPIINDEX!#REF!</definedName>
    <definedName name="_7__123Graph_BChart_4A" localSheetId="9" hidden="1">[1]CPIINDEX!#REF!</definedName>
    <definedName name="_7__123Graph_BChart_4A" localSheetId="5" hidden="1">[1]CPIINDEX!#REF!</definedName>
    <definedName name="_7__123Graph_BChart_4A" hidden="1">[1]CPIINDEX!#REF!</definedName>
    <definedName name="_8__123Graph_XChart_1A" hidden="1">[1]CPIINDEX!$B$263:$B$310</definedName>
    <definedName name="_9__123Graph_XChart_2A" hidden="1">[1]CPIINDEX!$B$203:$B$310</definedName>
    <definedName name="_EXR1" localSheetId="9">#REF!</definedName>
    <definedName name="_EXR1" localSheetId="5">#REF!</definedName>
    <definedName name="_EXR1">#REF!</definedName>
    <definedName name="_EXR2" localSheetId="9">#REF!</definedName>
    <definedName name="_EXR2" localSheetId="5">#REF!</definedName>
    <definedName name="_EXR2">#REF!</definedName>
    <definedName name="_EXR3" localSheetId="9">#REF!</definedName>
    <definedName name="_EXR3" localSheetId="5">#REF!</definedName>
    <definedName name="_EXR3">#REF!</definedName>
    <definedName name="_Fill" localSheetId="3" hidden="1">#REF!</definedName>
    <definedName name="_Fill" localSheetId="9" hidden="1">#REF!</definedName>
    <definedName name="_Fill" localSheetId="5" hidden="1">#REF!</definedName>
    <definedName name="_Fill" hidden="1">#REF!</definedName>
    <definedName name="_hed3" localSheetId="9">[3]!Macro8</definedName>
    <definedName name="_hed3" localSheetId="5">[3]!Macro8</definedName>
    <definedName name="_hed3">[3]!Macro8</definedName>
    <definedName name="_hed4" localSheetId="9">[3]!_xlbgnm.mc2</definedName>
    <definedName name="_hed4" localSheetId="5">[3]!_xlbgnm.mc2</definedName>
    <definedName name="_hed4">[3]!_xlbgnm.mc2</definedName>
    <definedName name="_mc1" localSheetId="9">[3]!_xlbgnm.mc1</definedName>
    <definedName name="_mc1" localSheetId="5">[3]!_xlbgnm.mc1</definedName>
    <definedName name="_mc1">[3]!_xlbgnm.mc1</definedName>
    <definedName name="_mc2" localSheetId="9">[3]!_xlbgnm.mc2</definedName>
    <definedName name="_mc2" localSheetId="5">[3]!_xlbgnm.mc2</definedName>
    <definedName name="_mc2">[3]!_xlbgnm.mc2</definedName>
    <definedName name="_mc3" localSheetId="9">[3]!_xlbgnm.mc3</definedName>
    <definedName name="_mc3" localSheetId="5">[3]!_xlbgnm.mc3</definedName>
    <definedName name="_mc3">[3]!_xlbgnm.mc3</definedName>
    <definedName name="_Parse_Out" localSheetId="9" hidden="1">#REF!</definedName>
    <definedName name="_Parse_Out" localSheetId="5" hidden="1">#REF!</definedName>
    <definedName name="_Parse_Out" hidden="1">#REF!</definedName>
    <definedName name="_RED11" localSheetId="9">#REF!</definedName>
    <definedName name="_RED11" localSheetId="5">#REF!</definedName>
    <definedName name="_RED11">#REF!</definedName>
    <definedName name="_Regression_Out" localSheetId="9" hidden="1">#REF!</definedName>
    <definedName name="_Regression_Out" localSheetId="5" hidden="1">#REF!</definedName>
    <definedName name="_Regression_Out" hidden="1">#REF!</definedName>
    <definedName name="_Regression_X" localSheetId="9" hidden="1">#REF!</definedName>
    <definedName name="_Regression_X" localSheetId="5" hidden="1">#REF!</definedName>
    <definedName name="_Regression_X" hidden="1">#REF!</definedName>
    <definedName name="_Regression_Y" localSheetId="9" hidden="1">#REF!</definedName>
    <definedName name="_Regression_Y" localSheetId="5" hidden="1">#REF!</definedName>
    <definedName name="_Regression_Y" hidden="1">#REF!</definedName>
    <definedName name="_rge1" localSheetId="9">#REF!</definedName>
    <definedName name="_rge1" localSheetId="5">#REF!</definedName>
    <definedName name="_rge1">#REF!</definedName>
    <definedName name="_TAB3" localSheetId="9">[4]BoPSR!#REF!</definedName>
    <definedName name="_TAB3" localSheetId="5">[4]BoPSR!#REF!</definedName>
    <definedName name="_TAB3">[4]BoPSR!#REF!</definedName>
    <definedName name="_WT1" localSheetId="9">[2]Work_sect!#REF!</definedName>
    <definedName name="_WT1" localSheetId="5">[2]Work_sect!#REF!</definedName>
    <definedName name="_WT1">[2]Work_sect!#REF!</definedName>
    <definedName name="_WT5" localSheetId="9">[2]Work_sect!#REF!</definedName>
    <definedName name="_WT5" localSheetId="5">[2]Work_sect!#REF!</definedName>
    <definedName name="_WT5">[2]Work_sect!#REF!</definedName>
    <definedName name="_WT6" localSheetId="9">[2]Work_sect!#REF!</definedName>
    <definedName name="_WT6" localSheetId="5">[2]Work_sect!#REF!</definedName>
    <definedName name="_WT6">[2]Work_sect!#REF!</definedName>
    <definedName name="_WT7" localSheetId="9">[2]Work_sect!#REF!</definedName>
    <definedName name="_WT7" localSheetId="5">[2]Work_sect!#REF!</definedName>
    <definedName name="_WT7">[2]Work_sect!#REF!</definedName>
    <definedName name="ACTIVATE" localSheetId="9">#REF!</definedName>
    <definedName name="ACTIVATE" localSheetId="5">#REF!</definedName>
    <definedName name="ACTIVATE">#REF!</definedName>
    <definedName name="Adb" localSheetId="9">[5]terms!#REF!</definedName>
    <definedName name="Adb" localSheetId="5">[5]terms!#REF!</definedName>
    <definedName name="Adb">[5]terms!#REF!</definedName>
    <definedName name="Adf" localSheetId="9">[5]terms!#REF!</definedName>
    <definedName name="Adf" localSheetId="5">[5]terms!#REF!</definedName>
    <definedName name="Adf">[5]terms!#REF!</definedName>
    <definedName name="ALL" localSheetId="9">#REF!</definedName>
    <definedName name="ALL" localSheetId="5">#REF!</definedName>
    <definedName name="ALL">#REF!</definedName>
    <definedName name="amort">[6]info!$A$5:$AP$18</definedName>
    <definedName name="Amorti" localSheetId="9">[5]info!#REF!</definedName>
    <definedName name="Amorti" localSheetId="5">[5]info!#REF!</definedName>
    <definedName name="Amorti">[5]info!#REF!</definedName>
    <definedName name="_xlnm.Print_Area" localSheetId="14">'Appui-Bud'!$B$2:$S$48</definedName>
    <definedName name="_xlnm.Print_Area" localSheetId="17">ARRIERE!$B$2:$X$38</definedName>
    <definedName name="_xlnm.Print_Area" localSheetId="16">Dettes!$A$2:$F$55</definedName>
    <definedName name="_xlnm.Print_Area" localSheetId="8">DGA!$A$1:$Q$51</definedName>
    <definedName name="_xlnm.Print_Area" localSheetId="7">'DGCI '!$A$7:$S$110</definedName>
    <definedName name="_xlnm.Print_Area" localSheetId="15">'Fin-Int'!$A$48:$O$88</definedName>
    <definedName name="_xlnm.Print_Area" localSheetId="12">'Ordon-Dep'!$B$1:$Q$50</definedName>
    <definedName name="_xlnm.Print_Area" localSheetId="11">PNT!$A$1:$V$131</definedName>
    <definedName name="_xlnm.Print_Area" localSheetId="6">'Receitas (mensais)'!$C$8:$Q$382</definedName>
    <definedName name="_xlnm.Print_Area" localSheetId="2">T.O.F.E!$A$2:$H$140</definedName>
    <definedName name="_xlnm.Print_Area" localSheetId="4">Tofe!$B$1:$R$228</definedName>
    <definedName name="_xlnm.Print_Area" localSheetId="9">'Tofe Versão de controle'!$B$1:$U$390</definedName>
    <definedName name="_xlnm.Print_Area" localSheetId="5">TofeVI!$B$1:$X$387</definedName>
    <definedName name="_xlnm.Print_Area">'[7]Table 1'!#REF!</definedName>
    <definedName name="ASSBOP" localSheetId="9">[2]Work_sect!#REF!</definedName>
    <definedName name="ASSBOP" localSheetId="5">[2]Work_sect!#REF!</definedName>
    <definedName name="ASSBOP">[2]Work_sect!#REF!</definedName>
    <definedName name="ASSFISC" localSheetId="9">[2]Work_sect!#REF!</definedName>
    <definedName name="ASSFISC" localSheetId="5">[2]Work_sect!#REF!</definedName>
    <definedName name="ASSFISC">[2]Work_sect!#REF!</definedName>
    <definedName name="ASSGLOBAL" localSheetId="9">[2]Work_sect!#REF!</definedName>
    <definedName name="ASSGLOBAL" localSheetId="5">[2]Work_sect!#REF!</definedName>
    <definedName name="ASSGLOBAL">[2]Work_sect!#REF!</definedName>
    <definedName name="Assistance" localSheetId="9">#REF!</definedName>
    <definedName name="Assistance" localSheetId="5">#REF!</definedName>
    <definedName name="Assistance">#REF!</definedName>
    <definedName name="ASSMON" localSheetId="9">[2]Work_sect!#REF!</definedName>
    <definedName name="ASSMON" localSheetId="5">[2]Work_sect!#REF!</definedName>
    <definedName name="ASSMON">[2]Work_sect!#REF!</definedName>
    <definedName name="ASSSECTOR" localSheetId="9">[2]Work_sect!#REF!</definedName>
    <definedName name="ASSSECTOR" localSheetId="5">[2]Work_sect!#REF!</definedName>
    <definedName name="ASSSECTOR">[2]Work_sect!#REF!</definedName>
    <definedName name="ASSUMPB" localSheetId="9">[8]E!#REF!</definedName>
    <definedName name="ASSUMPB" localSheetId="5">[8]E!#REF!</definedName>
    <definedName name="ASSUMPB">[8]E!#REF!</definedName>
    <definedName name="ATS">[9]CIRRs!$C$77</definedName>
    <definedName name="Badea" localSheetId="9">[5]terms!#REF!</definedName>
    <definedName name="Badea" localSheetId="5">[5]terms!#REF!</definedName>
    <definedName name="Badea">[5]terms!#REF!</definedName>
    <definedName name="BaseYear">[10]Nominal!$A$4</definedName>
    <definedName name="BCA" localSheetId="9">'[11]WETA Data'!#REF!</definedName>
    <definedName name="BCA" localSheetId="5">'[11]WETA Data'!#REF!</definedName>
    <definedName name="BCA">'[11]WETA Data'!#REF!</definedName>
    <definedName name="BDEAC">[9]CIRRs!$C$70</definedName>
    <definedName name="BEA" localSheetId="9">'[11]WETA Data'!#REF!</definedName>
    <definedName name="BEA" localSheetId="5">'[11]WETA Data'!#REF!</definedName>
    <definedName name="BEA">'[11]WETA Data'!#REF!</definedName>
    <definedName name="BEABA" localSheetId="9">'[11]WETA Data'!#REF!</definedName>
    <definedName name="BEABA" localSheetId="5">'[11]WETA Data'!#REF!</definedName>
    <definedName name="BEABA">'[11]WETA Data'!#REF!</definedName>
    <definedName name="BEABI" localSheetId="9">'[11]WETA Data'!#REF!</definedName>
    <definedName name="BEABI" localSheetId="5">'[11]WETA Data'!#REF!</definedName>
    <definedName name="BEABI">'[11]WETA Data'!#REF!</definedName>
    <definedName name="BEAMU" localSheetId="9">'[11]WETA Data'!#REF!</definedName>
    <definedName name="BEAMU" localSheetId="5">'[11]WETA Data'!#REF!</definedName>
    <definedName name="BEAMU">'[11]WETA Data'!#REF!</definedName>
    <definedName name="BEC" localSheetId="3">#REF!</definedName>
    <definedName name="BEC" localSheetId="4">#REF!</definedName>
    <definedName name="BEC" localSheetId="9">#REF!</definedName>
    <definedName name="BEC" localSheetId="5">#REF!</definedName>
    <definedName name="BEC">#REF!</definedName>
    <definedName name="BEF">[9]CIRRs!$C$79</definedName>
    <definedName name="Bei" localSheetId="9">[5]terms!#REF!</definedName>
    <definedName name="Bei" localSheetId="5">[5]terms!#REF!</definedName>
    <definedName name="Bei">[5]terms!#REF!</definedName>
    <definedName name="BEO" localSheetId="9">'[11]WETA Data'!#REF!</definedName>
    <definedName name="BEO" localSheetId="5">'[11]WETA Data'!#REF!</definedName>
    <definedName name="BEO">'[11]WETA Data'!#REF!</definedName>
    <definedName name="BER" localSheetId="9">'[11]WETA Data'!#REF!</definedName>
    <definedName name="BER" localSheetId="5">'[11]WETA Data'!#REF!</definedName>
    <definedName name="BER">'[11]WETA Data'!#REF!</definedName>
    <definedName name="BERBA" localSheetId="9">'[11]WETA Data'!#REF!</definedName>
    <definedName name="BERBA" localSheetId="5">'[11]WETA Data'!#REF!</definedName>
    <definedName name="BERBA">'[11]WETA Data'!#REF!</definedName>
    <definedName name="BERBI" localSheetId="9">'[11]WETA Data'!#REF!</definedName>
    <definedName name="BERBI" localSheetId="5">'[11]WETA Data'!#REF!</definedName>
    <definedName name="BERBI">'[11]WETA Data'!#REF!</definedName>
    <definedName name="BF" localSheetId="9">'[11]WETA Data'!#REF!</definedName>
    <definedName name="BF" localSheetId="5">'[11]WETA Data'!#REF!</definedName>
    <definedName name="BF">'[11]WETA Data'!#REF!</definedName>
    <definedName name="BFD" localSheetId="9">'[11]WETA Data'!#REF!</definedName>
    <definedName name="BFD" localSheetId="5">'[11]WETA Data'!#REF!</definedName>
    <definedName name="BFD">'[11]WETA Data'!#REF!</definedName>
    <definedName name="BFDI" localSheetId="9">'[11]WETA Data'!#REF!</definedName>
    <definedName name="BFDI" localSheetId="5">'[11]WETA Data'!#REF!</definedName>
    <definedName name="BFDI">'[11]WETA Data'!#REF!</definedName>
    <definedName name="BFDL" localSheetId="9">#REF!</definedName>
    <definedName name="BFDL" localSheetId="5">#REF!</definedName>
    <definedName name="BFDL">#REF!</definedName>
    <definedName name="BFL" localSheetId="9">#REF!</definedName>
    <definedName name="BFL" localSheetId="5">#REF!</definedName>
    <definedName name="BFL">#REF!</definedName>
    <definedName name="BFL_C_G" localSheetId="9">'[11]WETA Data'!#REF!</definedName>
    <definedName name="BFL_C_G" localSheetId="5">'[11]WETA Data'!#REF!</definedName>
    <definedName name="BFL_C_G">'[11]WETA Data'!#REF!</definedName>
    <definedName name="BFL_C_P" localSheetId="9">'[11]WETA Data'!#REF!</definedName>
    <definedName name="BFL_C_P" localSheetId="5">'[11]WETA Data'!#REF!</definedName>
    <definedName name="BFL_C_P">'[11]WETA Data'!#REF!</definedName>
    <definedName name="BFL_CBA" localSheetId="9">'[11]WETA Data'!#REF!</definedName>
    <definedName name="BFL_CBA" localSheetId="5">'[11]WETA Data'!#REF!</definedName>
    <definedName name="BFL_CBA">'[11]WETA Data'!#REF!</definedName>
    <definedName name="BFL_CBI" localSheetId="9">'[11]WETA Data'!#REF!</definedName>
    <definedName name="BFL_CBI" localSheetId="5">'[11]WETA Data'!#REF!</definedName>
    <definedName name="BFL_CBI">'[11]WETA Data'!#REF!</definedName>
    <definedName name="BFL_CMU" localSheetId="9">'[11]WETA Data'!#REF!</definedName>
    <definedName name="BFL_CMU" localSheetId="5">'[11]WETA Data'!#REF!</definedName>
    <definedName name="BFL_CMU">'[11]WETA Data'!#REF!</definedName>
    <definedName name="BFL_D_G" localSheetId="9">'[11]WETA Data'!#REF!</definedName>
    <definedName name="BFL_D_G" localSheetId="5">'[11]WETA Data'!#REF!</definedName>
    <definedName name="BFL_D_G">'[11]WETA Data'!#REF!</definedName>
    <definedName name="BFL_D_P" localSheetId="9">'[11]WETA Data'!#REF!</definedName>
    <definedName name="BFL_D_P" localSheetId="5">'[11]WETA Data'!#REF!</definedName>
    <definedName name="BFL_D_P">'[11]WETA Data'!#REF!</definedName>
    <definedName name="BFL_DBA" localSheetId="9">'[11]WETA Data'!#REF!</definedName>
    <definedName name="BFL_DBA" localSheetId="5">'[11]WETA Data'!#REF!</definedName>
    <definedName name="BFL_DBA">'[11]WETA Data'!#REF!</definedName>
    <definedName name="BFL_DBI" localSheetId="9">'[11]WETA Data'!#REF!</definedName>
    <definedName name="BFL_DBI" localSheetId="5">'[11]WETA Data'!#REF!</definedName>
    <definedName name="BFL_DBI">'[11]WETA Data'!#REF!</definedName>
    <definedName name="BFL_DF" localSheetId="9">'[11]WETA Data'!#REF!</definedName>
    <definedName name="BFL_DF" localSheetId="5">'[11]WETA Data'!#REF!</definedName>
    <definedName name="BFL_DF">'[11]WETA Data'!#REF!</definedName>
    <definedName name="BFL_DMU" localSheetId="9">'[11]WETA Data'!#REF!</definedName>
    <definedName name="BFL_DMU" localSheetId="5">'[11]WETA Data'!#REF!</definedName>
    <definedName name="BFL_DMU">'[11]WETA Data'!#REF!</definedName>
    <definedName name="BFLB_DF" localSheetId="9">'[11]WETA Data'!#REF!</definedName>
    <definedName name="BFLB_DF" localSheetId="5">'[11]WETA Data'!#REF!</definedName>
    <definedName name="BFLB_DF">'[11]WETA Data'!#REF!</definedName>
    <definedName name="BFLBA" localSheetId="9">#REF!</definedName>
    <definedName name="BFLBA" localSheetId="5">#REF!</definedName>
    <definedName name="BFLBA">#REF!</definedName>
    <definedName name="BFLBI" localSheetId="9">#REF!</definedName>
    <definedName name="BFLBI" localSheetId="5">#REF!</definedName>
    <definedName name="BFLBI">#REF!</definedName>
    <definedName name="BFLMU" localSheetId="9">#REF!</definedName>
    <definedName name="BFLMU" localSheetId="5">#REF!</definedName>
    <definedName name="BFLMU">#REF!</definedName>
    <definedName name="BFLRES" localSheetId="9">'[11]WETA Data'!#REF!</definedName>
    <definedName name="BFLRES" localSheetId="5">'[11]WETA Data'!#REF!</definedName>
    <definedName name="BFLRES">'[11]WETA Data'!#REF!</definedName>
    <definedName name="BFO_S" localSheetId="9">'[11]WETA Data'!#REF!</definedName>
    <definedName name="BFO_S" localSheetId="5">'[11]WETA Data'!#REF!</definedName>
    <definedName name="BFO_S">'[11]WETA Data'!#REF!</definedName>
    <definedName name="BFOTH" localSheetId="9">'[11]WETA Data'!#REF!</definedName>
    <definedName name="BFOTH" localSheetId="5">'[11]WETA Data'!#REF!</definedName>
    <definedName name="BFOTH">'[11]WETA Data'!#REF!</definedName>
    <definedName name="BFPA" localSheetId="9">'[11]WETA Data'!#REF!</definedName>
    <definedName name="BFPA" localSheetId="5">'[11]WETA Data'!#REF!</definedName>
    <definedName name="BFPA">'[11]WETA Data'!#REF!</definedName>
    <definedName name="BFPL" localSheetId="9">'[11]WETA Data'!#REF!</definedName>
    <definedName name="BFPL" localSheetId="5">'[11]WETA Data'!#REF!</definedName>
    <definedName name="BFPL">'[11]WETA Data'!#REF!</definedName>
    <definedName name="BFPQ" localSheetId="9">#REF!</definedName>
    <definedName name="BFPQ" localSheetId="5">#REF!</definedName>
    <definedName name="BFPQ">#REF!</definedName>
    <definedName name="BFRA" localSheetId="9">'[11]WETA Data'!#REF!</definedName>
    <definedName name="BFRA" localSheetId="5">'[11]WETA Data'!#REF!</definedName>
    <definedName name="BFRA">'[11]WETA Data'!#REF!</definedName>
    <definedName name="BFUND" localSheetId="9">'[11]WETA Data'!#REF!</definedName>
    <definedName name="BFUND" localSheetId="5">'[11]WETA Data'!#REF!</definedName>
    <definedName name="BFUND">'[11]WETA Data'!#REF!</definedName>
    <definedName name="BK" localSheetId="9">'[11]WETA Data'!#REF!</definedName>
    <definedName name="BK" localSheetId="5">'[11]WETA Data'!#REF!</definedName>
    <definedName name="BK">'[11]WETA Data'!#REF!</definedName>
    <definedName name="BKF" localSheetId="9">'[11]WETA Data'!#REF!</definedName>
    <definedName name="BKF" localSheetId="5">'[11]WETA Data'!#REF!</definedName>
    <definedName name="BKF">'[11]WETA Data'!#REF!</definedName>
    <definedName name="BKFBA" localSheetId="9">'[11]WETA Data'!#REF!</definedName>
    <definedName name="BKFBA" localSheetId="5">'[11]WETA Data'!#REF!</definedName>
    <definedName name="BKFBA">'[11]WETA Data'!#REF!</definedName>
    <definedName name="BKFBI" localSheetId="9">'[11]WETA Data'!#REF!</definedName>
    <definedName name="BKFBI" localSheetId="5">'[11]WETA Data'!#REF!</definedName>
    <definedName name="BKFBI">'[11]WETA Data'!#REF!</definedName>
    <definedName name="BKFMU" localSheetId="9">'[11]WETA Data'!#REF!</definedName>
    <definedName name="BKFMU" localSheetId="5">'[11]WETA Data'!#REF!</definedName>
    <definedName name="BKFMU">'[11]WETA Data'!#REF!</definedName>
    <definedName name="BMG" localSheetId="9">'[11]WETA Data'!#REF!</definedName>
    <definedName name="BMG" localSheetId="5">'[11]WETA Data'!#REF!</definedName>
    <definedName name="BMG">'[11]WETA Data'!#REF!</definedName>
    <definedName name="BMI" localSheetId="9">'[11]WETA Data'!#REF!</definedName>
    <definedName name="BMI" localSheetId="5">'[11]WETA Data'!#REF!</definedName>
    <definedName name="BMI">'[11]WETA Data'!#REF!</definedName>
    <definedName name="BMII_G" localSheetId="9">'[11]WETA Data'!#REF!</definedName>
    <definedName name="BMII_G" localSheetId="5">'[11]WETA Data'!#REF!</definedName>
    <definedName name="BMII_G">'[11]WETA Data'!#REF!</definedName>
    <definedName name="BMII_P" localSheetId="9">'[11]WETA Data'!#REF!</definedName>
    <definedName name="BMII_P" localSheetId="5">'[11]WETA Data'!#REF!</definedName>
    <definedName name="BMII_P">'[11]WETA Data'!#REF!</definedName>
    <definedName name="BMIIBA" localSheetId="9">'[11]WETA Data'!#REF!</definedName>
    <definedName name="BMIIBA" localSheetId="5">'[11]WETA Data'!#REF!</definedName>
    <definedName name="BMIIBA">'[11]WETA Data'!#REF!</definedName>
    <definedName name="BMIIBI" localSheetId="9">'[11]WETA Data'!#REF!</definedName>
    <definedName name="BMIIBI" localSheetId="5">'[11]WETA Data'!#REF!</definedName>
    <definedName name="BMIIBI">'[11]WETA Data'!#REF!</definedName>
    <definedName name="BMIIMU" localSheetId="9">'[11]WETA Data'!#REF!</definedName>
    <definedName name="BMIIMU" localSheetId="5">'[11]WETA Data'!#REF!</definedName>
    <definedName name="BMIIMU">'[11]WETA Data'!#REF!</definedName>
    <definedName name="BMS" localSheetId="9">'[11]WETA Data'!#REF!</definedName>
    <definedName name="BMS" localSheetId="5">'[11]WETA Data'!#REF!</definedName>
    <definedName name="BMS">'[11]WETA Data'!#REF!</definedName>
    <definedName name="BNEO" localSheetId="9">'[11]WETA Data'!#REF!</definedName>
    <definedName name="BNEO" localSheetId="5">'[11]WETA Data'!#REF!</definedName>
    <definedName name="BNEO">'[11]WETA Data'!#REF!</definedName>
    <definedName name="BO" localSheetId="9">#REF!</definedName>
    <definedName name="BO" localSheetId="5">#REF!</definedName>
    <definedName name="BO">#REF!</definedName>
    <definedName name="BOP" localSheetId="9">[4]BoPSR!#REF!</definedName>
    <definedName name="BOP" localSheetId="5">[4]BoPSR!#REF!</definedName>
    <definedName name="BOP">[4]BoPSR!#REF!</definedName>
    <definedName name="BOPF" localSheetId="9">#REF!</definedName>
    <definedName name="BOPF" localSheetId="5">#REF!</definedName>
    <definedName name="BOPF">#REF!</definedName>
    <definedName name="BTRG" localSheetId="9">'[11]WETA Data'!#REF!</definedName>
    <definedName name="BTRG" localSheetId="5">'[11]WETA Data'!#REF!</definedName>
    <definedName name="BTRG">'[11]WETA Data'!#REF!</definedName>
    <definedName name="BTRP" localSheetId="9">'[11]WETA Data'!#REF!</definedName>
    <definedName name="BTRP" localSheetId="5">'[11]WETA Data'!#REF!</definedName>
    <definedName name="BTRP">'[11]WETA Data'!#REF!</definedName>
    <definedName name="BXG" localSheetId="9">'[11]WETA Data'!#REF!</definedName>
    <definedName name="BXG" localSheetId="5">'[11]WETA Data'!#REF!</definedName>
    <definedName name="BXG">'[11]WETA Data'!#REF!</definedName>
    <definedName name="BXI" localSheetId="9">'[11]WETA Data'!#REF!</definedName>
    <definedName name="BXI" localSheetId="5">'[11]WETA Data'!#REF!</definedName>
    <definedName name="BXI">'[11]WETA Data'!#REF!</definedName>
    <definedName name="BXS" localSheetId="9">'[11]WETA Data'!#REF!</definedName>
    <definedName name="BXS" localSheetId="5">'[11]WETA Data'!#REF!</definedName>
    <definedName name="BXS">'[11]WETA Data'!#REF!</definedName>
    <definedName name="CAD">[9]CIRRs!$C$80</definedName>
    <definedName name="Cal" localSheetId="3">#REF!</definedName>
    <definedName name="Cal" localSheetId="9">#REF!</definedName>
    <definedName name="Cal" localSheetId="5">#REF!</definedName>
    <definedName name="Cal">#REF!</definedName>
    <definedName name="ccc" localSheetId="3">#REF!</definedName>
    <definedName name="ccc" localSheetId="9">#REF!</definedName>
    <definedName name="ccc" localSheetId="5">#REF!</definedName>
    <definedName name="ccc">#REF!</definedName>
    <definedName name="CFA">[9]CIRRs!$C$81</definedName>
    <definedName name="CHF">[9]CIRRs!$C$82</definedName>
    <definedName name="cirr" localSheetId="9">#REF!</definedName>
    <definedName name="cirr" localSheetId="5">#REF!</definedName>
    <definedName name="cirr">#REF!</definedName>
    <definedName name="CNY" localSheetId="3">#REF!</definedName>
    <definedName name="CNY" localSheetId="4">#REF!</definedName>
    <definedName name="CNY" localSheetId="9">#REF!</definedName>
    <definedName name="CNY" localSheetId="5">#REF!</definedName>
    <definedName name="CNY">#REF!</definedName>
    <definedName name="codigo" localSheetId="8">#REF!</definedName>
    <definedName name="codigo" localSheetId="7">#REF!</definedName>
    <definedName name="codigo" localSheetId="6">#REF!</definedName>
    <definedName name="codigo" localSheetId="9">#REF!</definedName>
    <definedName name="codigo" localSheetId="5">#REF!</definedName>
    <definedName name="codigo">#REF!</definedName>
    <definedName name="COUNT" localSheetId="9">#REF!</definedName>
    <definedName name="COUNT" localSheetId="5">#REF!</definedName>
    <definedName name="COUNT">#REF!</definedName>
    <definedName name="COUNTER" localSheetId="9">#REF!</definedName>
    <definedName name="COUNTER" localSheetId="5">#REF!</definedName>
    <definedName name="COUNTER">#REF!</definedName>
    <definedName name="CountryName">[10]Nominal!$A$6</definedName>
    <definedName name="CurrVintage">'[12]A Current Data'!$D$60</definedName>
    <definedName name="D_G" localSheetId="9">'[11]WETA Data'!#REF!</definedName>
    <definedName name="D_G" localSheetId="5">'[11]WETA Data'!#REF!</definedName>
    <definedName name="D_G">'[11]WETA Data'!#REF!</definedName>
    <definedName name="D_P" localSheetId="9">'[11]WETA Data'!#REF!</definedName>
    <definedName name="D_P" localSheetId="5">'[11]WETA Data'!#REF!</definedName>
    <definedName name="D_P">'[11]WETA Data'!#REF!</definedName>
    <definedName name="D_S" localSheetId="9">'[11]WETA Data'!#REF!</definedName>
    <definedName name="D_S" localSheetId="5">'[11]WETA Data'!#REF!</definedName>
    <definedName name="D_S">'[11]WETA Data'!#REF!</definedName>
    <definedName name="DA" localSheetId="9">'[11]WETA Data'!#REF!</definedName>
    <definedName name="DA" localSheetId="5">'[11]WETA Data'!#REF!</definedName>
    <definedName name="DA">'[11]WETA Data'!#REF!</definedName>
    <definedName name="DABA" localSheetId="9">'[11]WETA Data'!#REF!</definedName>
    <definedName name="DABA" localSheetId="5">'[11]WETA Data'!#REF!</definedName>
    <definedName name="DABA">'[11]WETA Data'!#REF!</definedName>
    <definedName name="DABI" localSheetId="9">'[11]WETA Data'!#REF!</definedName>
    <definedName name="DABI" localSheetId="5">'[11]WETA Data'!#REF!</definedName>
    <definedName name="DABI">'[11]WETA Data'!#REF!</definedName>
    <definedName name="DAMU" localSheetId="9">'[11]WETA Data'!#REF!</definedName>
    <definedName name="DAMU" localSheetId="5">'[11]WETA Data'!#REF!</definedName>
    <definedName name="DAMU">'[11]WETA Data'!#REF!</definedName>
    <definedName name="DatasContas" localSheetId="9">[13]ContasEcobank!#REF!</definedName>
    <definedName name="DatasContas" localSheetId="5">[13]ContasEcobank!#REF!</definedName>
    <definedName name="DatasContas">[13]ContasEcobank!#REF!</definedName>
    <definedName name="Date" localSheetId="3">#REF!</definedName>
    <definedName name="Date" localSheetId="9">#REF!</definedName>
    <definedName name="Date" localSheetId="5">#REF!</definedName>
    <definedName name="Date">#REF!</definedName>
    <definedName name="dates" localSheetId="3">#REF!</definedName>
    <definedName name="dates" localSheetId="9">#REF!</definedName>
    <definedName name="dates" localSheetId="5">#REF!</definedName>
    <definedName name="dates">#REF!</definedName>
    <definedName name="DATESIA" localSheetId="9">[14]BIGB!#REF!</definedName>
    <definedName name="DATESIA" localSheetId="5">[14]BIGB!#REF!</definedName>
    <definedName name="DATESIA">[14]BIGB!#REF!</definedName>
    <definedName name="DATESIM" localSheetId="9">[14]BIGB!#REF!</definedName>
    <definedName name="DATESIM" localSheetId="5">[14]BIGB!#REF!</definedName>
    <definedName name="DATESIM">[14]BIGB!#REF!</definedName>
    <definedName name="DATESIQ" localSheetId="9">[14]BIGB!#REF!</definedName>
    <definedName name="DATESIQ" localSheetId="5">[14]BIGB!#REF!</definedName>
    <definedName name="DATESIQ">[14]BIGB!#REF!</definedName>
    <definedName name="DATESJA" localSheetId="9">#REF!</definedName>
    <definedName name="DATESJA" localSheetId="5">#REF!</definedName>
    <definedName name="DATESJA">#REF!</definedName>
    <definedName name="DATESJQ" localSheetId="9">#REF!</definedName>
    <definedName name="DATESJQ" localSheetId="5">#REF!</definedName>
    <definedName name="DATESJQ">#REF!</definedName>
    <definedName name="DBA" localSheetId="9">'[11]WETA Data'!#REF!</definedName>
    <definedName name="DBA" localSheetId="5">'[11]WETA Data'!#REF!</definedName>
    <definedName name="DBA">'[11]WETA Data'!#REF!</definedName>
    <definedName name="DBI" localSheetId="9">'[11]WETA Data'!#REF!</definedName>
    <definedName name="DBI" localSheetId="5">'[11]WETA Data'!#REF!</definedName>
    <definedName name="DBI">'[11]WETA Data'!#REF!</definedName>
    <definedName name="DDR" localSheetId="9">'[11]WETA Data'!#REF!</definedName>
    <definedName name="DDR" localSheetId="5">'[11]WETA Data'!#REF!</definedName>
    <definedName name="DDR">'[11]WETA Data'!#REF!</definedName>
    <definedName name="DDRBA" localSheetId="9">'[11]WETA Data'!#REF!</definedName>
    <definedName name="DDRBA" localSheetId="5">'[11]WETA Data'!#REF!</definedName>
    <definedName name="DDRBA">'[11]WETA Data'!#REF!</definedName>
    <definedName name="DEM">[9]CIRRs!$C$84</definedName>
    <definedName name="Department">[10]Nominal!$B$2</definedName>
    <definedName name="DiscountRate" localSheetId="9">#REF!</definedName>
    <definedName name="DiscountRate" localSheetId="5">#REF!</definedName>
    <definedName name="DiscountRate">#REF!</definedName>
    <definedName name="DKK" localSheetId="3">#REF!</definedName>
    <definedName name="DKK" localSheetId="4">#REF!</definedName>
    <definedName name="DKK" localSheetId="9">#REF!</definedName>
    <definedName name="DKK" localSheetId="5">#REF!</definedName>
    <definedName name="DKK">#REF!</definedName>
    <definedName name="DM" localSheetId="3">#REF!</definedName>
    <definedName name="DM" localSheetId="4">#REF!</definedName>
    <definedName name="DM" localSheetId="9">#REF!</definedName>
    <definedName name="DM" localSheetId="5">#REF!</definedName>
    <definedName name="DM">#REF!</definedName>
    <definedName name="DMU" localSheetId="9">'[11]WETA Data'!#REF!</definedName>
    <definedName name="DMU" localSheetId="5">'[11]WETA Data'!#REF!</definedName>
    <definedName name="DMU">'[11]WETA Data'!#REF!</definedName>
    <definedName name="dr" localSheetId="9">#REF!</definedName>
    <definedName name="dr" localSheetId="5">#REF!</definedName>
    <definedName name="dr">#REF!</definedName>
    <definedName name="dsaout" localSheetId="9">#REF!</definedName>
    <definedName name="dsaout" localSheetId="5">#REF!</definedName>
    <definedName name="dsaout">#REF!</definedName>
    <definedName name="DTS" localSheetId="3">#REF!</definedName>
    <definedName name="DTS" localSheetId="4">#REF!</definedName>
    <definedName name="DTS" localSheetId="9">#REF!</definedName>
    <definedName name="DTS" localSheetId="5">#REF!</definedName>
    <definedName name="DTS">#REF!</definedName>
    <definedName name="dummy" localSheetId="3">#REF!</definedName>
    <definedName name="dummy" localSheetId="9">#REF!</definedName>
    <definedName name="dummy" localSheetId="5">#REF!</definedName>
    <definedName name="dummy">#REF!</definedName>
    <definedName name="Ecowas" localSheetId="9">[5]terms!#REF!</definedName>
    <definedName name="Ecowas" localSheetId="5">[5]terms!#REF!</definedName>
    <definedName name="Ecowas">[5]terms!#REF!</definedName>
    <definedName name="ECU" localSheetId="3">#REF!</definedName>
    <definedName name="ECU" localSheetId="4">#REF!</definedName>
    <definedName name="ECU" localSheetId="9">#REF!</definedName>
    <definedName name="ECU" localSheetId="5">#REF!</definedName>
    <definedName name="ECU">#REF!</definedName>
    <definedName name="EIB">[9]CIRRs!$C$61</definedName>
    <definedName name="ENDA" localSheetId="9">'[11]WETA Data'!#REF!</definedName>
    <definedName name="ENDA" localSheetId="5">'[11]WETA Data'!#REF!</definedName>
    <definedName name="ENDA">'[11]WETA Data'!#REF!</definedName>
    <definedName name="ENDA_PR" localSheetId="9">'[11]WETA Data'!#REF!</definedName>
    <definedName name="ENDA_PR" localSheetId="5">'[11]WETA Data'!#REF!</definedName>
    <definedName name="ENDA_PR">'[11]WETA Data'!#REF!</definedName>
    <definedName name="ENDE" localSheetId="9">'[11]WETA Data'!#REF!</definedName>
    <definedName name="ENDE" localSheetId="5">'[11]WETA Data'!#REF!</definedName>
    <definedName name="ENDE">'[11]WETA Data'!#REF!</definedName>
    <definedName name="EPA" localSheetId="3">#REF!</definedName>
    <definedName name="EPA" localSheetId="4">'[15]1996'!#REF!</definedName>
    <definedName name="EPA" localSheetId="9">'[15]1996'!#REF!</definedName>
    <definedName name="EPA" localSheetId="5">'[15]1996'!#REF!</definedName>
    <definedName name="EPA">#REF!</definedName>
    <definedName name="ergferger" localSheetId="17" hidden="1">{"Main Economic Indicators",#N/A,FALSE,"C"}</definedName>
    <definedName name="ergferger" localSheetId="3" hidden="1">{"Main Economic Indicators",#N/A,FALSE,"C"}</definedName>
    <definedName name="ergferger" localSheetId="16" hidden="1">{"Main Economic Indicators",#N/A,FALSE,"C"}</definedName>
    <definedName name="ergferger" localSheetId="8" hidden="1">{"Main Economic Indicators",#N/A,FALSE,"C"}</definedName>
    <definedName name="ergferger" localSheetId="7" hidden="1">{"Main Economic Indicators",#N/A,FALSE,"C"}</definedName>
    <definedName name="ergferger" localSheetId="21" hidden="1">{"Main Economic Indicators",#N/A,FALSE,"C"}</definedName>
    <definedName name="ergferger" localSheetId="10" hidden="1">{"Main Economic Indicators",#N/A,FALSE,"C"}</definedName>
    <definedName name="ergferger" localSheetId="18" hidden="1">{"Main Economic Indicators",#N/A,FALSE,"C"}</definedName>
    <definedName name="ergferger" localSheetId="22" hidden="1">{"Main Economic Indicators",#N/A,FALSE,"C"}</definedName>
    <definedName name="ergferger" localSheetId="19" hidden="1">{"Main Economic Indicators",#N/A,FALSE,"C"}</definedName>
    <definedName name="ergferger" localSheetId="11" hidden="1">{"Main Economic Indicators",#N/A,FALSE,"C"}</definedName>
    <definedName name="ergferger" localSheetId="6" hidden="1">{"Main Economic Indicators",#N/A,FALSE,"C"}</definedName>
    <definedName name="ergferger" localSheetId="20" hidden="1">{"Main Economic Indicators",#N/A,FALSE,"C"}</definedName>
    <definedName name="ergferger" localSheetId="4" hidden="1">{"Main Economic Indicators",#N/A,FALSE,"C"}</definedName>
    <definedName name="ergferger" localSheetId="9" hidden="1">{"Main Economic Indicators",#N/A,FALSE,"C"}</definedName>
    <definedName name="ergferger" localSheetId="5" hidden="1">{"Main Economic Indicators",#N/A,FALSE,"C"}</definedName>
    <definedName name="ergferger" hidden="1">{"Main Economic Indicators",#N/A,FALSE,"C"}</definedName>
    <definedName name="ESP" localSheetId="3">#REF!</definedName>
    <definedName name="ESP" localSheetId="4">#REF!</definedName>
    <definedName name="ESP" localSheetId="9">#REF!</definedName>
    <definedName name="ESP" localSheetId="5">#REF!</definedName>
    <definedName name="ESP">#REF!</definedName>
    <definedName name="EU">[9]CIRRs!$C$62</definedName>
    <definedName name="EUR">[9]CIRRs!$C$87</definedName>
    <definedName name="Exch.Rate" localSheetId="9">#REF!</definedName>
    <definedName name="Exch.Rate" localSheetId="5">#REF!</definedName>
    <definedName name="Exch.Rate">#REF!</definedName>
    <definedName name="EXPORT" localSheetId="9">#REF!</definedName>
    <definedName name="EXPORT" localSheetId="5">#REF!</definedName>
    <definedName name="EXPORT">#REF!</definedName>
    <definedName name="EXR_UPDATE" localSheetId="9">#REF!</definedName>
    <definedName name="EXR_UPDATE" localSheetId="5">#REF!</definedName>
    <definedName name="EXR_UPDATE">#REF!</definedName>
    <definedName name="External_debt_indicators">[16]Table3!$F$8:$AB$437:'[16]Table3'!$AB$9</definedName>
    <definedName name="Falav" localSheetId="3">#REF!</definedName>
    <definedName name="Falav" localSheetId="9">#REF!</definedName>
    <definedName name="Falav" localSheetId="5">#REF!</definedName>
    <definedName name="Falav">#REF!</definedName>
    <definedName name="FIDR" localSheetId="9">'[11]WETA Data'!#REF!</definedName>
    <definedName name="FIDR" localSheetId="5">'[11]WETA Data'!#REF!</definedName>
    <definedName name="FIDR">'[11]WETA Data'!#REF!</definedName>
    <definedName name="FIM" localSheetId="3">#REF!</definedName>
    <definedName name="FIM" localSheetId="4">#REF!</definedName>
    <definedName name="FIM" localSheetId="9">#REF!</definedName>
    <definedName name="FIM" localSheetId="5">#REF!</definedName>
    <definedName name="FIM">#REF!</definedName>
    <definedName name="FISC" localSheetId="9">#REF!</definedName>
    <definedName name="FISC" localSheetId="5">#REF!</definedName>
    <definedName name="FISC">#REF!</definedName>
    <definedName name="FLOWS" localSheetId="9">#REF!</definedName>
    <definedName name="FLOWS" localSheetId="5">#REF!</definedName>
    <definedName name="FLOWS">#REF!</definedName>
    <definedName name="FMB" localSheetId="9">'[11]WETA Data'!#REF!</definedName>
    <definedName name="FMB" localSheetId="5">'[11]WETA Data'!#REF!</definedName>
    <definedName name="FMB">'[11]WETA Data'!#REF!</definedName>
    <definedName name="FRF">[9]CIRRs!$C$90</definedName>
    <definedName name="GAP" localSheetId="9">[4]BoPSR!#REF!</definedName>
    <definedName name="GAP" localSheetId="5">[4]BoPSR!#REF!</definedName>
    <definedName name="GAP">[4]BoPSR!#REF!</definedName>
    <definedName name="GBP">[9]CIRRs!$C$91</definedName>
    <definedName name="GCEC" localSheetId="3">#REF!</definedName>
    <definedName name="GCEC" localSheetId="9">#REF!</definedName>
    <definedName name="GCEC" localSheetId="5">#REF!</definedName>
    <definedName name="GCEC">#REF!</definedName>
    <definedName name="GCED" localSheetId="3">#REF!</definedName>
    <definedName name="GCED" localSheetId="9">#REF!</definedName>
    <definedName name="GCED" localSheetId="5">#REF!</definedName>
    <definedName name="GCED">#REF!</definedName>
    <definedName name="GCEE" localSheetId="3">#REF!</definedName>
    <definedName name="GCEE" localSheetId="9">#REF!</definedName>
    <definedName name="GCEE" localSheetId="5">#REF!</definedName>
    <definedName name="GCEE">#REF!</definedName>
    <definedName name="GCEEP" localSheetId="9">'[11]WETA Data'!#REF!</definedName>
    <definedName name="GCEEP" localSheetId="5">'[11]WETA Data'!#REF!</definedName>
    <definedName name="GCEEP">'[11]WETA Data'!#REF!</definedName>
    <definedName name="GCEES" localSheetId="3">#REF!</definedName>
    <definedName name="GCEES" localSheetId="9">#REF!</definedName>
    <definedName name="GCEES" localSheetId="5">#REF!</definedName>
    <definedName name="GCEES">#REF!</definedName>
    <definedName name="GCEG" localSheetId="3">#REF!</definedName>
    <definedName name="GCEG" localSheetId="9">#REF!</definedName>
    <definedName name="GCEG" localSheetId="5">#REF!</definedName>
    <definedName name="GCEG">#REF!</definedName>
    <definedName name="GCEH" localSheetId="3">#REF!</definedName>
    <definedName name="GCEH" localSheetId="9">#REF!</definedName>
    <definedName name="GCEH" localSheetId="5">#REF!</definedName>
    <definedName name="GCEH">#REF!</definedName>
    <definedName name="GCEHP" localSheetId="9">'[11]WETA Data'!#REF!</definedName>
    <definedName name="GCEHP" localSheetId="5">'[11]WETA Data'!#REF!</definedName>
    <definedName name="GCEHP">'[11]WETA Data'!#REF!</definedName>
    <definedName name="GCEI_D" localSheetId="3">#REF!</definedName>
    <definedName name="GCEI_D" localSheetId="9">#REF!</definedName>
    <definedName name="GCEI_D" localSheetId="5">#REF!</definedName>
    <definedName name="GCEI_D">#REF!</definedName>
    <definedName name="GCEI_F" localSheetId="3">#REF!</definedName>
    <definedName name="GCEI_F" localSheetId="9">#REF!</definedName>
    <definedName name="GCEI_F" localSheetId="5">#REF!</definedName>
    <definedName name="GCEI_F">#REF!</definedName>
    <definedName name="GCENL" localSheetId="3">#REF!</definedName>
    <definedName name="GCENL" localSheetId="9">#REF!</definedName>
    <definedName name="GCENL" localSheetId="5">#REF!</definedName>
    <definedName name="GCENL">#REF!</definedName>
    <definedName name="GCEO" localSheetId="3">#REF!</definedName>
    <definedName name="GCEO" localSheetId="9">#REF!</definedName>
    <definedName name="GCEO" localSheetId="5">#REF!</definedName>
    <definedName name="GCEO">#REF!</definedName>
    <definedName name="GCESWH" localSheetId="3">#REF!</definedName>
    <definedName name="GCESWH" localSheetId="9">#REF!</definedName>
    <definedName name="GCESWH" localSheetId="5">#REF!</definedName>
    <definedName name="GCESWH">#REF!</definedName>
    <definedName name="GCEW" localSheetId="3">#REF!</definedName>
    <definedName name="GCEW" localSheetId="9">#REF!</definedName>
    <definedName name="GCEW" localSheetId="5">#REF!</definedName>
    <definedName name="GCEW">#REF!</definedName>
    <definedName name="GCG" localSheetId="9">'[11]WETA Data'!#REF!</definedName>
    <definedName name="GCG" localSheetId="5">'[11]WETA Data'!#REF!</definedName>
    <definedName name="GCG">'[11]WETA Data'!#REF!</definedName>
    <definedName name="GCGC" localSheetId="9">'[11]WETA Data'!#REF!</definedName>
    <definedName name="GCGC" localSheetId="5">'[11]WETA Data'!#REF!</definedName>
    <definedName name="GCGC">'[11]WETA Data'!#REF!</definedName>
    <definedName name="GCRG" localSheetId="3">#REF!</definedName>
    <definedName name="GCRG" localSheetId="9">#REF!</definedName>
    <definedName name="GCRG" localSheetId="5">#REF!</definedName>
    <definedName name="GCRG">#REF!</definedName>
    <definedName name="GGEC" localSheetId="3">#REF!</definedName>
    <definedName name="GGEC" localSheetId="9">#REF!</definedName>
    <definedName name="GGEC" localSheetId="5">#REF!</definedName>
    <definedName name="GGEC">#REF!</definedName>
    <definedName name="GGENL" localSheetId="3">#REF!</definedName>
    <definedName name="GGENL" localSheetId="9">#REF!</definedName>
    <definedName name="GGENL" localSheetId="5">#REF!</definedName>
    <definedName name="GGENL">#REF!</definedName>
    <definedName name="GGRG" localSheetId="3">#REF!</definedName>
    <definedName name="GGRG" localSheetId="9">#REF!</definedName>
    <definedName name="GGRG" localSheetId="5">#REF!</definedName>
    <definedName name="GGRG">#REF!</definedName>
    <definedName name="Grace_IDA">[17]IDA!$C$14</definedName>
    <definedName name="hedi" localSheetId="9">[3]!Macro6</definedName>
    <definedName name="hedi" localSheetId="5">[3]!Macro6</definedName>
    <definedName name="hedi">[3]!Macro6</definedName>
    <definedName name="hedi1" localSheetId="9">[3]!Macro7</definedName>
    <definedName name="hedi1" localSheetId="5">[3]!Macro7</definedName>
    <definedName name="hedi1">[3]!Macro7</definedName>
    <definedName name="hedi5" localSheetId="9">[3]!_xlbgnm.mc3</definedName>
    <definedName name="hedi5" localSheetId="5">[3]!_xlbgnm.mc3</definedName>
    <definedName name="hedi5">[3]!_xlbgnm.mc3</definedName>
    <definedName name="HIPCDATA" localSheetId="9">#REF!</definedName>
    <definedName name="HIPCDATA" localSheetId="5">#REF!</definedName>
    <definedName name="HIPCDATA">#REF!</definedName>
    <definedName name="Ibrd" localSheetId="9">[5]terms!#REF!</definedName>
    <definedName name="Ibrd" localSheetId="5">[5]terms!#REF!</definedName>
    <definedName name="Ibrd">[5]terms!#REF!</definedName>
    <definedName name="IDA" localSheetId="9">[5]terms!#REF!</definedName>
    <definedName name="IDA" localSheetId="5">[5]terms!#REF!</definedName>
    <definedName name="IDA">[5]terms!#REF!</definedName>
    <definedName name="Ifad" localSheetId="9">[5]terms!#REF!</definedName>
    <definedName name="Ifad" localSheetId="5">[5]terms!#REF!</definedName>
    <definedName name="Ifad">[5]terms!#REF!</definedName>
    <definedName name="IFEMREPRT" localSheetId="3">#REF!</definedName>
    <definedName name="IFEMREPRT" localSheetId="9">#REF!</definedName>
    <definedName name="IFEMREPRT" localSheetId="5">#REF!</definedName>
    <definedName name="IFEMREPRT">#REF!</definedName>
    <definedName name="INFISC1" localSheetId="9">#REF!</definedName>
    <definedName name="INFISC1" localSheetId="5">#REF!</definedName>
    <definedName name="INFISC1">#REF!</definedName>
    <definedName name="INFISC2" localSheetId="9">#REF!</definedName>
    <definedName name="INFISC2" localSheetId="5">#REF!</definedName>
    <definedName name="INFISC2">#REF!</definedName>
    <definedName name="info" localSheetId="3">#REF!</definedName>
    <definedName name="info" localSheetId="9">#REF!</definedName>
    <definedName name="info" localSheetId="5">#REF!</definedName>
    <definedName name="info">#REF!</definedName>
    <definedName name="infonotes" localSheetId="9">'[11]WETA Data'!#REF!</definedName>
    <definedName name="infonotes" localSheetId="5">'[11]WETA Data'!#REF!</definedName>
    <definedName name="infonotes">'[11]WETA Data'!#REF!</definedName>
    <definedName name="INMN" localSheetId="9">#REF!</definedName>
    <definedName name="INMN" localSheetId="5">#REF!</definedName>
    <definedName name="INMN">#REF!</definedName>
    <definedName name="INPROJ" localSheetId="9">#REF!</definedName>
    <definedName name="INPROJ" localSheetId="5">#REF!</definedName>
    <definedName name="INPROJ">#REF!</definedName>
    <definedName name="int" localSheetId="9">#REF!</definedName>
    <definedName name="int" localSheetId="5">#REF!</definedName>
    <definedName name="int">#REF!</definedName>
    <definedName name="InterestRate" localSheetId="9">#REF!</definedName>
    <definedName name="InterestRate" localSheetId="5">#REF!</definedName>
    <definedName name="InterestRate">#REF!</definedName>
    <definedName name="ISD" localSheetId="3">#REF!</definedName>
    <definedName name="ISD" localSheetId="4">#REF!</definedName>
    <definedName name="ISD" localSheetId="9">#REF!</definedName>
    <definedName name="ISD" localSheetId="5">#REF!</definedName>
    <definedName name="ISD">#REF!</definedName>
    <definedName name="IsDB">[9]CIRRs!$C$68</definedName>
    <definedName name="ITL">[9]CIRRs!$C$94</definedName>
    <definedName name="JPY">[9]CIRRs!$C$95</definedName>
    <definedName name="JUN" localSheetId="9">[4]BoPSR!#REF!</definedName>
    <definedName name="JUN" localSheetId="5">[4]BoPSR!#REF!</definedName>
    <definedName name="JUN">[4]BoPSR!#REF!</definedName>
    <definedName name="KWD" localSheetId="3">#REF!</definedName>
    <definedName name="KWD" localSheetId="4">#REF!</definedName>
    <definedName name="KWD" localSheetId="9">#REF!</definedName>
    <definedName name="KWD" localSheetId="5">#REF!</definedName>
    <definedName name="KWD">#REF!</definedName>
    <definedName name="LE" localSheetId="9">'[11]WETA Data'!#REF!</definedName>
    <definedName name="LE" localSheetId="5">'[11]WETA Data'!#REF!</definedName>
    <definedName name="LE">'[11]WETA Data'!#REF!</definedName>
    <definedName name="LEGC" localSheetId="9">'[11]WETA Data'!#REF!</definedName>
    <definedName name="LEGC" localSheetId="5">'[11]WETA Data'!#REF!</definedName>
    <definedName name="LEGC">'[11]WETA Data'!#REF!</definedName>
    <definedName name="LP" localSheetId="9">'[11]WETA Data'!#REF!</definedName>
    <definedName name="LP" localSheetId="5">'[11]WETA Data'!#REF!</definedName>
    <definedName name="LP">'[11]WETA Data'!#REF!</definedName>
    <definedName name="LUR" localSheetId="9">'[11]WETA Data'!#REF!</definedName>
    <definedName name="LUR" localSheetId="5">'[11]WETA Data'!#REF!</definedName>
    <definedName name="LUR">'[11]WETA Data'!#REF!</definedName>
    <definedName name="Lyon">[18]C!$O$1</definedName>
    <definedName name="MACRO" localSheetId="9">#REF!</definedName>
    <definedName name="MACRO" localSheetId="5">#REF!</definedName>
    <definedName name="MACRO">#REF!</definedName>
    <definedName name="Macro4" localSheetId="9">[3]!Macro4</definedName>
    <definedName name="Macro4" localSheetId="5">[3]!Macro4</definedName>
    <definedName name="Macro4">[3]!Macro4</definedName>
    <definedName name="Macro5" localSheetId="9">[3]!Macro5</definedName>
    <definedName name="Macro5" localSheetId="5">[3]!Macro5</definedName>
    <definedName name="Macro5">[3]!Macro5</definedName>
    <definedName name="Macro6" localSheetId="9">[3]!Macro6</definedName>
    <definedName name="Macro6" localSheetId="5">[3]!Macro6</definedName>
    <definedName name="Macro6">[3]!Macro6</definedName>
    <definedName name="Macro7" localSheetId="9">[3]!Macro7</definedName>
    <definedName name="Macro7" localSheetId="5">[3]!Macro7</definedName>
    <definedName name="Macro7">[3]!Macro7</definedName>
    <definedName name="Macro8" localSheetId="9">[3]!Macro8</definedName>
    <definedName name="Macro8" localSheetId="5">[3]!Macro8</definedName>
    <definedName name="Macro8">[3]!Macro8</definedName>
    <definedName name="Mars" localSheetId="9">'[19]Mensuel et Hebd.'!#REF!</definedName>
    <definedName name="Mars" localSheetId="5">'[19]Mensuel et Hebd.'!#REF!</definedName>
    <definedName name="Mars">'[19]Mensuel et Hebd.'!#REF!</definedName>
    <definedName name="MIDDLE" localSheetId="9">#REF!</definedName>
    <definedName name="MIDDLE" localSheetId="5">#REF!</definedName>
    <definedName name="MIDDLE">#REF!</definedName>
    <definedName name="MNDATES" localSheetId="9">#REF!</definedName>
    <definedName name="MNDATES" localSheetId="5">#REF!</definedName>
    <definedName name="MNDATES">#REF!</definedName>
    <definedName name="MONY" localSheetId="9">#REF!</definedName>
    <definedName name="MONY" localSheetId="5">#REF!</definedName>
    <definedName name="MONY">#REF!</definedName>
    <definedName name="NAMES" localSheetId="9">'[11]WETA Data'!#REF!</definedName>
    <definedName name="NAMES" localSheetId="5">'[11]WETA Data'!#REF!</definedName>
    <definedName name="NAMES">'[11]WETA Data'!#REF!</definedName>
    <definedName name="NAMESJ" localSheetId="9">#REF!</definedName>
    <definedName name="NAMESJ" localSheetId="5">#REF!</definedName>
    <definedName name="NAMESJ">#REF!</definedName>
    <definedName name="NCG" localSheetId="9">'[11]WETA Data'!#REF!</definedName>
    <definedName name="NCG" localSheetId="5">'[11]WETA Data'!#REF!</definedName>
    <definedName name="NCG">'[11]WETA Data'!#REF!</definedName>
    <definedName name="NCG_R" localSheetId="9">'[11]WETA Data'!#REF!</definedName>
    <definedName name="NCG_R" localSheetId="5">'[11]WETA Data'!#REF!</definedName>
    <definedName name="NCG_R">'[11]WETA Data'!#REF!</definedName>
    <definedName name="NCP" localSheetId="9">'[11]WETA Data'!#REF!</definedName>
    <definedName name="NCP" localSheetId="5">'[11]WETA Data'!#REF!</definedName>
    <definedName name="NCP">'[11]WETA Data'!#REF!</definedName>
    <definedName name="NCP_R" localSheetId="9">'[11]WETA Data'!#REF!</definedName>
    <definedName name="NCP_R" localSheetId="5">'[11]WETA Data'!#REF!</definedName>
    <definedName name="NCP_R">'[11]WETA Data'!#REF!</definedName>
    <definedName name="Ndf" localSheetId="9">[5]terms!#REF!</definedName>
    <definedName name="Ndf" localSheetId="5">[5]terms!#REF!</definedName>
    <definedName name="Ndf">[5]terms!#REF!</definedName>
    <definedName name="NewRGDf" localSheetId="9">#REF!</definedName>
    <definedName name="NewRGDf" localSheetId="5">#REF!</definedName>
    <definedName name="NewRGDf">#REF!</definedName>
    <definedName name="NFI" localSheetId="9">'[11]WETA Data'!#REF!</definedName>
    <definedName name="NFI" localSheetId="5">'[11]WETA Data'!#REF!</definedName>
    <definedName name="NFI">'[11]WETA Data'!#REF!</definedName>
    <definedName name="NFI_R" localSheetId="9">'[11]WETA Data'!#REF!</definedName>
    <definedName name="NFI_R" localSheetId="5">'[11]WETA Data'!#REF!</definedName>
    <definedName name="NFI_R">'[11]WETA Data'!#REF!</definedName>
    <definedName name="NFIP" localSheetId="9">'[11]WETA Data'!#REF!</definedName>
    <definedName name="NFIP" localSheetId="5">'[11]WETA Data'!#REF!</definedName>
    <definedName name="NFIP">'[11]WETA Data'!#REF!</definedName>
    <definedName name="NGDP" localSheetId="9">'[11]WETA Data'!#REF!</definedName>
    <definedName name="NGDP" localSheetId="5">'[11]WETA Data'!#REF!</definedName>
    <definedName name="NGDP">'[11]WETA Data'!#REF!</definedName>
    <definedName name="NGDP_R" localSheetId="9">'[11]WETA Data'!#REF!</definedName>
    <definedName name="NGDP_R" localSheetId="5">'[11]WETA Data'!#REF!</definedName>
    <definedName name="NGDP_R">'[11]WETA Data'!#REF!</definedName>
    <definedName name="NGK" localSheetId="3">#REF!</definedName>
    <definedName name="NGK" localSheetId="4">#REF!</definedName>
    <definedName name="NGK" localSheetId="9">#REF!</definedName>
    <definedName name="NGK" localSheetId="5">#REF!</definedName>
    <definedName name="NGK">#REF!</definedName>
    <definedName name="NGNI" localSheetId="9">'[11]WETA Data'!#REF!</definedName>
    <definedName name="NGNI" localSheetId="5">'[11]WETA Data'!#REF!</definedName>
    <definedName name="NGNI">'[11]WETA Data'!#REF!</definedName>
    <definedName name="NGPXO" localSheetId="9">'[11]WETA Data'!#REF!</definedName>
    <definedName name="NGPXO" localSheetId="5">'[11]WETA Data'!#REF!</definedName>
    <definedName name="NGPXO">'[11]WETA Data'!#REF!</definedName>
    <definedName name="NGPXO_R" localSheetId="9">'[11]WETA Data'!#REF!</definedName>
    <definedName name="NGPXO_R" localSheetId="5">'[11]WETA Data'!#REF!</definedName>
    <definedName name="NGPXO_R">'[11]WETA Data'!#REF!</definedName>
    <definedName name="NINV" localSheetId="9">'[11]WETA Data'!#REF!</definedName>
    <definedName name="NINV" localSheetId="5">'[11]WETA Data'!#REF!</definedName>
    <definedName name="NINV">'[11]WETA Data'!#REF!</definedName>
    <definedName name="NINV_R" localSheetId="9">'[11]WETA Data'!#REF!</definedName>
    <definedName name="NINV_R" localSheetId="5">'[11]WETA Data'!#REF!</definedName>
    <definedName name="NINV_R">'[11]WETA Data'!#REF!</definedName>
    <definedName name="NLG">[9]CIRRs!$C$99</definedName>
    <definedName name="NM" localSheetId="9">'[11]WETA Data'!#REF!</definedName>
    <definedName name="NM" localSheetId="5">'[11]WETA Data'!#REF!</definedName>
    <definedName name="NM">'[11]WETA Data'!#REF!</definedName>
    <definedName name="NM_R" localSheetId="9">'[11]WETA Data'!#REF!</definedName>
    <definedName name="NM_R" localSheetId="5">'[11]WETA Data'!#REF!</definedName>
    <definedName name="NM_R">'[11]WETA Data'!#REF!</definedName>
    <definedName name="NMG" localSheetId="9">'[11]WETA Data'!#REF!</definedName>
    <definedName name="NMG" localSheetId="5">'[11]WETA Data'!#REF!</definedName>
    <definedName name="NMG">'[11]WETA Data'!#REF!</definedName>
    <definedName name="NMG_R" localSheetId="9">'[11]WETA Data'!#REF!</definedName>
    <definedName name="NMG_R" localSheetId="5">'[11]WETA Data'!#REF!</definedName>
    <definedName name="NMG_R">'[11]WETA Data'!#REF!</definedName>
    <definedName name="NNAMES" localSheetId="9">'[11]WETA Data'!#REF!</definedName>
    <definedName name="NNAMES" localSheetId="5">'[11]WETA Data'!#REF!</definedName>
    <definedName name="NNAMES">'[11]WETA Data'!#REF!</definedName>
    <definedName name="nnga" localSheetId="9" hidden="1">#REF!</definedName>
    <definedName name="nnga" localSheetId="5" hidden="1">#REF!</definedName>
    <definedName name="nnga" hidden="1">#REF!</definedName>
    <definedName name="NOK">[9]CIRRs!$C$100</definedName>
    <definedName name="NOTES" localSheetId="9">'[11]WETA Data'!#REF!</definedName>
    <definedName name="NOTES" localSheetId="5">'[11]WETA Data'!#REF!</definedName>
    <definedName name="NOTES">'[11]WETA Data'!#REF!</definedName>
    <definedName name="NX" localSheetId="9">'[11]WETA Data'!#REF!</definedName>
    <definedName name="NX" localSheetId="5">'[11]WETA Data'!#REF!</definedName>
    <definedName name="NX">'[11]WETA Data'!#REF!</definedName>
    <definedName name="NX_R" localSheetId="9">'[11]WETA Data'!#REF!</definedName>
    <definedName name="NX_R" localSheetId="5">'[11]WETA Data'!#REF!</definedName>
    <definedName name="NX_R">'[11]WETA Data'!#REF!</definedName>
    <definedName name="NXG" localSheetId="9">'[11]WETA Data'!#REF!</definedName>
    <definedName name="NXG" localSheetId="5">'[11]WETA Data'!#REF!</definedName>
    <definedName name="NXG">'[11]WETA Data'!#REF!</definedName>
    <definedName name="NXG_R" localSheetId="9">'[11]WETA Data'!#REF!</definedName>
    <definedName name="NXG_R" localSheetId="5">'[11]WETA Data'!#REF!</definedName>
    <definedName name="NXG_R">'[11]WETA Data'!#REF!</definedName>
    <definedName name="Opec" localSheetId="9">[5]terms!#REF!</definedName>
    <definedName name="Opec" localSheetId="5">[5]terms!#REF!</definedName>
    <definedName name="Opec">[5]terms!#REF!</definedName>
    <definedName name="OUTDS1" localSheetId="9">#REF!</definedName>
    <definedName name="OUTDS1" localSheetId="5">#REF!</definedName>
    <definedName name="OUTDS1">#REF!</definedName>
    <definedName name="OUTFISC" localSheetId="9">#REF!</definedName>
    <definedName name="OUTFISC" localSheetId="5">#REF!</definedName>
    <definedName name="OUTFISC">#REF!</definedName>
    <definedName name="OUTIMF" localSheetId="9">#REF!</definedName>
    <definedName name="OUTIMF" localSheetId="5">#REF!</definedName>
    <definedName name="OUTIMF">#REF!</definedName>
    <definedName name="OUTMN" localSheetId="9">#REF!</definedName>
    <definedName name="OUTMN" localSheetId="5">#REF!</definedName>
    <definedName name="OUTMN">#REF!</definedName>
    <definedName name="PAGEN_1" localSheetId="9">#REF!</definedName>
    <definedName name="PAGEN_1" localSheetId="5">#REF!</definedName>
    <definedName name="PAGEN_1">#REF!</definedName>
    <definedName name="PAGEN_2" localSheetId="9">#REF!</definedName>
    <definedName name="PAGEN_2" localSheetId="5">#REF!</definedName>
    <definedName name="PAGEN_2">#REF!</definedName>
    <definedName name="PAGEN_3" localSheetId="9">#REF!</definedName>
    <definedName name="PAGEN_3" localSheetId="5">#REF!</definedName>
    <definedName name="PAGEN_3">#REF!</definedName>
    <definedName name="PAGEN_4" localSheetId="9">#REF!</definedName>
    <definedName name="PAGEN_4" localSheetId="5">#REF!</definedName>
    <definedName name="PAGEN_4">#REF!</definedName>
    <definedName name="PAGEO_1" localSheetId="9">#REF!</definedName>
    <definedName name="PAGEO_1" localSheetId="5">#REF!</definedName>
    <definedName name="PAGEO_1">#REF!</definedName>
    <definedName name="PAGEO_2" localSheetId="9">#REF!</definedName>
    <definedName name="PAGEO_2" localSheetId="5">#REF!</definedName>
    <definedName name="PAGEO_2">#REF!</definedName>
    <definedName name="PAGEO_3" localSheetId="9">#REF!</definedName>
    <definedName name="PAGEO_3" localSheetId="5">#REF!</definedName>
    <definedName name="PAGEO_3">#REF!</definedName>
    <definedName name="PAGEO_3_P" localSheetId="9">#REF!</definedName>
    <definedName name="PAGEO_3_P" localSheetId="5">#REF!</definedName>
    <definedName name="PAGEO_3_P">#REF!</definedName>
    <definedName name="PCPI" localSheetId="9">'[11]WETA Data'!#REF!</definedName>
    <definedName name="PCPI" localSheetId="5">'[11]WETA Data'!#REF!</definedName>
    <definedName name="PCPI">'[11]WETA Data'!#REF!</definedName>
    <definedName name="PCPIE" localSheetId="9">'[11]WETA Data'!#REF!</definedName>
    <definedName name="PCPIE" localSheetId="5">'[11]WETA Data'!#REF!</definedName>
    <definedName name="PCPIE">'[11]WETA Data'!#REF!</definedName>
    <definedName name="PLEDGE">[17]Geneva94!$A$1:$K$57</definedName>
    <definedName name="PROG" localSheetId="9">#REF!</definedName>
    <definedName name="PROG" localSheetId="5">#REF!</definedName>
    <definedName name="PROG">#REF!</definedName>
    <definedName name="PTE" localSheetId="3">#REF!</definedName>
    <definedName name="PTE" localSheetId="4">#REF!</definedName>
    <definedName name="PTE" localSheetId="9">#REF!</definedName>
    <definedName name="PTE" localSheetId="5">#REF!</definedName>
    <definedName name="PTE">#REF!</definedName>
    <definedName name="REDUC" localSheetId="9">#REF!</definedName>
    <definedName name="REDUC" localSheetId="5">#REF!</definedName>
    <definedName name="REDUC">#REF!</definedName>
    <definedName name="reduction.factor2">'[20]NPV Reduction'!$I$8</definedName>
    <definedName name="revenue">[21]C!$A$747:$IV$747</definedName>
    <definedName name="Revisions" localSheetId="9">#REF!</definedName>
    <definedName name="Revisions" localSheetId="5">#REF!</definedName>
    <definedName name="Revisions">#REF!</definedName>
    <definedName name="RgCcode">[10]EERProfile!$B$2</definedName>
    <definedName name="RgCName">[10]EERProfile!$A$2</definedName>
    <definedName name="RgFdBaseYr">[10]EERProfile!$O$2</definedName>
    <definedName name="RgFdBper">[10]EERProfile!$M$2</definedName>
    <definedName name="RgFdDefBaseYr">[10]EERProfile!$P$2</definedName>
    <definedName name="RgFdEper">[10]EERProfile!$N$2</definedName>
    <definedName name="RgFdGrFoot">[10]EERProfile!$AC$2</definedName>
    <definedName name="RgFdGrSeries">[10]EERProfile!$AA$2:$AA$7</definedName>
    <definedName name="RgFdGrSeriesVal">[10]EERProfile!$AB$2:$AB$7</definedName>
    <definedName name="RgFdGrType">[10]EERProfile!$Z$2</definedName>
    <definedName name="RgFdPartCseries">[10]EERProfile!$K$2</definedName>
    <definedName name="RgFdPartCsource" localSheetId="3">#REF!</definedName>
    <definedName name="RgFdPartCsource" localSheetId="9">#REF!</definedName>
    <definedName name="RgFdPartCsource" localSheetId="5">#REF!</definedName>
    <definedName name="RgFdPartCsource">#REF!</definedName>
    <definedName name="RgFdPartEseries" localSheetId="3">#REF!</definedName>
    <definedName name="RgFdPartEseries" localSheetId="9">#REF!</definedName>
    <definedName name="RgFdPartEseries" localSheetId="5">#REF!</definedName>
    <definedName name="RgFdPartEseries">#REF!</definedName>
    <definedName name="RgFdPartEsource" localSheetId="3">#REF!</definedName>
    <definedName name="RgFdPartEsource" localSheetId="9">#REF!</definedName>
    <definedName name="RgFdPartEsource" localSheetId="5">#REF!</definedName>
    <definedName name="RgFdPartEsource">#REF!</definedName>
    <definedName name="RgFdPartUserFile">[10]EERProfile!$L$2</definedName>
    <definedName name="RgFdReptCSeries" localSheetId="3">#REF!</definedName>
    <definedName name="RgFdReptCSeries" localSheetId="9">#REF!</definedName>
    <definedName name="RgFdReptCSeries" localSheetId="5">#REF!</definedName>
    <definedName name="RgFdReptCSeries">#REF!</definedName>
    <definedName name="RgFdReptCsource" localSheetId="3">#REF!</definedName>
    <definedName name="RgFdReptCsource" localSheetId="9">#REF!</definedName>
    <definedName name="RgFdReptCsource" localSheetId="5">#REF!</definedName>
    <definedName name="RgFdReptCsource">#REF!</definedName>
    <definedName name="RgFdReptEseries" localSheetId="3">#REF!</definedName>
    <definedName name="RgFdReptEseries" localSheetId="9">#REF!</definedName>
    <definedName name="RgFdReptEseries" localSheetId="5">#REF!</definedName>
    <definedName name="RgFdReptEseries">#REF!</definedName>
    <definedName name="RgFdReptEsource" localSheetId="3">#REF!</definedName>
    <definedName name="RgFdReptEsource" localSheetId="9">#REF!</definedName>
    <definedName name="RgFdReptEsource" localSheetId="5">#REF!</definedName>
    <definedName name="RgFdReptEsource">#REF!</definedName>
    <definedName name="RgFdReptUserFile">[10]EERProfile!$G$2</definedName>
    <definedName name="RgFdSAMethod" localSheetId="3">#REF!</definedName>
    <definedName name="RgFdSAMethod" localSheetId="9">#REF!</definedName>
    <definedName name="RgFdSAMethod" localSheetId="5">#REF!</definedName>
    <definedName name="RgFdSAMethod">#REF!</definedName>
    <definedName name="RgFdTbBper" localSheetId="3">#REF!</definedName>
    <definedName name="RgFdTbBper" localSheetId="9">#REF!</definedName>
    <definedName name="RgFdTbBper" localSheetId="5">#REF!</definedName>
    <definedName name="RgFdTbBper">#REF!</definedName>
    <definedName name="RgFdTbCreate" localSheetId="3">#REF!</definedName>
    <definedName name="RgFdTbCreate" localSheetId="9">#REF!</definedName>
    <definedName name="RgFdTbCreate" localSheetId="5">#REF!</definedName>
    <definedName name="RgFdTbCreate">#REF!</definedName>
    <definedName name="RgFdTbEper" localSheetId="3">#REF!</definedName>
    <definedName name="RgFdTbEper" localSheetId="9">#REF!</definedName>
    <definedName name="RgFdTbEper" localSheetId="5">#REF!</definedName>
    <definedName name="RgFdTbEper">#REF!</definedName>
    <definedName name="RGFdTbFoot" localSheetId="3">#REF!</definedName>
    <definedName name="RGFdTbFoot" localSheetId="9">#REF!</definedName>
    <definedName name="RGFdTbFoot" localSheetId="5">#REF!</definedName>
    <definedName name="RGFdTbFoot">#REF!</definedName>
    <definedName name="RgFdTbFreq" localSheetId="3">#REF!</definedName>
    <definedName name="RgFdTbFreq" localSheetId="9">#REF!</definedName>
    <definedName name="RgFdTbFreq" localSheetId="5">#REF!</definedName>
    <definedName name="RgFdTbFreq">#REF!</definedName>
    <definedName name="RgFdTbFreqVal" localSheetId="3">#REF!</definedName>
    <definedName name="RgFdTbFreqVal" localSheetId="9">#REF!</definedName>
    <definedName name="RgFdTbFreqVal" localSheetId="5">#REF!</definedName>
    <definedName name="RgFdTbFreqVal">#REF!</definedName>
    <definedName name="RgFdTbSendto" localSheetId="3">#REF!</definedName>
    <definedName name="RgFdTbSendto" localSheetId="9">#REF!</definedName>
    <definedName name="RgFdTbSendto" localSheetId="5">#REF!</definedName>
    <definedName name="RgFdTbSendto">#REF!</definedName>
    <definedName name="RgFdWgtMethod" localSheetId="3">#REF!</definedName>
    <definedName name="RgFdWgtMethod" localSheetId="9">#REF!</definedName>
    <definedName name="RgFdWgtMethod" localSheetId="5">#REF!</definedName>
    <definedName name="RgFdWgtMethod">#REF!</definedName>
    <definedName name="RNGNM" localSheetId="9">#REF!</definedName>
    <definedName name="RNGNM" localSheetId="5">#REF!</definedName>
    <definedName name="RNGNM">#REF!</definedName>
    <definedName name="rte" localSheetId="3" hidden="1">{"Main Economic Indicators",#N/A,FALSE,"C"}</definedName>
    <definedName name="rte" hidden="1">{"Main Economic Indicators",#N/A,FALSE,"C"}</definedName>
    <definedName name="rtre" localSheetId="17" hidden="1">{"Main Economic Indicators",#N/A,FALSE,"C"}</definedName>
    <definedName name="rtre" localSheetId="3" hidden="1">{"Main Economic Indicators",#N/A,FALSE,"C"}</definedName>
    <definedName name="rtre" localSheetId="16" hidden="1">{"Main Economic Indicators",#N/A,FALSE,"C"}</definedName>
    <definedName name="rtre" localSheetId="8" hidden="1">{"Main Economic Indicators",#N/A,FALSE,"C"}</definedName>
    <definedName name="rtre" localSheetId="7" hidden="1">{"Main Economic Indicators",#N/A,FALSE,"C"}</definedName>
    <definedName name="rtre" localSheetId="21" hidden="1">{"Main Economic Indicators",#N/A,FALSE,"C"}</definedName>
    <definedName name="rtre" localSheetId="10" hidden="1">{"Main Economic Indicators",#N/A,FALSE,"C"}</definedName>
    <definedName name="rtre" localSheetId="18" hidden="1">{"Main Economic Indicators",#N/A,FALSE,"C"}</definedName>
    <definedName name="rtre" localSheetId="22" hidden="1">{"Main Economic Indicators",#N/A,FALSE,"C"}</definedName>
    <definedName name="rtre" localSheetId="19" hidden="1">{"Main Economic Indicators",#N/A,FALSE,"C"}</definedName>
    <definedName name="rtre" localSheetId="11" hidden="1">{"Main Economic Indicators",#N/A,FALSE,"C"}</definedName>
    <definedName name="rtre" localSheetId="6" hidden="1">{"Main Economic Indicators",#N/A,FALSE,"C"}</definedName>
    <definedName name="rtre" localSheetId="20" hidden="1">{"Main Economic Indicators",#N/A,FALSE,"C"}</definedName>
    <definedName name="rtre" localSheetId="4" hidden="1">{"Main Economic Indicators",#N/A,FALSE,"C"}</definedName>
    <definedName name="rtre" localSheetId="9" hidden="1">{"Main Economic Indicators",#N/A,FALSE,"C"}</definedName>
    <definedName name="rtre" localSheetId="5" hidden="1">{"Main Economic Indicators",#N/A,FALSE,"C"}</definedName>
    <definedName name="rtre" hidden="1">{"Main Economic Indicators",#N/A,FALSE,"C"}</definedName>
    <definedName name="rXDR">[9]CIRRs!$C$109</definedName>
    <definedName name="SAR" localSheetId="3">#REF!</definedName>
    <definedName name="SAR" localSheetId="4">#REF!</definedName>
    <definedName name="SAR" localSheetId="9">#REF!</definedName>
    <definedName name="SAR" localSheetId="5">#REF!</definedName>
    <definedName name="SAR">#REF!</definedName>
    <definedName name="SDR" localSheetId="9">#REF!</definedName>
    <definedName name="SDR" localSheetId="5">#REF!</definedName>
    <definedName name="SDR">#REF!</definedName>
    <definedName name="SECIND" localSheetId="9">#REF!</definedName>
    <definedName name="SECIND" localSheetId="5">#REF!</definedName>
    <definedName name="SECIND">#REF!</definedName>
    <definedName name="SEK" localSheetId="3">#REF!</definedName>
    <definedName name="SEK" localSheetId="4">#REF!</definedName>
    <definedName name="SEK" localSheetId="9">#REF!</definedName>
    <definedName name="SEK" localSheetId="5">#REF!</definedName>
    <definedName name="SEK">#REF!</definedName>
    <definedName name="Source" localSheetId="9">#REF!</definedName>
    <definedName name="Source" localSheetId="5">#REF!</definedName>
    <definedName name="Source">#REF!</definedName>
    <definedName name="srmonsur" localSheetId="9">#REF!</definedName>
    <definedName name="srmonsur" localSheetId="5">#REF!</definedName>
    <definedName name="srmonsur">#REF!</definedName>
    <definedName name="STERM" localSheetId="9">[4]BoPSR!#REF!</definedName>
    <definedName name="STERM" localSheetId="5">[4]BoPSR!#REF!</definedName>
    <definedName name="STERM">[4]BoPSR!#REF!</definedName>
    <definedName name="STOP" localSheetId="9">#REF!</definedName>
    <definedName name="STOP" localSheetId="5">#REF!</definedName>
    <definedName name="STOP">#REF!</definedName>
    <definedName name="TABJ">[22]BoPSR!$B$1:$B$99</definedName>
    <definedName name="TABLE_1">'[23]Table 1'!$A$3:$K$94</definedName>
    <definedName name="Table_5a" localSheetId="9">[8]E!#REF!</definedName>
    <definedName name="Table_5a" localSheetId="5">[8]E!#REF!</definedName>
    <definedName name="Table_5a">[8]E!#REF!</definedName>
    <definedName name="Table_I2" localSheetId="9">#REF!</definedName>
    <definedName name="Table_I2" localSheetId="5">#REF!</definedName>
    <definedName name="Table_I2">#REF!</definedName>
    <definedName name="TABLE_M1" localSheetId="9">#REF!</definedName>
    <definedName name="TABLE_M1" localSheetId="5">#REF!</definedName>
    <definedName name="TABLE_M1">#REF!</definedName>
    <definedName name="TABLE_N1" localSheetId="9">#REF!</definedName>
    <definedName name="TABLE_N1" localSheetId="5">#REF!</definedName>
    <definedName name="TABLE_N1">#REF!</definedName>
    <definedName name="TABLE_O1" localSheetId="9">#REF!</definedName>
    <definedName name="TABLE_O1" localSheetId="5">#REF!</definedName>
    <definedName name="TABLE_O1">#REF!</definedName>
    <definedName name="TABLE_P1" localSheetId="9">#REF!</definedName>
    <definedName name="TABLE_P1" localSheetId="5">#REF!</definedName>
    <definedName name="TABLE_P1">#REF!</definedName>
    <definedName name="TABLE_R1" localSheetId="9">#REF!</definedName>
    <definedName name="TABLE_R1" localSheetId="5">#REF!</definedName>
    <definedName name="TABLE_R1">#REF!</definedName>
    <definedName name="TABLE_T1" localSheetId="9">#REF!</definedName>
    <definedName name="TABLE_T1" localSheetId="5">#REF!</definedName>
    <definedName name="TABLE_T1">#REF!</definedName>
    <definedName name="TABLE_U1" localSheetId="9">#REF!</definedName>
    <definedName name="TABLE_U1" localSheetId="5">#REF!</definedName>
    <definedName name="TABLE_U1">#REF!</definedName>
    <definedName name="TABLE_V1" localSheetId="9">#REF!</definedName>
    <definedName name="TABLE_V1" localSheetId="5">#REF!</definedName>
    <definedName name="TABLE_V1">#REF!</definedName>
    <definedName name="table11">[24]Table5!$A$1:$E$50</definedName>
    <definedName name="table2">'[25]DSA T3'!$A$3:$K$180</definedName>
    <definedName name="table3" localSheetId="9">#REF!</definedName>
    <definedName name="table3" localSheetId="5">#REF!</definedName>
    <definedName name="table3">#REF!</definedName>
    <definedName name="TDATE" localSheetId="3">#REF!</definedName>
    <definedName name="TDATE" localSheetId="9">#REF!</definedName>
    <definedName name="TDATE" localSheetId="5">#REF!</definedName>
    <definedName name="TDATE">#REF!</definedName>
    <definedName name="_xlnm.Print_Titles" localSheetId="14">'Appui-Bud'!$B:$C</definedName>
    <definedName name="_xlnm.Print_Titles" localSheetId="17">ARRIERE!$B:$C</definedName>
    <definedName name="_xlnm.Print_Titles" localSheetId="1">'cash-Flow'!$1:$8</definedName>
    <definedName name="_xlnm.Print_Titles" localSheetId="3">'cash-Flow(2)'!$1:$8</definedName>
    <definedName name="_xlnm.Print_Titles" localSheetId="16">Dettes!$A:$A,Dettes!$2:$4</definedName>
    <definedName name="_xlnm.Print_Titles" localSheetId="7">'DGCI '!$6:$8</definedName>
    <definedName name="_xlnm.Print_Titles" localSheetId="6">'Receitas (mensais)'!$C:$D,'Receitas (mensais)'!$1:$12</definedName>
    <definedName name="_xlnm.Print_Titles" localSheetId="2">T.O.F.E!$1:$16</definedName>
    <definedName name="_xlnm.Print_Titles" localSheetId="4">Tofe!$C:$C,Tofe!$4:$5</definedName>
    <definedName name="_xlnm.Print_Titles" localSheetId="9">'Tofe Versão de controle'!$C:$C,'Tofe Versão de controle'!$5:$5</definedName>
    <definedName name="_xlnm.Print_Titles" localSheetId="5">TofeVI!$C:$C,TofeVI!$3:$3</definedName>
    <definedName name="TITULOSTESOURODataEmissao">[13]TitulosTesouro!$A$2:$A$308</definedName>
    <definedName name="TITULOSTESOURODataVencimento">[13]TitulosTesouro!$B$2:$B$308</definedName>
    <definedName name="TITULOSTESOUROMontante">[13]TitulosTesouro!$E$2:$E$308</definedName>
    <definedName name="TITULOSTESOUROPaisComprador">[13]TitulosTesouro!$C$2:$C$308</definedName>
    <definedName name="TMG_D" localSheetId="9">'[11]WETA Data'!#REF!</definedName>
    <definedName name="TMG_D" localSheetId="5">'[11]WETA Data'!#REF!</definedName>
    <definedName name="TMG_D">'[11]WETA Data'!#REF!</definedName>
    <definedName name="TMGO" localSheetId="9">'[11]WETA Data'!#REF!</definedName>
    <definedName name="TMGO" localSheetId="5">'[11]WETA Data'!#REF!</definedName>
    <definedName name="TMGO">'[11]WETA Data'!#REF!</definedName>
    <definedName name="TNAME" localSheetId="3">#REF!</definedName>
    <definedName name="TNAME" localSheetId="9">#REF!</definedName>
    <definedName name="TNAME" localSheetId="5">#REF!</definedName>
    <definedName name="TNAME">#REF!</definedName>
    <definedName name="tofe" localSheetId="3">#REF!</definedName>
    <definedName name="tofe" localSheetId="9">#REF!</definedName>
    <definedName name="tofe" localSheetId="5">#REF!</definedName>
    <definedName name="tofe">#REF!</definedName>
    <definedName name="TRADE" localSheetId="9">[4]BoPSR!#REF!</definedName>
    <definedName name="TRADE" localSheetId="5">[4]BoPSR!#REF!</definedName>
    <definedName name="TRADE">[4]BoPSR!#REF!</definedName>
    <definedName name="TXG_D" localSheetId="9">'[11]WETA Data'!#REF!</definedName>
    <definedName name="TXG_D" localSheetId="5">'[11]WETA Data'!#REF!</definedName>
    <definedName name="TXG_D">'[11]WETA Data'!#REF!</definedName>
    <definedName name="TXGO" localSheetId="9">'[11]WETA Data'!#REF!</definedName>
    <definedName name="TXGO" localSheetId="5">'[11]WETA Data'!#REF!</definedName>
    <definedName name="TXGO">'[11]WETA Data'!#REF!</definedName>
    <definedName name="UCC" localSheetId="3">#REF!</definedName>
    <definedName name="UCC" localSheetId="4">#REF!</definedName>
    <definedName name="UCC" localSheetId="9">#REF!</definedName>
    <definedName name="UCC" localSheetId="5">#REF!</definedName>
    <definedName name="UCC">#REF!</definedName>
    <definedName name="USD">[9]CIRRs!$C$105</definedName>
    <definedName name="volume_trade" localSheetId="9">#REF!</definedName>
    <definedName name="volume_trade" localSheetId="5">#REF!</definedName>
    <definedName name="volume_trade">#REF!</definedName>
    <definedName name="WEO" localSheetId="9">#REF!</definedName>
    <definedName name="WEO" localSheetId="5">#REF!</definedName>
    <definedName name="WEO">#REF!</definedName>
    <definedName name="WEOD" localSheetId="9">#REF!</definedName>
    <definedName name="WEOD" localSheetId="5">#REF!</definedName>
    <definedName name="WEOD">#REF!</definedName>
    <definedName name="weodata" localSheetId="3">#REF!</definedName>
    <definedName name="weodata" localSheetId="9">#REF!</definedName>
    <definedName name="weodata" localSheetId="5">#REF!</definedName>
    <definedName name="weodata">#REF!</definedName>
    <definedName name="wrn.Main._.Economic._.Indicators." localSheetId="17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16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21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8" hidden="1">{"Main Economic Indicators",#N/A,FALSE,"C"}</definedName>
    <definedName name="wrn.Main._.Economic._.Indicators." localSheetId="22" hidden="1">{"Main Economic Indicators",#N/A,FALSE,"C"}</definedName>
    <definedName name="wrn.Main._.Economic._.Indicators." localSheetId="19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20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9" hidden="1">{"Main Economic Indicators",#N/A,FALSE,"C"}</definedName>
    <definedName name="wrn.Main._.Economic._.Indicators." localSheetId="5" hidden="1">{"Main Economic Indicators",#N/A,FALSE,"C"}</definedName>
    <definedName name="wrn.Main._.Economic._.Indicators." hidden="1">{"Main Economic Indicators",#N/A,FALSE,"C"}</definedName>
    <definedName name="wrn.red97." localSheetId="17" hidden="1">{"red33",#N/A,FALSE,"Sheet1"}</definedName>
    <definedName name="wrn.red97." localSheetId="3" hidden="1">{"red33",#N/A,FALSE,"Sheet1"}</definedName>
    <definedName name="wrn.red97." localSheetId="16" hidden="1">{"red33",#N/A,FALSE,"Sheet1"}</definedName>
    <definedName name="wrn.red97." localSheetId="8" hidden="1">{"red33",#N/A,FALSE,"Sheet1"}</definedName>
    <definedName name="wrn.red97." localSheetId="7" hidden="1">{"red33",#N/A,FALSE,"Sheet1"}</definedName>
    <definedName name="wrn.red97." localSheetId="21" hidden="1">{"red33",#N/A,FALSE,"Sheet1"}</definedName>
    <definedName name="wrn.red97." localSheetId="10" hidden="1">{"red33",#N/A,FALSE,"Sheet1"}</definedName>
    <definedName name="wrn.red97." localSheetId="18" hidden="1">{"red33",#N/A,FALSE,"Sheet1"}</definedName>
    <definedName name="wrn.red97." localSheetId="22" hidden="1">{"red33",#N/A,FALSE,"Sheet1"}</definedName>
    <definedName name="wrn.red97." localSheetId="19" hidden="1">{"red33",#N/A,FALSE,"Sheet1"}</definedName>
    <definedName name="wrn.red97." localSheetId="11" hidden="1">{"red33",#N/A,FALSE,"Sheet1"}</definedName>
    <definedName name="wrn.red97." localSheetId="6" hidden="1">{"red33",#N/A,FALSE,"Sheet1"}</definedName>
    <definedName name="wrn.red97." localSheetId="20" hidden="1">{"red33",#N/A,FALSE,"Sheet1"}</definedName>
    <definedName name="wrn.red97." localSheetId="4" hidden="1">{"red33",#N/A,FALSE,"Sheet1"}</definedName>
    <definedName name="wrn.red97." localSheetId="9" hidden="1">{"red33",#N/A,FALSE,"Sheet1"}</definedName>
    <definedName name="wrn.red97." localSheetId="5" hidden="1">{"red33",#N/A,FALSE,"Sheet1"}</definedName>
    <definedName name="wrn.red97." hidden="1">{"red33",#N/A,FALSE,"Sheet1"}</definedName>
    <definedName name="wrn.st1." localSheetId="17" hidden="1">{"ST1",#N/A,FALSE,"SOURCE"}</definedName>
    <definedName name="wrn.st1." localSheetId="3" hidden="1">{"ST1",#N/A,FALSE,"SOURCE"}</definedName>
    <definedName name="wrn.st1." localSheetId="16" hidden="1">{"ST1",#N/A,FALSE,"SOURCE"}</definedName>
    <definedName name="wrn.st1." localSheetId="8" hidden="1">{"ST1",#N/A,FALSE,"SOURCE"}</definedName>
    <definedName name="wrn.st1." localSheetId="7" hidden="1">{"ST1",#N/A,FALSE,"SOURCE"}</definedName>
    <definedName name="wrn.st1." localSheetId="21" hidden="1">{"ST1",#N/A,FALSE,"SOURCE"}</definedName>
    <definedName name="wrn.st1." localSheetId="10" hidden="1">{"ST1",#N/A,FALSE,"SOURCE"}</definedName>
    <definedName name="wrn.st1." localSheetId="18" hidden="1">{"ST1",#N/A,FALSE,"SOURCE"}</definedName>
    <definedName name="wrn.st1." localSheetId="22" hidden="1">{"ST1",#N/A,FALSE,"SOURCE"}</definedName>
    <definedName name="wrn.st1." localSheetId="19" hidden="1">{"ST1",#N/A,FALSE,"SOURCE"}</definedName>
    <definedName name="wrn.st1." localSheetId="11" hidden="1">{"ST1",#N/A,FALSE,"SOURCE"}</definedName>
    <definedName name="wrn.st1." localSheetId="6" hidden="1">{"ST1",#N/A,FALSE,"SOURCE"}</definedName>
    <definedName name="wrn.st1." localSheetId="20" hidden="1">{"ST1",#N/A,FALSE,"SOURCE"}</definedName>
    <definedName name="wrn.st1." localSheetId="4" hidden="1">{"ST1",#N/A,FALSE,"SOURCE"}</definedName>
    <definedName name="wrn.st1." localSheetId="9" hidden="1">{"ST1",#N/A,FALSE,"SOURCE"}</definedName>
    <definedName name="wrn.st1." localSheetId="5" hidden="1">{"ST1",#N/A,FALSE,"SOURCE"}</definedName>
    <definedName name="wrn.st1." hidden="1">{"ST1",#N/A,FALSE,"SOURCE"}</definedName>
    <definedName name="Wt_d">[9]CIRRs!$C$59</definedName>
    <definedName name="WT4A" localSheetId="9">[2]Work_sect!#REF!</definedName>
    <definedName name="WT4A" localSheetId="5">[2]Work_sect!#REF!</definedName>
    <definedName name="WT4A">[2]Work_sect!#REF!</definedName>
    <definedName name="xdr" localSheetId="9">#REF!</definedName>
    <definedName name="xdr" localSheetId="5">#REF!</definedName>
    <definedName name="xdr">#REF!</definedName>
    <definedName name="XGS" localSheetId="9">#REF!</definedName>
    <definedName name="XGS" localSheetId="5">#REF!</definedName>
    <definedName name="XGS">#REF!</definedName>
    <definedName name="xr">[26]CIRRs!$C$4:$D$35</definedName>
    <definedName name="xxxxxxxxxxxxxxx" localSheetId="3" hidden="1">{"red33",#N/A,FALSE,"Sheet1"}</definedName>
    <definedName name="xxxxxxxxxxxxxxx" hidden="1">{"red33",#N/A,FALSE,"Sheet1"}</definedName>
    <definedName name="Year" localSheetId="9">#REF!</definedName>
    <definedName name="Year" localSheetId="5">#REF!</definedName>
    <definedName name="Year">#REF!</definedName>
  </definedNames>
  <calcPr calcId="152511"/>
</workbook>
</file>

<file path=xl/calcChain.xml><?xml version="1.0" encoding="utf-8"?>
<calcChain xmlns="http://schemas.openxmlformats.org/spreadsheetml/2006/main">
  <c r="R1" i="49" l="1"/>
  <c r="Q1" i="49"/>
  <c r="P1" i="49"/>
  <c r="O1" i="49"/>
  <c r="N1" i="49"/>
  <c r="M1" i="49"/>
  <c r="L1" i="49"/>
  <c r="K1" i="49"/>
  <c r="J1" i="49"/>
  <c r="I1" i="49"/>
  <c r="H1" i="49"/>
  <c r="G1" i="49"/>
  <c r="H101" i="49"/>
  <c r="H105" i="49"/>
  <c r="H107" i="49"/>
  <c r="H108" i="49"/>
  <c r="H109" i="49"/>
  <c r="H116" i="49"/>
  <c r="H117" i="49"/>
  <c r="H115" i="49" s="1"/>
  <c r="H119" i="49"/>
  <c r="H124" i="49"/>
  <c r="H129" i="49"/>
  <c r="H130" i="49"/>
  <c r="H134" i="49"/>
  <c r="H135" i="49"/>
  <c r="H136" i="49"/>
  <c r="H137" i="49"/>
  <c r="H138" i="49"/>
  <c r="H139" i="49"/>
  <c r="H140" i="49"/>
  <c r="H141" i="49"/>
  <c r="H142" i="49"/>
  <c r="H143" i="49"/>
  <c r="H144" i="49"/>
  <c r="H270" i="49"/>
  <c r="H271" i="49"/>
  <c r="I101" i="49"/>
  <c r="I105" i="49"/>
  <c r="I107" i="49"/>
  <c r="I108" i="49"/>
  <c r="I109" i="49"/>
  <c r="I116" i="49"/>
  <c r="I117" i="49"/>
  <c r="I115" i="49"/>
  <c r="I119" i="49"/>
  <c r="I124" i="49"/>
  <c r="I129" i="49"/>
  <c r="I130" i="49"/>
  <c r="I134" i="49"/>
  <c r="I135" i="49"/>
  <c r="I136" i="49"/>
  <c r="I137" i="49"/>
  <c r="I138" i="49"/>
  <c r="I139" i="49"/>
  <c r="I140" i="49"/>
  <c r="I141" i="49"/>
  <c r="I142" i="49"/>
  <c r="I143" i="49"/>
  <c r="I144" i="49"/>
  <c r="I270" i="49"/>
  <c r="I271" i="49"/>
  <c r="J101" i="49"/>
  <c r="J105" i="49"/>
  <c r="J107" i="49"/>
  <c r="J108" i="49"/>
  <c r="J109" i="49"/>
  <c r="J116" i="49"/>
  <c r="J117" i="49"/>
  <c r="J115" i="49" s="1"/>
  <c r="J119" i="49"/>
  <c r="J124" i="49"/>
  <c r="J129" i="49"/>
  <c r="J130" i="49"/>
  <c r="J134" i="49"/>
  <c r="J135" i="49"/>
  <c r="J136" i="49"/>
  <c r="J137" i="49"/>
  <c r="J138" i="49"/>
  <c r="J139" i="49"/>
  <c r="J140" i="49"/>
  <c r="J141" i="49"/>
  <c r="J142" i="49"/>
  <c r="J143" i="49"/>
  <c r="J144" i="49"/>
  <c r="J270" i="49"/>
  <c r="J271" i="49"/>
  <c r="K101" i="49"/>
  <c r="K105" i="49"/>
  <c r="K107" i="49"/>
  <c r="K108" i="49"/>
  <c r="K109" i="49"/>
  <c r="K116" i="49"/>
  <c r="K117" i="49"/>
  <c r="K119" i="49"/>
  <c r="K124" i="49"/>
  <c r="K129" i="49"/>
  <c r="K130" i="49"/>
  <c r="K134" i="49"/>
  <c r="K135" i="49"/>
  <c r="K136" i="49"/>
  <c r="K137" i="49"/>
  <c r="K138" i="49"/>
  <c r="K139" i="49"/>
  <c r="K140" i="49"/>
  <c r="K141" i="49"/>
  <c r="K142" i="49"/>
  <c r="K143" i="49"/>
  <c r="K144" i="49"/>
  <c r="K270" i="49"/>
  <c r="K271" i="49"/>
  <c r="L101" i="49"/>
  <c r="L105" i="49"/>
  <c r="L107" i="49"/>
  <c r="L108" i="49"/>
  <c r="L109" i="49"/>
  <c r="L116" i="49"/>
  <c r="L117" i="49"/>
  <c r="L119" i="49"/>
  <c r="L124" i="49"/>
  <c r="L129" i="49"/>
  <c r="L130" i="49"/>
  <c r="L134" i="49"/>
  <c r="L135" i="49"/>
  <c r="L136" i="49"/>
  <c r="L137" i="49"/>
  <c r="L138" i="49"/>
  <c r="L139" i="49"/>
  <c r="L140" i="49"/>
  <c r="L141" i="49"/>
  <c r="L142" i="49"/>
  <c r="L143" i="49"/>
  <c r="L144" i="49"/>
  <c r="L270" i="49"/>
  <c r="L271" i="49"/>
  <c r="M101" i="49"/>
  <c r="M105" i="49"/>
  <c r="M107" i="49"/>
  <c r="M108" i="49"/>
  <c r="M109" i="49"/>
  <c r="M116" i="49"/>
  <c r="M115" i="49" s="1"/>
  <c r="M117" i="49"/>
  <c r="M119" i="49"/>
  <c r="M124" i="49"/>
  <c r="M129" i="49"/>
  <c r="M130" i="49"/>
  <c r="M134" i="49"/>
  <c r="M135" i="49"/>
  <c r="M136" i="49"/>
  <c r="M137" i="49"/>
  <c r="M138" i="49"/>
  <c r="M139" i="49"/>
  <c r="M140" i="49"/>
  <c r="M141" i="49"/>
  <c r="M142" i="49"/>
  <c r="M143" i="49"/>
  <c r="M144" i="49"/>
  <c r="M270" i="49"/>
  <c r="M271" i="49"/>
  <c r="N101" i="49"/>
  <c r="N105" i="49"/>
  <c r="N107" i="49"/>
  <c r="N108" i="49"/>
  <c r="N109" i="49"/>
  <c r="N116" i="49"/>
  <c r="N117" i="49"/>
  <c r="N119" i="49"/>
  <c r="N124" i="49"/>
  <c r="N129" i="49"/>
  <c r="N130" i="49"/>
  <c r="N134" i="49"/>
  <c r="N135" i="49"/>
  <c r="N136" i="49"/>
  <c r="N137" i="49"/>
  <c r="N138" i="49"/>
  <c r="N139" i="49"/>
  <c r="N140" i="49"/>
  <c r="N141" i="49"/>
  <c r="N142" i="49"/>
  <c r="N143" i="49"/>
  <c r="N144" i="49"/>
  <c r="N270" i="49"/>
  <c r="N271" i="49"/>
  <c r="O101" i="49"/>
  <c r="O105" i="49"/>
  <c r="O107" i="49"/>
  <c r="O108" i="49"/>
  <c r="O109" i="49"/>
  <c r="O116" i="49"/>
  <c r="O117" i="49"/>
  <c r="O115" i="49"/>
  <c r="O119" i="49"/>
  <c r="O124" i="49"/>
  <c r="O129" i="49"/>
  <c r="O130" i="49"/>
  <c r="O134" i="49"/>
  <c r="O135" i="49"/>
  <c r="O136" i="49"/>
  <c r="O137" i="49"/>
  <c r="O138" i="49"/>
  <c r="O139" i="49"/>
  <c r="O140" i="49"/>
  <c r="O141" i="49"/>
  <c r="O142" i="49"/>
  <c r="O143" i="49"/>
  <c r="O144" i="49"/>
  <c r="O270" i="49"/>
  <c r="O271" i="49"/>
  <c r="P101" i="49"/>
  <c r="P105" i="49"/>
  <c r="P107" i="49"/>
  <c r="P108" i="49"/>
  <c r="P109" i="49"/>
  <c r="P116" i="49"/>
  <c r="P117" i="49"/>
  <c r="P115" i="49" s="1"/>
  <c r="P119" i="49"/>
  <c r="P124" i="49"/>
  <c r="P129" i="49"/>
  <c r="P130" i="49"/>
  <c r="P134" i="49"/>
  <c r="P135" i="49"/>
  <c r="P136" i="49"/>
  <c r="P137" i="49"/>
  <c r="P138" i="49"/>
  <c r="P139" i="49"/>
  <c r="P140" i="49"/>
  <c r="P141" i="49"/>
  <c r="P142" i="49"/>
  <c r="P143" i="49"/>
  <c r="P144" i="49"/>
  <c r="P270" i="49"/>
  <c r="P271" i="49"/>
  <c r="Q101" i="49"/>
  <c r="Q105" i="49"/>
  <c r="Q107" i="49"/>
  <c r="Q108" i="49"/>
  <c r="Q109" i="49"/>
  <c r="Q116" i="49"/>
  <c r="Q117" i="49"/>
  <c r="Q115" i="49"/>
  <c r="Q119" i="49"/>
  <c r="Q124" i="49"/>
  <c r="Q129" i="49"/>
  <c r="Q130" i="49"/>
  <c r="Q134" i="49"/>
  <c r="Q135" i="49"/>
  <c r="Q136" i="49"/>
  <c r="Q137" i="49"/>
  <c r="Q138" i="49"/>
  <c r="Q139" i="49"/>
  <c r="Q140" i="49"/>
  <c r="Q141" i="49"/>
  <c r="Q142" i="49"/>
  <c r="Q143" i="49"/>
  <c r="Q144" i="49"/>
  <c r="Q270" i="49"/>
  <c r="Q271" i="49"/>
  <c r="R101" i="49"/>
  <c r="R105" i="49"/>
  <c r="R107" i="49"/>
  <c r="R108" i="49"/>
  <c r="R109" i="49"/>
  <c r="R116" i="49"/>
  <c r="R117" i="49"/>
  <c r="R115" i="49" s="1"/>
  <c r="R119" i="49"/>
  <c r="R124" i="49"/>
  <c r="R129" i="49"/>
  <c r="R130" i="49"/>
  <c r="R134" i="49"/>
  <c r="R135" i="49"/>
  <c r="R136" i="49"/>
  <c r="R137" i="49"/>
  <c r="R138" i="49"/>
  <c r="R139" i="49"/>
  <c r="R140" i="49"/>
  <c r="R141" i="49"/>
  <c r="R142" i="49"/>
  <c r="R143" i="49"/>
  <c r="R144" i="49"/>
  <c r="R270" i="49"/>
  <c r="R271" i="49"/>
  <c r="G101" i="49"/>
  <c r="G105" i="49"/>
  <c r="G107" i="49"/>
  <c r="G108" i="49"/>
  <c r="G109" i="49"/>
  <c r="G116" i="49"/>
  <c r="G117" i="49"/>
  <c r="G119" i="49"/>
  <c r="G124" i="49"/>
  <c r="G129" i="49"/>
  <c r="G130" i="49"/>
  <c r="G134" i="49"/>
  <c r="G135" i="49"/>
  <c r="G136" i="49"/>
  <c r="G137" i="49"/>
  <c r="G138" i="49"/>
  <c r="G139" i="49"/>
  <c r="G140" i="49"/>
  <c r="G141" i="49"/>
  <c r="G142" i="49"/>
  <c r="G143" i="49"/>
  <c r="G144" i="49"/>
  <c r="G270" i="49"/>
  <c r="G271" i="49"/>
  <c r="T99" i="49"/>
  <c r="T98" i="49"/>
  <c r="T97" i="49"/>
  <c r="T96" i="49"/>
  <c r="T89" i="49"/>
  <c r="T91" i="49"/>
  <c r="T87" i="49"/>
  <c r="T86" i="49"/>
  <c r="T85" i="49"/>
  <c r="T84" i="49"/>
  <c r="T83" i="49"/>
  <c r="T82" i="49"/>
  <c r="T81" i="49"/>
  <c r="T80" i="49"/>
  <c r="T79" i="49"/>
  <c r="T69" i="49"/>
  <c r="T65" i="49"/>
  <c r="T64" i="49"/>
  <c r="T58" i="49"/>
  <c r="T55" i="49"/>
  <c r="T54" i="49"/>
  <c r="T50" i="49"/>
  <c r="T44" i="49"/>
  <c r="T43" i="49"/>
  <c r="T38" i="49"/>
  <c r="T37" i="49"/>
  <c r="T36" i="49"/>
  <c r="T26" i="49"/>
  <c r="T25" i="49"/>
  <c r="T24" i="49"/>
  <c r="T19" i="49"/>
  <c r="G20" i="49"/>
  <c r="G21" i="49"/>
  <c r="G19" i="49" s="1"/>
  <c r="G22" i="49"/>
  <c r="G23" i="49"/>
  <c r="H20" i="49"/>
  <c r="H21" i="49"/>
  <c r="H19" i="49" s="1"/>
  <c r="H22" i="49"/>
  <c r="H23" i="49"/>
  <c r="I20" i="49"/>
  <c r="I21" i="49"/>
  <c r="I19" i="49" s="1"/>
  <c r="I22" i="49"/>
  <c r="I23" i="49"/>
  <c r="J20" i="49"/>
  <c r="J21" i="49"/>
  <c r="J22" i="49"/>
  <c r="J23" i="49"/>
  <c r="K20" i="49"/>
  <c r="K21" i="49"/>
  <c r="K22" i="49"/>
  <c r="K23" i="49"/>
  <c r="K19" i="49"/>
  <c r="L20" i="49"/>
  <c r="L21" i="49"/>
  <c r="L22" i="49"/>
  <c r="L23" i="49"/>
  <c r="L19" i="49" s="1"/>
  <c r="M20" i="49"/>
  <c r="M21" i="49"/>
  <c r="M22" i="49"/>
  <c r="M23" i="49"/>
  <c r="N20" i="49"/>
  <c r="N21" i="49"/>
  <c r="N22" i="49"/>
  <c r="N23" i="49"/>
  <c r="O20" i="49"/>
  <c r="O21" i="49"/>
  <c r="O22" i="49"/>
  <c r="O23" i="49"/>
  <c r="P20" i="49"/>
  <c r="P21" i="49"/>
  <c r="P22" i="49"/>
  <c r="P23" i="49"/>
  <c r="P19" i="49"/>
  <c r="Q20" i="49"/>
  <c r="Q21" i="49"/>
  <c r="Q22" i="49"/>
  <c r="Q23" i="49"/>
  <c r="Q19" i="49" s="1"/>
  <c r="R20" i="49"/>
  <c r="R21" i="49"/>
  <c r="R22" i="49"/>
  <c r="R23" i="49"/>
  <c r="R19" i="49" s="1"/>
  <c r="T18" i="49"/>
  <c r="T16" i="49"/>
  <c r="T17" i="49"/>
  <c r="T15" i="49"/>
  <c r="T12" i="49"/>
  <c r="T11" i="49"/>
  <c r="T10" i="49"/>
  <c r="T9" i="49"/>
  <c r="T8" i="49"/>
  <c r="T7" i="49" s="1"/>
  <c r="T14" i="49"/>
  <c r="T13" i="49"/>
  <c r="G251" i="49"/>
  <c r="H251" i="49"/>
  <c r="I251" i="49"/>
  <c r="J251" i="49"/>
  <c r="K251" i="49"/>
  <c r="L251" i="49"/>
  <c r="M251" i="49"/>
  <c r="N251" i="49"/>
  <c r="O251" i="49"/>
  <c r="P251" i="49"/>
  <c r="Q251" i="49"/>
  <c r="R251" i="49"/>
  <c r="T233" i="49"/>
  <c r="T239" i="49"/>
  <c r="T240" i="49"/>
  <c r="T232" i="49"/>
  <c r="J252" i="16"/>
  <c r="H31" i="49"/>
  <c r="H32" i="49"/>
  <c r="H33" i="49"/>
  <c r="H34" i="49"/>
  <c r="H35" i="49"/>
  <c r="H30" i="49"/>
  <c r="H42" i="49"/>
  <c r="H45" i="49"/>
  <c r="H46" i="49"/>
  <c r="H47" i="49"/>
  <c r="H61" i="49"/>
  <c r="H90" i="49"/>
  <c r="H92" i="49"/>
  <c r="H94" i="49"/>
  <c r="H93" i="49" s="1"/>
  <c r="H95" i="49"/>
  <c r="H156" i="49"/>
  <c r="H155" i="49" s="1"/>
  <c r="H163" i="49"/>
  <c r="H166" i="49"/>
  <c r="H167" i="49"/>
  <c r="H168" i="49"/>
  <c r="H169" i="49"/>
  <c r="H173" i="49"/>
  <c r="H176" i="49"/>
  <c r="H177" i="49"/>
  <c r="H181" i="49"/>
  <c r="H184" i="49"/>
  <c r="H185" i="49"/>
  <c r="H183" i="49"/>
  <c r="H188" i="49"/>
  <c r="H189" i="49"/>
  <c r="H190" i="49"/>
  <c r="H192" i="49"/>
  <c r="H193" i="49"/>
  <c r="H194" i="49"/>
  <c r="H195" i="49"/>
  <c r="H196" i="49"/>
  <c r="H198" i="49"/>
  <c r="H199" i="49"/>
  <c r="H200" i="49"/>
  <c r="H203" i="49"/>
  <c r="H205" i="49"/>
  <c r="H209" i="49"/>
  <c r="H210" i="49"/>
  <c r="H211" i="49"/>
  <c r="H212" i="49"/>
  <c r="H213" i="49"/>
  <c r="H214" i="49"/>
  <c r="H215" i="49"/>
  <c r="H216" i="49"/>
  <c r="H217" i="49"/>
  <c r="H218" i="49"/>
  <c r="H219" i="49"/>
  <c r="H220" i="49"/>
  <c r="H221" i="49"/>
  <c r="H222" i="49"/>
  <c r="H223" i="49"/>
  <c r="H224" i="49"/>
  <c r="H225" i="49"/>
  <c r="H226" i="49"/>
  <c r="H227" i="49"/>
  <c r="H228" i="49"/>
  <c r="H231" i="49"/>
  <c r="H235" i="49"/>
  <c r="H234" i="49" s="1"/>
  <c r="H236" i="49"/>
  <c r="H237" i="49"/>
  <c r="H238" i="49"/>
  <c r="H243" i="49"/>
  <c r="H242" i="49"/>
  <c r="H241" i="49" s="1"/>
  <c r="H248" i="49"/>
  <c r="H247" i="49" s="1"/>
  <c r="H253" i="49"/>
  <c r="H254" i="49"/>
  <c r="H256" i="49"/>
  <c r="H257" i="49"/>
  <c r="H259" i="49"/>
  <c r="H260" i="49"/>
  <c r="H262" i="49"/>
  <c r="H263" i="49"/>
  <c r="H264" i="49"/>
  <c r="H265" i="49"/>
  <c r="H267" i="49"/>
  <c r="T230" i="49"/>
  <c r="P43" i="18"/>
  <c r="Q43" i="18" s="1"/>
  <c r="I43" i="18"/>
  <c r="I19" i="18"/>
  <c r="P19" i="18"/>
  <c r="A7" i="18"/>
  <c r="A6" i="18"/>
  <c r="P18" i="18"/>
  <c r="C17" i="18"/>
  <c r="I18" i="18"/>
  <c r="F116" i="18"/>
  <c r="L116" i="18"/>
  <c r="J116" i="18"/>
  <c r="K116" i="18"/>
  <c r="M116" i="18"/>
  <c r="N116" i="18"/>
  <c r="I116" i="18"/>
  <c r="J115" i="18"/>
  <c r="K115" i="18"/>
  <c r="L115" i="18"/>
  <c r="M115" i="18"/>
  <c r="N115" i="18"/>
  <c r="I115" i="18"/>
  <c r="D116" i="18"/>
  <c r="E116" i="18"/>
  <c r="G116" i="18"/>
  <c r="H116" i="18"/>
  <c r="D115" i="18"/>
  <c r="E115" i="18"/>
  <c r="F115" i="18"/>
  <c r="G115" i="18"/>
  <c r="H115" i="18"/>
  <c r="C116" i="18"/>
  <c r="O116" i="18" s="1"/>
  <c r="C115" i="18"/>
  <c r="G23" i="2"/>
  <c r="L55" i="16"/>
  <c r="N48" i="49" s="1"/>
  <c r="M55" i="16"/>
  <c r="O48" i="49" s="1"/>
  <c r="N55" i="16"/>
  <c r="P48" i="49" s="1"/>
  <c r="O55" i="16"/>
  <c r="Q48" i="49" s="1"/>
  <c r="P55" i="16"/>
  <c r="R48" i="49" s="1"/>
  <c r="F55" i="16"/>
  <c r="H48" i="49" s="1"/>
  <c r="G55" i="16"/>
  <c r="I48" i="49" s="1"/>
  <c r="H55" i="16"/>
  <c r="J48" i="49" s="1"/>
  <c r="I55" i="16"/>
  <c r="K48" i="49" s="1"/>
  <c r="J55" i="16"/>
  <c r="L48" i="49" s="1"/>
  <c r="K55" i="16"/>
  <c r="M48" i="49" s="1"/>
  <c r="T208" i="49"/>
  <c r="U292" i="49"/>
  <c r="T382" i="49"/>
  <c r="T380" i="49"/>
  <c r="T379" i="49"/>
  <c r="T374" i="49"/>
  <c r="T372" i="49"/>
  <c r="T371" i="49"/>
  <c r="T370" i="49" s="1"/>
  <c r="T365" i="49" s="1"/>
  <c r="T364" i="49"/>
  <c r="T363" i="49"/>
  <c r="T362" i="49"/>
  <c r="T359" i="49"/>
  <c r="T354" i="49"/>
  <c r="T353" i="49"/>
  <c r="T352" i="49"/>
  <c r="T348" i="49"/>
  <c r="T347" i="49"/>
  <c r="T346" i="49"/>
  <c r="T345" i="49"/>
  <c r="T344" i="49"/>
  <c r="T343" i="49" s="1"/>
  <c r="T342" i="49" s="1"/>
  <c r="T336" i="49"/>
  <c r="T335" i="49" s="1"/>
  <c r="T305" i="49"/>
  <c r="T303" i="49" s="1"/>
  <c r="T298" i="49"/>
  <c r="T297" i="49"/>
  <c r="T296" i="49"/>
  <c r="T294" i="49" s="1"/>
  <c r="T291" i="49"/>
  <c r="T290" i="49"/>
  <c r="T286" i="49"/>
  <c r="T285" i="49"/>
  <c r="T284" i="49"/>
  <c r="T295" i="49"/>
  <c r="T274" i="49"/>
  <c r="T273" i="49" s="1"/>
  <c r="T272" i="49"/>
  <c r="T269" i="49" s="1"/>
  <c r="T271" i="49"/>
  <c r="T270" i="49"/>
  <c r="T266" i="49"/>
  <c r="T253" i="49"/>
  <c r="T242" i="49"/>
  <c r="T241" i="49"/>
  <c r="T229" i="49"/>
  <c r="U76" i="49"/>
  <c r="U75" i="49"/>
  <c r="T289" i="49"/>
  <c r="T234" i="49"/>
  <c r="T244" i="49"/>
  <c r="T351" i="49"/>
  <c r="T277" i="49"/>
  <c r="E344" i="49"/>
  <c r="S312" i="49"/>
  <c r="U312" i="49"/>
  <c r="F28" i="35"/>
  <c r="F51" i="35"/>
  <c r="F54" i="35"/>
  <c r="F55" i="35"/>
  <c r="F56" i="35"/>
  <c r="F76" i="35"/>
  <c r="F78" i="35"/>
  <c r="F80" i="35"/>
  <c r="F81" i="35"/>
  <c r="E28" i="21"/>
  <c r="F28" i="21"/>
  <c r="G28" i="21"/>
  <c r="H28" i="21"/>
  <c r="H36" i="21"/>
  <c r="I28" i="21"/>
  <c r="J28" i="21"/>
  <c r="K28" i="21"/>
  <c r="N332" i="49"/>
  <c r="N323" i="49" s="1"/>
  <c r="L28" i="21"/>
  <c r="O332" i="49" s="1"/>
  <c r="O323" i="49" s="1"/>
  <c r="M28" i="21"/>
  <c r="N28" i="21"/>
  <c r="Q332" i="49" s="1"/>
  <c r="Q323" i="49" s="1"/>
  <c r="O28" i="21"/>
  <c r="D28" i="21"/>
  <c r="D36" i="21"/>
  <c r="B127" i="20"/>
  <c r="Y391" i="49"/>
  <c r="S388" i="49"/>
  <c r="Y388" i="49" s="1"/>
  <c r="S387" i="49"/>
  <c r="S386" i="49"/>
  <c r="F383" i="49"/>
  <c r="Z382" i="49"/>
  <c r="E382" i="49"/>
  <c r="S381" i="49"/>
  <c r="E379" i="49"/>
  <c r="S376" i="49"/>
  <c r="S375" i="49"/>
  <c r="H374" i="49"/>
  <c r="F374" i="49"/>
  <c r="E374" i="49"/>
  <c r="S373" i="49"/>
  <c r="U373" i="49" s="1"/>
  <c r="F372" i="49"/>
  <c r="F371" i="49"/>
  <c r="S369" i="49"/>
  <c r="U369" i="49" s="1"/>
  <c r="S368" i="49"/>
  <c r="S367" i="49"/>
  <c r="S366" i="49"/>
  <c r="U366" i="49" s="1"/>
  <c r="D365" i="49"/>
  <c r="Z361" i="49"/>
  <c r="P361" i="49"/>
  <c r="P359" i="49" s="1"/>
  <c r="O361" i="49"/>
  <c r="L361" i="49"/>
  <c r="J361" i="49"/>
  <c r="I361" i="49"/>
  <c r="I359" i="49" s="1"/>
  <c r="H361" i="49"/>
  <c r="H359" i="49" s="1"/>
  <c r="E361" i="49"/>
  <c r="O360" i="49"/>
  <c r="L360" i="49"/>
  <c r="J360" i="49"/>
  <c r="J359" i="49" s="1"/>
  <c r="J355" i="49" s="1"/>
  <c r="H360" i="49"/>
  <c r="F360" i="49"/>
  <c r="E360" i="49"/>
  <c r="R359" i="49"/>
  <c r="Q359" i="49"/>
  <c r="N359" i="49"/>
  <c r="M359" i="49"/>
  <c r="K359" i="49"/>
  <c r="G359" i="49"/>
  <c r="F359" i="49"/>
  <c r="F355" i="49"/>
  <c r="E356" i="49"/>
  <c r="E355" i="49" s="1"/>
  <c r="E350" i="49" s="1"/>
  <c r="F364" i="49"/>
  <c r="E364" i="49"/>
  <c r="F363" i="49"/>
  <c r="E363" i="49"/>
  <c r="F362" i="49"/>
  <c r="E362" i="49"/>
  <c r="F354" i="49"/>
  <c r="E354" i="49"/>
  <c r="F353" i="49"/>
  <c r="F351" i="49" s="1"/>
  <c r="E353" i="49"/>
  <c r="E352" i="49"/>
  <c r="D350" i="49"/>
  <c r="S349" i="49"/>
  <c r="U349" i="49"/>
  <c r="E348" i="49"/>
  <c r="F347" i="49"/>
  <c r="E347" i="49"/>
  <c r="F346" i="49"/>
  <c r="E346" i="49"/>
  <c r="E343" i="49"/>
  <c r="F342" i="49"/>
  <c r="D342" i="49"/>
  <c r="S338" i="49"/>
  <c r="E336" i="49"/>
  <c r="E335" i="49" s="1"/>
  <c r="P335" i="49"/>
  <c r="F335" i="49"/>
  <c r="S334" i="49"/>
  <c r="R332" i="49"/>
  <c r="R323" i="49" s="1"/>
  <c r="P332" i="49"/>
  <c r="P323" i="49" s="1"/>
  <c r="M332" i="49"/>
  <c r="M323" i="49" s="1"/>
  <c r="F332" i="49"/>
  <c r="F323" i="49" s="1"/>
  <c r="E332" i="49"/>
  <c r="E323" i="49" s="1"/>
  <c r="S331" i="49"/>
  <c r="S330" i="49"/>
  <c r="S329" i="49"/>
  <c r="U329" i="49"/>
  <c r="S328" i="49"/>
  <c r="U328" i="49"/>
  <c r="S327" i="49"/>
  <c r="S326" i="49"/>
  <c r="U326" i="49"/>
  <c r="S325" i="49"/>
  <c r="Y325" i="49" s="1"/>
  <c r="S324" i="49"/>
  <c r="U324" i="49"/>
  <c r="R322" i="49"/>
  <c r="Q322" i="49"/>
  <c r="P322" i="49"/>
  <c r="O322" i="49"/>
  <c r="N322" i="49"/>
  <c r="M322" i="49"/>
  <c r="L322" i="49"/>
  <c r="K322" i="49"/>
  <c r="J322" i="49"/>
  <c r="I322" i="49"/>
  <c r="G322" i="49"/>
  <c r="F322" i="49"/>
  <c r="E322" i="49"/>
  <c r="V321" i="49"/>
  <c r="S321" i="49"/>
  <c r="U321" i="49"/>
  <c r="S320" i="49"/>
  <c r="U320" i="49"/>
  <c r="E318" i="49"/>
  <c r="D317" i="49"/>
  <c r="S316" i="49"/>
  <c r="U316" i="49"/>
  <c r="S308" i="49"/>
  <c r="U308" i="49"/>
  <c r="S307" i="49"/>
  <c r="U307" i="49"/>
  <c r="S306" i="49"/>
  <c r="U306" i="49"/>
  <c r="S304" i="49"/>
  <c r="U304" i="49"/>
  <c r="D303" i="49"/>
  <c r="S302" i="49"/>
  <c r="U302" i="49"/>
  <c r="S301" i="49"/>
  <c r="W301" i="49" s="1"/>
  <c r="S300" i="49"/>
  <c r="S299" i="49"/>
  <c r="R298" i="49"/>
  <c r="Q298" i="49"/>
  <c r="P298" i="49"/>
  <c r="O298" i="49"/>
  <c r="N298" i="49"/>
  <c r="M298" i="49"/>
  <c r="L298" i="49"/>
  <c r="K298" i="49"/>
  <c r="J298" i="49"/>
  <c r="I298" i="49"/>
  <c r="H298" i="49"/>
  <c r="G298" i="49"/>
  <c r="F298" i="49"/>
  <c r="E298" i="49"/>
  <c r="Z297" i="49"/>
  <c r="E297" i="49"/>
  <c r="Z296" i="49"/>
  <c r="F296" i="49"/>
  <c r="E296" i="49"/>
  <c r="E295" i="49"/>
  <c r="E294" i="49" s="1"/>
  <c r="E293" i="49" s="1"/>
  <c r="F295" i="49"/>
  <c r="Z294" i="49"/>
  <c r="D294" i="49"/>
  <c r="D293" i="49"/>
  <c r="Z293" i="49"/>
  <c r="Y292" i="49"/>
  <c r="E292" i="49"/>
  <c r="Z291" i="49"/>
  <c r="E291" i="49"/>
  <c r="Z290" i="49"/>
  <c r="E290" i="49"/>
  <c r="Z289" i="49"/>
  <c r="Z288" i="49"/>
  <c r="F288" i="49"/>
  <c r="F283" i="49" s="1"/>
  <c r="E288" i="49"/>
  <c r="S287" i="49"/>
  <c r="U287" i="49"/>
  <c r="Z286" i="49"/>
  <c r="E286" i="49"/>
  <c r="Z285" i="49"/>
  <c r="E285" i="49"/>
  <c r="Z284" i="49"/>
  <c r="E284" i="49"/>
  <c r="Z283" i="49"/>
  <c r="D283" i="49"/>
  <c r="S280" i="49"/>
  <c r="Z279" i="49"/>
  <c r="Z278" i="49"/>
  <c r="E278" i="49"/>
  <c r="F277" i="49"/>
  <c r="F273" i="49"/>
  <c r="D277" i="49"/>
  <c r="S276" i="49"/>
  <c r="U276" i="49" s="1"/>
  <c r="S275" i="49"/>
  <c r="U275" i="49"/>
  <c r="R274" i="49"/>
  <c r="Q274" i="49"/>
  <c r="P274" i="49"/>
  <c r="O274" i="49"/>
  <c r="N274" i="49"/>
  <c r="M274" i="49"/>
  <c r="L274" i="49"/>
  <c r="K274" i="49"/>
  <c r="J274" i="49"/>
  <c r="I274" i="49"/>
  <c r="H274" i="49"/>
  <c r="G274" i="49"/>
  <c r="E274" i="49"/>
  <c r="D274" i="49"/>
  <c r="C272" i="49"/>
  <c r="C271" i="49"/>
  <c r="C270" i="49"/>
  <c r="R268" i="49"/>
  <c r="M268" i="49"/>
  <c r="L268" i="49"/>
  <c r="K268" i="49"/>
  <c r="J268" i="49"/>
  <c r="I268" i="49"/>
  <c r="C268" i="49"/>
  <c r="R267" i="49"/>
  <c r="Q267" i="49"/>
  <c r="P267" i="49"/>
  <c r="O267" i="49"/>
  <c r="N267" i="49"/>
  <c r="M267" i="49"/>
  <c r="L267" i="49"/>
  <c r="K267" i="49"/>
  <c r="J267" i="49"/>
  <c r="I267" i="49"/>
  <c r="G267" i="49"/>
  <c r="C267" i="49"/>
  <c r="C266" i="49"/>
  <c r="R265" i="49"/>
  <c r="Q265" i="49"/>
  <c r="P265" i="49"/>
  <c r="O265" i="49"/>
  <c r="N265" i="49"/>
  <c r="M265" i="49"/>
  <c r="L265" i="49"/>
  <c r="K265" i="49"/>
  <c r="J265" i="49"/>
  <c r="I265" i="49"/>
  <c r="G265" i="49"/>
  <c r="C265" i="49"/>
  <c r="R264" i="49"/>
  <c r="P264" i="49"/>
  <c r="O264" i="49"/>
  <c r="N264" i="49"/>
  <c r="G264" i="49"/>
  <c r="C264" i="49"/>
  <c r="R263" i="49"/>
  <c r="Q263" i="49"/>
  <c r="P263" i="49"/>
  <c r="O263" i="49"/>
  <c r="N263" i="49"/>
  <c r="M263" i="49"/>
  <c r="L263" i="49"/>
  <c r="K263" i="49"/>
  <c r="J263" i="49"/>
  <c r="I263" i="49"/>
  <c r="G263" i="49"/>
  <c r="C263" i="49"/>
  <c r="R262" i="49"/>
  <c r="Q262" i="49"/>
  <c r="P262" i="49"/>
  <c r="O262" i="49"/>
  <c r="N262" i="49"/>
  <c r="M262" i="49"/>
  <c r="L262" i="49"/>
  <c r="K262" i="49"/>
  <c r="J262" i="49"/>
  <c r="I262" i="49"/>
  <c r="G262" i="49"/>
  <c r="C262" i="49"/>
  <c r="C261" i="49"/>
  <c r="R260" i="49"/>
  <c r="Q260" i="49"/>
  <c r="P260" i="49"/>
  <c r="O260" i="49"/>
  <c r="N260" i="49"/>
  <c r="M260" i="49"/>
  <c r="L260" i="49"/>
  <c r="K260" i="49"/>
  <c r="J260" i="49"/>
  <c r="I260" i="49"/>
  <c r="G260" i="49"/>
  <c r="C260" i="49"/>
  <c r="R259" i="49"/>
  <c r="Q259" i="49"/>
  <c r="P259" i="49"/>
  <c r="O259" i="49"/>
  <c r="N259" i="49"/>
  <c r="M259" i="49"/>
  <c r="L259" i="49"/>
  <c r="K259" i="49"/>
  <c r="J259" i="49"/>
  <c r="I259" i="49"/>
  <c r="G259" i="49"/>
  <c r="C259" i="49"/>
  <c r="C258" i="49"/>
  <c r="R257" i="49"/>
  <c r="Q257" i="49"/>
  <c r="P257" i="49"/>
  <c r="O257" i="49"/>
  <c r="N257" i="49"/>
  <c r="M257" i="49"/>
  <c r="L257" i="49"/>
  <c r="K257" i="49"/>
  <c r="J257" i="49"/>
  <c r="I257" i="49"/>
  <c r="G257" i="49"/>
  <c r="C257" i="49"/>
  <c r="R256" i="49"/>
  <c r="Q256" i="49"/>
  <c r="P256" i="49"/>
  <c r="O256" i="49"/>
  <c r="N256" i="49"/>
  <c r="M256" i="49"/>
  <c r="L256" i="49"/>
  <c r="K256" i="49"/>
  <c r="J256" i="49"/>
  <c r="I256" i="49"/>
  <c r="G256" i="49"/>
  <c r="C256" i="49"/>
  <c r="C255" i="49"/>
  <c r="R254" i="49"/>
  <c r="Q254" i="49"/>
  <c r="P254" i="49"/>
  <c r="O254" i="49"/>
  <c r="N254" i="49"/>
  <c r="M254" i="49"/>
  <c r="L254" i="49"/>
  <c r="K254" i="49"/>
  <c r="J254" i="49"/>
  <c r="I254" i="49"/>
  <c r="G254" i="49"/>
  <c r="C254" i="49"/>
  <c r="R253" i="49"/>
  <c r="Q253" i="49"/>
  <c r="P253" i="49"/>
  <c r="O253" i="49"/>
  <c r="N253" i="49"/>
  <c r="M253" i="49"/>
  <c r="L253" i="49"/>
  <c r="K253" i="49"/>
  <c r="J253" i="49"/>
  <c r="I253" i="49"/>
  <c r="G253" i="49"/>
  <c r="C253" i="49"/>
  <c r="C252" i="49"/>
  <c r="C251" i="49"/>
  <c r="C250" i="49"/>
  <c r="C249" i="49"/>
  <c r="R248" i="49"/>
  <c r="R247" i="49"/>
  <c r="Q248" i="49"/>
  <c r="Q247" i="49" s="1"/>
  <c r="P248" i="49"/>
  <c r="P247" i="49"/>
  <c r="O248" i="49"/>
  <c r="O247" i="49" s="1"/>
  <c r="N248" i="49"/>
  <c r="N247" i="49"/>
  <c r="M248" i="49"/>
  <c r="M247" i="49" s="1"/>
  <c r="L248" i="49"/>
  <c r="L247" i="49"/>
  <c r="K248" i="49"/>
  <c r="K247" i="49" s="1"/>
  <c r="J248" i="49"/>
  <c r="J247" i="49"/>
  <c r="I248" i="49"/>
  <c r="I247" i="49" s="1"/>
  <c r="G248" i="49"/>
  <c r="G247" i="49"/>
  <c r="C248" i="49"/>
  <c r="C247" i="49"/>
  <c r="G246" i="49"/>
  <c r="C246" i="49"/>
  <c r="C245" i="49"/>
  <c r="C244" i="49"/>
  <c r="R243" i="49"/>
  <c r="R242" i="49"/>
  <c r="R241" i="49" s="1"/>
  <c r="Q243" i="49"/>
  <c r="Q242" i="49" s="1"/>
  <c r="Q241" i="49" s="1"/>
  <c r="P243" i="49"/>
  <c r="P242" i="49"/>
  <c r="P241" i="49" s="1"/>
  <c r="O243" i="49"/>
  <c r="O242" i="49" s="1"/>
  <c r="O241" i="49" s="1"/>
  <c r="N243" i="49"/>
  <c r="N242" i="49" s="1"/>
  <c r="N241" i="49" s="1"/>
  <c r="M243" i="49"/>
  <c r="M242" i="49" s="1"/>
  <c r="M241" i="49" s="1"/>
  <c r="L243" i="49"/>
  <c r="L242" i="49"/>
  <c r="L241" i="49" s="1"/>
  <c r="K243" i="49"/>
  <c r="K242" i="49" s="1"/>
  <c r="K241" i="49" s="1"/>
  <c r="J243" i="49"/>
  <c r="J242" i="49"/>
  <c r="J241" i="49" s="1"/>
  <c r="I243" i="49"/>
  <c r="I242" i="49" s="1"/>
  <c r="I241" i="49" s="1"/>
  <c r="C243" i="49"/>
  <c r="C242" i="49"/>
  <c r="C241" i="49"/>
  <c r="C239" i="49"/>
  <c r="R238" i="49"/>
  <c r="Q238" i="49"/>
  <c r="P238" i="49"/>
  <c r="O238" i="49"/>
  <c r="N238" i="49"/>
  <c r="M238" i="49"/>
  <c r="L238" i="49"/>
  <c r="K238" i="49"/>
  <c r="J238" i="49"/>
  <c r="I238" i="49"/>
  <c r="G238" i="49"/>
  <c r="C238" i="49"/>
  <c r="R237" i="49"/>
  <c r="Q237" i="49"/>
  <c r="P237" i="49"/>
  <c r="O237" i="49"/>
  <c r="N237" i="49"/>
  <c r="M237" i="49"/>
  <c r="L237" i="49"/>
  <c r="K237" i="49"/>
  <c r="J237" i="49"/>
  <c r="I237" i="49"/>
  <c r="G237" i="49"/>
  <c r="C237" i="49"/>
  <c r="R236" i="49"/>
  <c r="Q236" i="49"/>
  <c r="P236" i="49"/>
  <c r="O236" i="49"/>
  <c r="N236" i="49"/>
  <c r="M236" i="49"/>
  <c r="L236" i="49"/>
  <c r="K236" i="49"/>
  <c r="J236" i="49"/>
  <c r="I236" i="49"/>
  <c r="G236" i="49"/>
  <c r="C236" i="49"/>
  <c r="R235" i="49"/>
  <c r="Q235" i="49"/>
  <c r="P235" i="49"/>
  <c r="O235" i="49"/>
  <c r="N235" i="49"/>
  <c r="M235" i="49"/>
  <c r="L235" i="49"/>
  <c r="K235" i="49"/>
  <c r="J235" i="49"/>
  <c r="I235" i="49"/>
  <c r="G235" i="49"/>
  <c r="C235" i="49"/>
  <c r="C234" i="49"/>
  <c r="C233" i="49"/>
  <c r="E232" i="49"/>
  <c r="R231" i="49"/>
  <c r="Q231" i="49"/>
  <c r="P231" i="49"/>
  <c r="O231" i="49"/>
  <c r="N231" i="49"/>
  <c r="M231" i="49"/>
  <c r="L231" i="49"/>
  <c r="K231" i="49"/>
  <c r="J231" i="49"/>
  <c r="I231" i="49"/>
  <c r="G231" i="49"/>
  <c r="C231" i="49"/>
  <c r="C230" i="49"/>
  <c r="F229" i="49"/>
  <c r="C229" i="49"/>
  <c r="R228" i="49"/>
  <c r="Q228" i="49"/>
  <c r="P228" i="49"/>
  <c r="O228" i="49"/>
  <c r="N228" i="49"/>
  <c r="M228" i="49"/>
  <c r="L228" i="49"/>
  <c r="K228" i="49"/>
  <c r="J228" i="49"/>
  <c r="I228" i="49"/>
  <c r="G228" i="49"/>
  <c r="C228" i="49"/>
  <c r="R227" i="49"/>
  <c r="Q227" i="49"/>
  <c r="P227" i="49"/>
  <c r="O227" i="49"/>
  <c r="N227" i="49"/>
  <c r="M227" i="49"/>
  <c r="L227" i="49"/>
  <c r="K227" i="49"/>
  <c r="J227" i="49"/>
  <c r="I227" i="49"/>
  <c r="G227" i="49"/>
  <c r="C227" i="49"/>
  <c r="R226" i="49"/>
  <c r="Q226" i="49"/>
  <c r="P226" i="49"/>
  <c r="O226" i="49"/>
  <c r="N226" i="49"/>
  <c r="M226" i="49"/>
  <c r="L226" i="49"/>
  <c r="K226" i="49"/>
  <c r="J226" i="49"/>
  <c r="I226" i="49"/>
  <c r="G226" i="49"/>
  <c r="C226" i="49"/>
  <c r="R225" i="49"/>
  <c r="Q225" i="49"/>
  <c r="P225" i="49"/>
  <c r="O225" i="49"/>
  <c r="N225" i="49"/>
  <c r="M225" i="49"/>
  <c r="L225" i="49"/>
  <c r="K225" i="49"/>
  <c r="J225" i="49"/>
  <c r="I225" i="49"/>
  <c r="G225" i="49"/>
  <c r="C225" i="49"/>
  <c r="R224" i="49"/>
  <c r="Q224" i="49"/>
  <c r="P224" i="49"/>
  <c r="O224" i="49"/>
  <c r="N224" i="49"/>
  <c r="M224" i="49"/>
  <c r="L224" i="49"/>
  <c r="K224" i="49"/>
  <c r="J224" i="49"/>
  <c r="I224" i="49"/>
  <c r="G224" i="49"/>
  <c r="C224" i="49"/>
  <c r="R223" i="49"/>
  <c r="Q223" i="49"/>
  <c r="P223" i="49"/>
  <c r="O223" i="49"/>
  <c r="N223" i="49"/>
  <c r="M223" i="49"/>
  <c r="L223" i="49"/>
  <c r="K223" i="49"/>
  <c r="J223" i="49"/>
  <c r="I223" i="49"/>
  <c r="G223" i="49"/>
  <c r="C223" i="49"/>
  <c r="R222" i="49"/>
  <c r="Q222" i="49"/>
  <c r="P222" i="49"/>
  <c r="O222" i="49"/>
  <c r="N222" i="49"/>
  <c r="M222" i="49"/>
  <c r="L222" i="49"/>
  <c r="K222" i="49"/>
  <c r="J222" i="49"/>
  <c r="I222" i="49"/>
  <c r="G222" i="49"/>
  <c r="C222" i="49"/>
  <c r="R221" i="49"/>
  <c r="Q221" i="49"/>
  <c r="P221" i="49"/>
  <c r="O221" i="49"/>
  <c r="N221" i="49"/>
  <c r="M221" i="49"/>
  <c r="L221" i="49"/>
  <c r="K221" i="49"/>
  <c r="J221" i="49"/>
  <c r="I221" i="49"/>
  <c r="G221" i="49"/>
  <c r="C221" i="49"/>
  <c r="R220" i="49"/>
  <c r="Q220" i="49"/>
  <c r="P220" i="49"/>
  <c r="O220" i="49"/>
  <c r="N220" i="49"/>
  <c r="M220" i="49"/>
  <c r="L220" i="49"/>
  <c r="K220" i="49"/>
  <c r="J220" i="49"/>
  <c r="I220" i="49"/>
  <c r="G220" i="49"/>
  <c r="C220" i="49"/>
  <c r="R219" i="49"/>
  <c r="Q219" i="49"/>
  <c r="P219" i="49"/>
  <c r="O219" i="49"/>
  <c r="N219" i="49"/>
  <c r="M219" i="49"/>
  <c r="L219" i="49"/>
  <c r="K219" i="49"/>
  <c r="J219" i="49"/>
  <c r="I219" i="49"/>
  <c r="G219" i="49"/>
  <c r="C219" i="49"/>
  <c r="R218" i="49"/>
  <c r="Q218" i="49"/>
  <c r="P218" i="49"/>
  <c r="O218" i="49"/>
  <c r="N218" i="49"/>
  <c r="M218" i="49"/>
  <c r="L218" i="49"/>
  <c r="K218" i="49"/>
  <c r="J218" i="49"/>
  <c r="I218" i="49"/>
  <c r="G218" i="49"/>
  <c r="C218" i="49"/>
  <c r="R217" i="49"/>
  <c r="Q217" i="49"/>
  <c r="P217" i="49"/>
  <c r="O217" i="49"/>
  <c r="N217" i="49"/>
  <c r="M217" i="49"/>
  <c r="L217" i="49"/>
  <c r="K217" i="49"/>
  <c r="J217" i="49"/>
  <c r="I217" i="49"/>
  <c r="G217" i="49"/>
  <c r="C217" i="49"/>
  <c r="R216" i="49"/>
  <c r="Q216" i="49"/>
  <c r="P216" i="49"/>
  <c r="O216" i="49"/>
  <c r="N216" i="49"/>
  <c r="M216" i="49"/>
  <c r="L216" i="49"/>
  <c r="K216" i="49"/>
  <c r="J216" i="49"/>
  <c r="I216" i="49"/>
  <c r="G216" i="49"/>
  <c r="C216" i="49"/>
  <c r="R215" i="49"/>
  <c r="Q215" i="49"/>
  <c r="P215" i="49"/>
  <c r="O215" i="49"/>
  <c r="N215" i="49"/>
  <c r="M215" i="49"/>
  <c r="L215" i="49"/>
  <c r="K215" i="49"/>
  <c r="J215" i="49"/>
  <c r="I215" i="49"/>
  <c r="G215" i="49"/>
  <c r="C215" i="49"/>
  <c r="R214" i="49"/>
  <c r="Q214" i="49"/>
  <c r="P214" i="49"/>
  <c r="O214" i="49"/>
  <c r="N214" i="49"/>
  <c r="M214" i="49"/>
  <c r="L214" i="49"/>
  <c r="K214" i="49"/>
  <c r="J214" i="49"/>
  <c r="I214" i="49"/>
  <c r="G214" i="49"/>
  <c r="C214" i="49"/>
  <c r="R213" i="49"/>
  <c r="Q213" i="49"/>
  <c r="P213" i="49"/>
  <c r="O213" i="49"/>
  <c r="N213" i="49"/>
  <c r="M213" i="49"/>
  <c r="L213" i="49"/>
  <c r="K213" i="49"/>
  <c r="J213" i="49"/>
  <c r="I213" i="49"/>
  <c r="G213" i="49"/>
  <c r="C213" i="49"/>
  <c r="R212" i="49"/>
  <c r="Q212" i="49"/>
  <c r="P212" i="49"/>
  <c r="O212" i="49"/>
  <c r="N212" i="49"/>
  <c r="M212" i="49"/>
  <c r="L212" i="49"/>
  <c r="K212" i="49"/>
  <c r="J212" i="49"/>
  <c r="I212" i="49"/>
  <c r="G212" i="49"/>
  <c r="C212" i="49"/>
  <c r="R211" i="49"/>
  <c r="Q211" i="49"/>
  <c r="P211" i="49"/>
  <c r="O211" i="49"/>
  <c r="N211" i="49"/>
  <c r="M211" i="49"/>
  <c r="L211" i="49"/>
  <c r="K211" i="49"/>
  <c r="J211" i="49"/>
  <c r="I211" i="49"/>
  <c r="G211" i="49"/>
  <c r="C211" i="49"/>
  <c r="R210" i="49"/>
  <c r="Q210" i="49"/>
  <c r="P210" i="49"/>
  <c r="O210" i="49"/>
  <c r="N210" i="49"/>
  <c r="M210" i="49"/>
  <c r="L210" i="49"/>
  <c r="K210" i="49"/>
  <c r="J210" i="49"/>
  <c r="I210" i="49"/>
  <c r="G210" i="49"/>
  <c r="C210" i="49"/>
  <c r="R209" i="49"/>
  <c r="Q209" i="49"/>
  <c r="P209" i="49"/>
  <c r="O209" i="49"/>
  <c r="N209" i="49"/>
  <c r="M209" i="49"/>
  <c r="L209" i="49"/>
  <c r="K209" i="49"/>
  <c r="J209" i="49"/>
  <c r="I209" i="49"/>
  <c r="G209" i="49"/>
  <c r="C209" i="49"/>
  <c r="F208" i="49"/>
  <c r="C208" i="49"/>
  <c r="C207" i="49"/>
  <c r="C206" i="49"/>
  <c r="R205" i="49"/>
  <c r="Q205" i="49"/>
  <c r="P205" i="49"/>
  <c r="O205" i="49"/>
  <c r="N205" i="49"/>
  <c r="M205" i="49"/>
  <c r="L205" i="49"/>
  <c r="K205" i="49"/>
  <c r="J205" i="49"/>
  <c r="I205" i="49"/>
  <c r="G205" i="49"/>
  <c r="C205" i="49"/>
  <c r="C204" i="49"/>
  <c r="R203" i="49"/>
  <c r="Q203" i="49"/>
  <c r="P203" i="49"/>
  <c r="O203" i="49"/>
  <c r="N203" i="49"/>
  <c r="M203" i="49"/>
  <c r="L203" i="49"/>
  <c r="K203" i="49"/>
  <c r="J203" i="49"/>
  <c r="I203" i="49"/>
  <c r="G203" i="49"/>
  <c r="C203" i="49"/>
  <c r="F202" i="49"/>
  <c r="C202" i="49"/>
  <c r="C201" i="49"/>
  <c r="R200" i="49"/>
  <c r="Q200" i="49"/>
  <c r="P200" i="49"/>
  <c r="O200" i="49"/>
  <c r="N200" i="49"/>
  <c r="M200" i="49"/>
  <c r="L200" i="49"/>
  <c r="K200" i="49"/>
  <c r="J200" i="49"/>
  <c r="I200" i="49"/>
  <c r="G200" i="49"/>
  <c r="C200" i="49"/>
  <c r="R199" i="49"/>
  <c r="Q199" i="49"/>
  <c r="P199" i="49"/>
  <c r="O199" i="49"/>
  <c r="N199" i="49"/>
  <c r="M199" i="49"/>
  <c r="L199" i="49"/>
  <c r="K199" i="49"/>
  <c r="J199" i="49"/>
  <c r="I199" i="49"/>
  <c r="G199" i="49"/>
  <c r="C199" i="49"/>
  <c r="R198" i="49"/>
  <c r="Q198" i="49"/>
  <c r="P198" i="49"/>
  <c r="O198" i="49"/>
  <c r="N198" i="49"/>
  <c r="M198" i="49"/>
  <c r="L198" i="49"/>
  <c r="K198" i="49"/>
  <c r="J198" i="49"/>
  <c r="I198" i="49"/>
  <c r="G198" i="49"/>
  <c r="C198" i="49"/>
  <c r="C197" i="49"/>
  <c r="R196" i="49"/>
  <c r="Q196" i="49"/>
  <c r="P196" i="49"/>
  <c r="O196" i="49"/>
  <c r="N196" i="49"/>
  <c r="M196" i="49"/>
  <c r="L196" i="49"/>
  <c r="K196" i="49"/>
  <c r="J196" i="49"/>
  <c r="I196" i="49"/>
  <c r="G196" i="49"/>
  <c r="C196" i="49"/>
  <c r="R195" i="49"/>
  <c r="Q195" i="49"/>
  <c r="P195" i="49"/>
  <c r="O195" i="49"/>
  <c r="N195" i="49"/>
  <c r="M195" i="49"/>
  <c r="L195" i="49"/>
  <c r="K195" i="49"/>
  <c r="J195" i="49"/>
  <c r="I195" i="49"/>
  <c r="G195" i="49"/>
  <c r="C195" i="49"/>
  <c r="R194" i="49"/>
  <c r="Q194" i="49"/>
  <c r="P194" i="49"/>
  <c r="O194" i="49"/>
  <c r="N194" i="49"/>
  <c r="M194" i="49"/>
  <c r="L194" i="49"/>
  <c r="K194" i="49"/>
  <c r="J194" i="49"/>
  <c r="I194" i="49"/>
  <c r="G194" i="49"/>
  <c r="C194" i="49"/>
  <c r="R193" i="49"/>
  <c r="Q193" i="49"/>
  <c r="P193" i="49"/>
  <c r="O193" i="49"/>
  <c r="N193" i="49"/>
  <c r="M193" i="49"/>
  <c r="L193" i="49"/>
  <c r="K193" i="49"/>
  <c r="J193" i="49"/>
  <c r="I193" i="49"/>
  <c r="G193" i="49"/>
  <c r="C193" i="49"/>
  <c r="R192" i="49"/>
  <c r="Q192" i="49"/>
  <c r="P192" i="49"/>
  <c r="O192" i="49"/>
  <c r="N192" i="49"/>
  <c r="M192" i="49"/>
  <c r="L192" i="49"/>
  <c r="K192" i="49"/>
  <c r="J192" i="49"/>
  <c r="I192" i="49"/>
  <c r="G192" i="49"/>
  <c r="C192" i="49"/>
  <c r="C191" i="49"/>
  <c r="R190" i="49"/>
  <c r="Q190" i="49"/>
  <c r="P190" i="49"/>
  <c r="O190" i="49"/>
  <c r="N190" i="49"/>
  <c r="M190" i="49"/>
  <c r="L190" i="49"/>
  <c r="K190" i="49"/>
  <c r="J190" i="49"/>
  <c r="I190" i="49"/>
  <c r="G190" i="49"/>
  <c r="C190" i="49"/>
  <c r="R189" i="49"/>
  <c r="Q189" i="49"/>
  <c r="P189" i="49"/>
  <c r="O189" i="49"/>
  <c r="N189" i="49"/>
  <c r="M189" i="49"/>
  <c r="L189" i="49"/>
  <c r="K189" i="49"/>
  <c r="J189" i="49"/>
  <c r="I189" i="49"/>
  <c r="G189" i="49"/>
  <c r="C189" i="49"/>
  <c r="R188" i="49"/>
  <c r="Q188" i="49"/>
  <c r="P188" i="49"/>
  <c r="O188" i="49"/>
  <c r="N188" i="49"/>
  <c r="M188" i="49"/>
  <c r="L188" i="49"/>
  <c r="K188" i="49"/>
  <c r="J188" i="49"/>
  <c r="I188" i="49"/>
  <c r="G188" i="49"/>
  <c r="C188" i="49"/>
  <c r="F187" i="49"/>
  <c r="F186" i="49"/>
  <c r="C187" i="49"/>
  <c r="C186" i="49"/>
  <c r="R185" i="49"/>
  <c r="Q185" i="49"/>
  <c r="P185" i="49"/>
  <c r="O185" i="49"/>
  <c r="N185" i="49"/>
  <c r="M185" i="49"/>
  <c r="L185" i="49"/>
  <c r="K185" i="49"/>
  <c r="J185" i="49"/>
  <c r="I185" i="49"/>
  <c r="G185" i="49"/>
  <c r="C185" i="49"/>
  <c r="R184" i="49"/>
  <c r="Q184" i="49"/>
  <c r="P184" i="49"/>
  <c r="O184" i="49"/>
  <c r="N184" i="49"/>
  <c r="M184" i="49"/>
  <c r="L184" i="49"/>
  <c r="K184" i="49"/>
  <c r="J184" i="49"/>
  <c r="I184" i="49"/>
  <c r="G184" i="49"/>
  <c r="C184" i="49"/>
  <c r="F183" i="49"/>
  <c r="C183" i="49"/>
  <c r="E182" i="49"/>
  <c r="R181" i="49"/>
  <c r="Q181" i="49"/>
  <c r="P181" i="49"/>
  <c r="O181" i="49"/>
  <c r="N181" i="49"/>
  <c r="M181" i="49"/>
  <c r="L181" i="49"/>
  <c r="K181" i="49"/>
  <c r="J181" i="49"/>
  <c r="I181" i="49"/>
  <c r="G181" i="49"/>
  <c r="C181" i="49"/>
  <c r="C180" i="49"/>
  <c r="C179" i="49"/>
  <c r="F178" i="49"/>
  <c r="F175" i="49" s="1"/>
  <c r="C178" i="49"/>
  <c r="R177" i="49"/>
  <c r="Q177" i="49"/>
  <c r="P177" i="49"/>
  <c r="O177" i="49"/>
  <c r="N177" i="49"/>
  <c r="M177" i="49"/>
  <c r="L177" i="49"/>
  <c r="K177" i="49"/>
  <c r="J177" i="49"/>
  <c r="I177" i="49"/>
  <c r="G177" i="49"/>
  <c r="C177" i="49"/>
  <c r="R176" i="49"/>
  <c r="Q176" i="49"/>
  <c r="P176" i="49"/>
  <c r="O176" i="49"/>
  <c r="N176" i="49"/>
  <c r="M176" i="49"/>
  <c r="L176" i="49"/>
  <c r="K176" i="49"/>
  <c r="J176" i="49"/>
  <c r="I176" i="49"/>
  <c r="G176" i="49"/>
  <c r="C176" i="49"/>
  <c r="C175" i="49"/>
  <c r="C174" i="49"/>
  <c r="R173" i="49"/>
  <c r="Q173" i="49"/>
  <c r="P173" i="49"/>
  <c r="O173" i="49"/>
  <c r="N173" i="49"/>
  <c r="M173" i="49"/>
  <c r="L173" i="49"/>
  <c r="K173" i="49"/>
  <c r="J173" i="49"/>
  <c r="I173" i="49"/>
  <c r="G173" i="49"/>
  <c r="C173" i="49"/>
  <c r="C172" i="49"/>
  <c r="C171" i="49"/>
  <c r="C170" i="49"/>
  <c r="R169" i="49"/>
  <c r="Q169" i="49"/>
  <c r="P169" i="49"/>
  <c r="O169" i="49"/>
  <c r="N169" i="49"/>
  <c r="M169" i="49"/>
  <c r="L169" i="49"/>
  <c r="K169" i="49"/>
  <c r="J169" i="49"/>
  <c r="I169" i="49"/>
  <c r="G169" i="49"/>
  <c r="C169" i="49"/>
  <c r="R168" i="49"/>
  <c r="Q168" i="49"/>
  <c r="P168" i="49"/>
  <c r="O168" i="49"/>
  <c r="N168" i="49"/>
  <c r="M168" i="49"/>
  <c r="L168" i="49"/>
  <c r="K168" i="49"/>
  <c r="J168" i="49"/>
  <c r="I168" i="49"/>
  <c r="G168" i="49"/>
  <c r="C168" i="49"/>
  <c r="R167" i="49"/>
  <c r="Q167" i="49"/>
  <c r="P167" i="49"/>
  <c r="O167" i="49"/>
  <c r="N167" i="49"/>
  <c r="M167" i="49"/>
  <c r="L167" i="49"/>
  <c r="K167" i="49"/>
  <c r="J167" i="49"/>
  <c r="I167" i="49"/>
  <c r="G167" i="49"/>
  <c r="C167" i="49"/>
  <c r="R166" i="49"/>
  <c r="Q166" i="49"/>
  <c r="P166" i="49"/>
  <c r="O166" i="49"/>
  <c r="N166" i="49"/>
  <c r="M166" i="49"/>
  <c r="L166" i="49"/>
  <c r="K166" i="49"/>
  <c r="J166" i="49"/>
  <c r="I166" i="49"/>
  <c r="G166" i="49"/>
  <c r="C166" i="49"/>
  <c r="C165" i="49"/>
  <c r="F164" i="49"/>
  <c r="C164" i="49"/>
  <c r="R163" i="49"/>
  <c r="Q163" i="49"/>
  <c r="P163" i="49"/>
  <c r="O163" i="49"/>
  <c r="N163" i="49"/>
  <c r="M163" i="49"/>
  <c r="L163" i="49"/>
  <c r="K163" i="49"/>
  <c r="J163" i="49"/>
  <c r="I163" i="49"/>
  <c r="G163" i="49"/>
  <c r="C163" i="49"/>
  <c r="C162" i="49"/>
  <c r="C161" i="49"/>
  <c r="C160" i="49"/>
  <c r="C159" i="49"/>
  <c r="F158" i="49"/>
  <c r="C158" i="49"/>
  <c r="C157" i="49"/>
  <c r="R156" i="49"/>
  <c r="R155" i="49" s="1"/>
  <c r="Q156" i="49"/>
  <c r="P156" i="49"/>
  <c r="P155" i="49"/>
  <c r="O156" i="49"/>
  <c r="O155" i="49"/>
  <c r="N156" i="49"/>
  <c r="N155" i="49"/>
  <c r="M156" i="49"/>
  <c r="M155" i="49"/>
  <c r="L156" i="49"/>
  <c r="L155" i="49"/>
  <c r="K156" i="49"/>
  <c r="K155" i="49"/>
  <c r="J156" i="49"/>
  <c r="J155" i="49"/>
  <c r="I156" i="49"/>
  <c r="I155" i="49"/>
  <c r="G156" i="49"/>
  <c r="G155" i="49"/>
  <c r="C156" i="49"/>
  <c r="Q155" i="49"/>
  <c r="F155" i="49"/>
  <c r="C155" i="49"/>
  <c r="E154" i="49"/>
  <c r="C153" i="49"/>
  <c r="C152" i="49"/>
  <c r="C151" i="49"/>
  <c r="C150" i="49"/>
  <c r="F149" i="49"/>
  <c r="F146" i="49" s="1"/>
  <c r="C149" i="49"/>
  <c r="C148" i="49"/>
  <c r="C147" i="49"/>
  <c r="C146" i="49"/>
  <c r="C144" i="49"/>
  <c r="C143" i="49"/>
  <c r="C142" i="49"/>
  <c r="C141" i="49"/>
  <c r="C140" i="49"/>
  <c r="C139" i="49"/>
  <c r="C138" i="49"/>
  <c r="C137" i="49"/>
  <c r="C136" i="49"/>
  <c r="C135" i="49"/>
  <c r="C134" i="49"/>
  <c r="C133" i="49"/>
  <c r="C132" i="49"/>
  <c r="C131" i="49"/>
  <c r="C130" i="49"/>
  <c r="C129" i="49"/>
  <c r="C128" i="49"/>
  <c r="C127" i="49"/>
  <c r="C126" i="49"/>
  <c r="C125" i="49"/>
  <c r="C124" i="49"/>
  <c r="C123" i="49"/>
  <c r="C122" i="49"/>
  <c r="C121" i="49"/>
  <c r="C120" i="49"/>
  <c r="C119" i="49"/>
  <c r="F118" i="49"/>
  <c r="C118" i="49"/>
  <c r="C117" i="49"/>
  <c r="C116" i="49"/>
  <c r="C115" i="49"/>
  <c r="C114" i="49"/>
  <c r="C113" i="49"/>
  <c r="C112" i="49"/>
  <c r="C111" i="49"/>
  <c r="C110" i="49"/>
  <c r="C109" i="49"/>
  <c r="C108" i="49"/>
  <c r="C107" i="49"/>
  <c r="C106" i="49"/>
  <c r="C105" i="49"/>
  <c r="C104" i="49"/>
  <c r="C103" i="49"/>
  <c r="C102" i="49"/>
  <c r="C101" i="49"/>
  <c r="C100" i="49"/>
  <c r="F99" i="49"/>
  <c r="C99" i="49"/>
  <c r="C98" i="49"/>
  <c r="E97" i="49"/>
  <c r="E96" i="49" s="1"/>
  <c r="E7" i="49" s="1"/>
  <c r="Z96" i="49"/>
  <c r="R95" i="49"/>
  <c r="Q95" i="49"/>
  <c r="P95" i="49"/>
  <c r="O95" i="49"/>
  <c r="N95" i="49"/>
  <c r="M95" i="49"/>
  <c r="L95" i="49"/>
  <c r="K95" i="49"/>
  <c r="J95" i="49"/>
  <c r="I95" i="49"/>
  <c r="G95" i="49"/>
  <c r="C95" i="49"/>
  <c r="R94" i="49"/>
  <c r="Q94" i="49"/>
  <c r="P94" i="49"/>
  <c r="O94" i="49"/>
  <c r="N94" i="49"/>
  <c r="M94" i="49"/>
  <c r="L94" i="49"/>
  <c r="K94" i="49"/>
  <c r="J94" i="49"/>
  <c r="I94" i="49"/>
  <c r="G94" i="49"/>
  <c r="C94" i="49"/>
  <c r="C93" i="49"/>
  <c r="R92" i="49"/>
  <c r="Q92" i="49"/>
  <c r="P92" i="49"/>
  <c r="O92" i="49"/>
  <c r="N92" i="49"/>
  <c r="M92" i="49"/>
  <c r="L92" i="49"/>
  <c r="K92" i="49"/>
  <c r="J92" i="49"/>
  <c r="I92" i="49"/>
  <c r="G92" i="49"/>
  <c r="C92" i="49"/>
  <c r="C91" i="49"/>
  <c r="R90" i="49"/>
  <c r="Q90" i="49"/>
  <c r="P90" i="49"/>
  <c r="O90" i="49"/>
  <c r="N90" i="49"/>
  <c r="M90" i="49"/>
  <c r="L90" i="49"/>
  <c r="K90" i="49"/>
  <c r="J90" i="49"/>
  <c r="I90" i="49"/>
  <c r="G90" i="49"/>
  <c r="D90" i="49"/>
  <c r="D88" i="49" s="1"/>
  <c r="C90" i="49"/>
  <c r="C89" i="49"/>
  <c r="C88" i="49"/>
  <c r="C87" i="49"/>
  <c r="C86" i="49"/>
  <c r="C85" i="49"/>
  <c r="C84" i="49"/>
  <c r="C83" i="49"/>
  <c r="C82" i="49"/>
  <c r="C81" i="49"/>
  <c r="F80" i="49"/>
  <c r="F79" i="49" s="1"/>
  <c r="E80" i="49"/>
  <c r="C80" i="49"/>
  <c r="C79" i="49"/>
  <c r="C78" i="49"/>
  <c r="C77" i="49"/>
  <c r="C71" i="49"/>
  <c r="C70" i="49"/>
  <c r="F69" i="49"/>
  <c r="C69" i="49"/>
  <c r="C68" i="49"/>
  <c r="C67" i="49"/>
  <c r="C66" i="49"/>
  <c r="F65" i="49"/>
  <c r="E65" i="49"/>
  <c r="E64" i="49"/>
  <c r="C65" i="49"/>
  <c r="C64" i="49"/>
  <c r="C63" i="49"/>
  <c r="C62" i="49"/>
  <c r="R61" i="49"/>
  <c r="Q61" i="49"/>
  <c r="P61" i="49"/>
  <c r="O61" i="49"/>
  <c r="N61" i="49"/>
  <c r="M61" i="49"/>
  <c r="L61" i="49"/>
  <c r="K61" i="49"/>
  <c r="J61" i="49"/>
  <c r="I61" i="49"/>
  <c r="G61" i="49"/>
  <c r="C61" i="49"/>
  <c r="C60" i="49"/>
  <c r="C59" i="49"/>
  <c r="F58" i="49"/>
  <c r="E58" i="49"/>
  <c r="C58" i="49"/>
  <c r="C57" i="49"/>
  <c r="C56" i="49"/>
  <c r="F55" i="49"/>
  <c r="C55" i="49"/>
  <c r="C54" i="49"/>
  <c r="C53" i="49"/>
  <c r="C52" i="49"/>
  <c r="C51" i="49"/>
  <c r="F50" i="49"/>
  <c r="C50" i="49"/>
  <c r="N49" i="49"/>
  <c r="C49" i="49"/>
  <c r="C48" i="49"/>
  <c r="R47" i="49"/>
  <c r="Q47" i="49"/>
  <c r="P47" i="49"/>
  <c r="O47" i="49"/>
  <c r="N47" i="49"/>
  <c r="M47" i="49"/>
  <c r="L47" i="49"/>
  <c r="K47" i="49"/>
  <c r="J47" i="49"/>
  <c r="I47" i="49"/>
  <c r="G47" i="49"/>
  <c r="C47" i="49"/>
  <c r="R46" i="49"/>
  <c r="Q46" i="49"/>
  <c r="P46" i="49"/>
  <c r="O46" i="49"/>
  <c r="N46" i="49"/>
  <c r="M46" i="49"/>
  <c r="L46" i="49"/>
  <c r="K46" i="49"/>
  <c r="J46" i="49"/>
  <c r="I46" i="49"/>
  <c r="G46" i="49"/>
  <c r="C46" i="49"/>
  <c r="R45" i="49"/>
  <c r="Q45" i="49"/>
  <c r="P45" i="49"/>
  <c r="O45" i="49"/>
  <c r="N45" i="49"/>
  <c r="M45" i="49"/>
  <c r="L45" i="49"/>
  <c r="K45" i="49"/>
  <c r="J45" i="49"/>
  <c r="I45" i="49"/>
  <c r="G45" i="49"/>
  <c r="C45" i="49"/>
  <c r="F44" i="49"/>
  <c r="E44" i="49"/>
  <c r="C44" i="49"/>
  <c r="C43" i="49"/>
  <c r="R42" i="49"/>
  <c r="Q42" i="49"/>
  <c r="P42" i="49"/>
  <c r="O42" i="49"/>
  <c r="N42" i="49"/>
  <c r="M42" i="49"/>
  <c r="L42" i="49"/>
  <c r="K42" i="49"/>
  <c r="J42" i="49"/>
  <c r="I42" i="49"/>
  <c r="G42" i="49"/>
  <c r="C42" i="49"/>
  <c r="C41" i="49"/>
  <c r="C40" i="49"/>
  <c r="C39" i="49"/>
  <c r="F38" i="49"/>
  <c r="C37" i="49"/>
  <c r="E36" i="49"/>
  <c r="R35" i="49"/>
  <c r="Q35" i="49"/>
  <c r="P35" i="49"/>
  <c r="O35" i="49"/>
  <c r="N35" i="49"/>
  <c r="M35" i="49"/>
  <c r="L35" i="49"/>
  <c r="K35" i="49"/>
  <c r="J35" i="49"/>
  <c r="I35" i="49"/>
  <c r="G35" i="49"/>
  <c r="F35" i="49"/>
  <c r="E35" i="49"/>
  <c r="C35" i="49"/>
  <c r="R34" i="49"/>
  <c r="Q34" i="49"/>
  <c r="P34" i="49"/>
  <c r="O34" i="49"/>
  <c r="N34" i="49"/>
  <c r="M34" i="49"/>
  <c r="L34" i="49"/>
  <c r="K34" i="49"/>
  <c r="J34" i="49"/>
  <c r="I34" i="49"/>
  <c r="G34" i="49"/>
  <c r="F34" i="49"/>
  <c r="E34" i="49"/>
  <c r="C34" i="49"/>
  <c r="R33" i="49"/>
  <c r="Q33" i="49"/>
  <c r="P33" i="49"/>
  <c r="O33" i="49"/>
  <c r="N33" i="49"/>
  <c r="M33" i="49"/>
  <c r="L33" i="49"/>
  <c r="K33" i="49"/>
  <c r="J33" i="49"/>
  <c r="I33" i="49"/>
  <c r="G33" i="49"/>
  <c r="F33" i="49"/>
  <c r="E33" i="49"/>
  <c r="C33" i="49"/>
  <c r="R32" i="49"/>
  <c r="Q32" i="49"/>
  <c r="P32" i="49"/>
  <c r="O32" i="49"/>
  <c r="N32" i="49"/>
  <c r="M32" i="49"/>
  <c r="L32" i="49"/>
  <c r="K32" i="49"/>
  <c r="J32" i="49"/>
  <c r="I32" i="49"/>
  <c r="G32" i="49"/>
  <c r="F32" i="49"/>
  <c r="E32" i="49"/>
  <c r="C32" i="49"/>
  <c r="R31" i="49"/>
  <c r="Q31" i="49"/>
  <c r="P31" i="49"/>
  <c r="O31" i="49"/>
  <c r="N31" i="49"/>
  <c r="M31" i="49"/>
  <c r="L31" i="49"/>
  <c r="K31" i="49"/>
  <c r="J31" i="49"/>
  <c r="I31" i="49"/>
  <c r="G31" i="49"/>
  <c r="F31" i="49"/>
  <c r="E31" i="49"/>
  <c r="C31" i="49"/>
  <c r="C30" i="49"/>
  <c r="C29" i="49"/>
  <c r="C28" i="49"/>
  <c r="C27" i="49"/>
  <c r="F26" i="49"/>
  <c r="C24" i="49"/>
  <c r="C23" i="49"/>
  <c r="C22" i="49"/>
  <c r="C21" i="49"/>
  <c r="C20" i="49"/>
  <c r="F19" i="49"/>
  <c r="E19" i="49"/>
  <c r="C19" i="49"/>
  <c r="C18" i="49"/>
  <c r="C17" i="49"/>
  <c r="C16" i="49"/>
  <c r="F15" i="49"/>
  <c r="C15" i="49"/>
  <c r="C14" i="49"/>
  <c r="C13" i="49"/>
  <c r="F12" i="49"/>
  <c r="E9" i="49"/>
  <c r="Z8" i="49"/>
  <c r="D8" i="49"/>
  <c r="Z7" i="49"/>
  <c r="F227" i="48"/>
  <c r="F206" i="48"/>
  <c r="F200" i="48"/>
  <c r="F185" i="48"/>
  <c r="F184" i="48" s="1"/>
  <c r="F181" i="48"/>
  <c r="F176" i="48"/>
  <c r="F173" i="48"/>
  <c r="F162" i="48"/>
  <c r="F156" i="48"/>
  <c r="F155" i="48" s="1"/>
  <c r="F153" i="48"/>
  <c r="F147" i="48"/>
  <c r="F144" i="48"/>
  <c r="F116" i="48"/>
  <c r="F97" i="48"/>
  <c r="F63" i="48"/>
  <c r="F78" i="48"/>
  <c r="F77" i="48" s="1"/>
  <c r="F67" i="48"/>
  <c r="F53" i="48"/>
  <c r="F48" i="48"/>
  <c r="F36" i="48"/>
  <c r="F24" i="48"/>
  <c r="F13" i="48"/>
  <c r="F10" i="48"/>
  <c r="W334" i="49"/>
  <c r="Y329" i="49"/>
  <c r="W329" i="49"/>
  <c r="Y275" i="49"/>
  <c r="Y302" i="49"/>
  <c r="W302" i="49"/>
  <c r="Y349" i="49"/>
  <c r="W280" i="49"/>
  <c r="Y368" i="49"/>
  <c r="W368" i="49"/>
  <c r="W369" i="49"/>
  <c r="W324" i="49"/>
  <c r="G244" i="48"/>
  <c r="H246" i="48"/>
  <c r="H245" i="48"/>
  <c r="I246" i="48"/>
  <c r="I245" i="48"/>
  <c r="J246" i="48"/>
  <c r="J245" i="48"/>
  <c r="K246" i="48"/>
  <c r="K245" i="48"/>
  <c r="L246" i="48"/>
  <c r="L245" i="48"/>
  <c r="M246" i="48"/>
  <c r="M245" i="48"/>
  <c r="N246" i="48"/>
  <c r="N245" i="48"/>
  <c r="O246" i="48"/>
  <c r="O245" i="48"/>
  <c r="P246" i="48"/>
  <c r="P245" i="48"/>
  <c r="Q246" i="48"/>
  <c r="Q245" i="48"/>
  <c r="R246" i="48"/>
  <c r="R245" i="48"/>
  <c r="G246" i="48"/>
  <c r="G245" i="48"/>
  <c r="H249" i="48"/>
  <c r="I249" i="48"/>
  <c r="J249" i="48"/>
  <c r="K249" i="48"/>
  <c r="L249" i="48"/>
  <c r="M249" i="48"/>
  <c r="N249" i="48"/>
  <c r="O249" i="48"/>
  <c r="P249" i="48"/>
  <c r="Q249" i="48"/>
  <c r="R249" i="48"/>
  <c r="G249" i="48"/>
  <c r="H251" i="48"/>
  <c r="I251" i="48"/>
  <c r="J251" i="48"/>
  <c r="K251" i="48"/>
  <c r="L251" i="48"/>
  <c r="M251" i="48"/>
  <c r="N251" i="48"/>
  <c r="O251" i="48"/>
  <c r="P251" i="48"/>
  <c r="Q251" i="48"/>
  <c r="R251" i="48"/>
  <c r="H252" i="48"/>
  <c r="I252" i="48"/>
  <c r="J252" i="48"/>
  <c r="K252" i="48"/>
  <c r="L252" i="48"/>
  <c r="M252" i="48"/>
  <c r="N252" i="48"/>
  <c r="O252" i="48"/>
  <c r="P252" i="48"/>
  <c r="Q252" i="48"/>
  <c r="R252" i="48"/>
  <c r="H254" i="48"/>
  <c r="I254" i="48"/>
  <c r="J254" i="48"/>
  <c r="K254" i="48"/>
  <c r="L254" i="48"/>
  <c r="M254" i="48"/>
  <c r="N254" i="48"/>
  <c r="O254" i="48"/>
  <c r="P254" i="48"/>
  <c r="Q254" i="48"/>
  <c r="R254" i="48"/>
  <c r="H255" i="48"/>
  <c r="I255" i="48"/>
  <c r="J255" i="48"/>
  <c r="K255" i="48"/>
  <c r="L255" i="48"/>
  <c r="M255" i="48"/>
  <c r="N255" i="48"/>
  <c r="O255" i="48"/>
  <c r="P255" i="48"/>
  <c r="Q255" i="48"/>
  <c r="R255" i="48"/>
  <c r="G252" i="48"/>
  <c r="G254" i="48"/>
  <c r="G255" i="48"/>
  <c r="G251" i="48"/>
  <c r="H257" i="48"/>
  <c r="I257" i="48"/>
  <c r="J257" i="48"/>
  <c r="K257" i="48"/>
  <c r="L257" i="48"/>
  <c r="M257" i="48"/>
  <c r="N257" i="48"/>
  <c r="O257" i="48"/>
  <c r="P257" i="48"/>
  <c r="Q257" i="48"/>
  <c r="R257" i="48"/>
  <c r="H258" i="48"/>
  <c r="I258" i="48"/>
  <c r="J258" i="48"/>
  <c r="K258" i="48"/>
  <c r="L258" i="48"/>
  <c r="M258" i="48"/>
  <c r="N258" i="48"/>
  <c r="O258" i="48"/>
  <c r="P258" i="48"/>
  <c r="Q258" i="48"/>
  <c r="R258" i="48"/>
  <c r="G258" i="48"/>
  <c r="G257" i="48"/>
  <c r="H260" i="48"/>
  <c r="I260" i="48"/>
  <c r="J260" i="48"/>
  <c r="K260" i="48"/>
  <c r="L260" i="48"/>
  <c r="M260" i="48"/>
  <c r="N260" i="48"/>
  <c r="O260" i="48"/>
  <c r="P260" i="48"/>
  <c r="Q260" i="48"/>
  <c r="R260" i="48"/>
  <c r="H261" i="48"/>
  <c r="I261" i="48"/>
  <c r="J261" i="48"/>
  <c r="K261" i="48"/>
  <c r="L261" i="48"/>
  <c r="M261" i="48"/>
  <c r="N261" i="48"/>
  <c r="O261" i="48"/>
  <c r="P261" i="48"/>
  <c r="Q261" i="48"/>
  <c r="R261" i="48"/>
  <c r="H262" i="48"/>
  <c r="N262" i="48"/>
  <c r="O262" i="48"/>
  <c r="P262" i="48"/>
  <c r="R262" i="48"/>
  <c r="H263" i="48"/>
  <c r="I263" i="48"/>
  <c r="J263" i="48"/>
  <c r="K263" i="48"/>
  <c r="L263" i="48"/>
  <c r="M263" i="48"/>
  <c r="N263" i="48"/>
  <c r="O263" i="48"/>
  <c r="P263" i="48"/>
  <c r="Q263" i="48"/>
  <c r="R263" i="48"/>
  <c r="G261" i="48"/>
  <c r="G262" i="48"/>
  <c r="G263" i="48"/>
  <c r="G260" i="48"/>
  <c r="H265" i="48"/>
  <c r="I265" i="48"/>
  <c r="J265" i="48"/>
  <c r="J264" i="48" s="1"/>
  <c r="K265" i="48"/>
  <c r="L265" i="48"/>
  <c r="M265" i="48"/>
  <c r="N265" i="48"/>
  <c r="O265" i="48"/>
  <c r="P265" i="48"/>
  <c r="Q265" i="48"/>
  <c r="R265" i="48"/>
  <c r="I266" i="48"/>
  <c r="J266" i="48"/>
  <c r="K266" i="48"/>
  <c r="L266" i="48"/>
  <c r="M266" i="48"/>
  <c r="R266" i="48"/>
  <c r="G265" i="48"/>
  <c r="H268" i="48"/>
  <c r="I268" i="48"/>
  <c r="J268" i="48"/>
  <c r="K268" i="48"/>
  <c r="L268" i="48"/>
  <c r="M268" i="48"/>
  <c r="N268" i="48"/>
  <c r="O268" i="48"/>
  <c r="P268" i="48"/>
  <c r="Q268" i="48"/>
  <c r="R268" i="48"/>
  <c r="H269" i="48"/>
  <c r="I269" i="48"/>
  <c r="J269" i="48"/>
  <c r="K269" i="48"/>
  <c r="L269" i="48"/>
  <c r="M269" i="48"/>
  <c r="N269" i="48"/>
  <c r="O269" i="48"/>
  <c r="P269" i="48"/>
  <c r="Q269" i="48"/>
  <c r="R269" i="48"/>
  <c r="G269" i="48"/>
  <c r="G268" i="48"/>
  <c r="C269" i="48"/>
  <c r="C270" i="48"/>
  <c r="C268" i="48"/>
  <c r="H241" i="48"/>
  <c r="H240" i="48" s="1"/>
  <c r="H239" i="48" s="1"/>
  <c r="I241" i="48"/>
  <c r="I240" i="48" s="1"/>
  <c r="I239" i="48" s="1"/>
  <c r="J241" i="48"/>
  <c r="J240" i="48"/>
  <c r="J239" i="48" s="1"/>
  <c r="K241" i="48"/>
  <c r="K240" i="48" s="1"/>
  <c r="K239" i="48" s="1"/>
  <c r="L241" i="48"/>
  <c r="L240" i="48"/>
  <c r="L239" i="48" s="1"/>
  <c r="M241" i="48"/>
  <c r="M240" i="48" s="1"/>
  <c r="M239" i="48" s="1"/>
  <c r="N241" i="48"/>
  <c r="N240" i="48" s="1"/>
  <c r="N239" i="48" s="1"/>
  <c r="O241" i="48"/>
  <c r="O240" i="48" s="1"/>
  <c r="O239" i="48" s="1"/>
  <c r="P241" i="48"/>
  <c r="P240" i="48"/>
  <c r="P239" i="48" s="1"/>
  <c r="Q241" i="48"/>
  <c r="Q240" i="48" s="1"/>
  <c r="Q239" i="48" s="1"/>
  <c r="R241" i="48"/>
  <c r="R240" i="48"/>
  <c r="R239" i="48" s="1"/>
  <c r="C241" i="48"/>
  <c r="C264" i="48"/>
  <c r="C265" i="48"/>
  <c r="C266" i="48"/>
  <c r="C260" i="48"/>
  <c r="C261" i="48"/>
  <c r="C262" i="48"/>
  <c r="C263" i="48"/>
  <c r="C258" i="48"/>
  <c r="C259" i="48"/>
  <c r="C257" i="48"/>
  <c r="C256" i="48"/>
  <c r="C252" i="48"/>
  <c r="C253" i="48"/>
  <c r="C254" i="48"/>
  <c r="C255" i="48"/>
  <c r="C251" i="48"/>
  <c r="C250" i="48"/>
  <c r="C248" i="48"/>
  <c r="C249" i="48"/>
  <c r="C247" i="48"/>
  <c r="C246" i="48"/>
  <c r="C245" i="48"/>
  <c r="C243" i="48"/>
  <c r="C244" i="48"/>
  <c r="C242" i="48"/>
  <c r="C240" i="48"/>
  <c r="C239" i="48"/>
  <c r="H233" i="48"/>
  <c r="I233" i="48"/>
  <c r="J233" i="48"/>
  <c r="J232" i="48" s="1"/>
  <c r="K233" i="48"/>
  <c r="L233" i="48"/>
  <c r="M233" i="48"/>
  <c r="N233" i="48"/>
  <c r="O233" i="48"/>
  <c r="P233" i="48"/>
  <c r="Q233" i="48"/>
  <c r="R233" i="48"/>
  <c r="H234" i="48"/>
  <c r="I234" i="48"/>
  <c r="J234" i="48"/>
  <c r="K234" i="48"/>
  <c r="L234" i="48"/>
  <c r="M234" i="48"/>
  <c r="M232" i="48" s="1"/>
  <c r="N234" i="48"/>
  <c r="N232" i="48"/>
  <c r="O234" i="48"/>
  <c r="P234" i="48"/>
  <c r="Q234" i="48"/>
  <c r="R234" i="48"/>
  <c r="R232" i="48" s="1"/>
  <c r="G234" i="48"/>
  <c r="G233" i="48"/>
  <c r="H235" i="48"/>
  <c r="I235" i="48"/>
  <c r="J235" i="48"/>
  <c r="K235" i="48"/>
  <c r="L235" i="48"/>
  <c r="M235" i="48"/>
  <c r="N235" i="48"/>
  <c r="O235" i="48"/>
  <c r="P235" i="48"/>
  <c r="Q235" i="48"/>
  <c r="R235" i="48"/>
  <c r="H236" i="48"/>
  <c r="I236" i="48"/>
  <c r="J236" i="48"/>
  <c r="K236" i="48"/>
  <c r="L236" i="48"/>
  <c r="M236" i="48"/>
  <c r="N236" i="48"/>
  <c r="O236" i="48"/>
  <c r="P236" i="48"/>
  <c r="Q236" i="48"/>
  <c r="R236" i="48"/>
  <c r="G236" i="48"/>
  <c r="G235" i="48"/>
  <c r="C237" i="48"/>
  <c r="C236" i="48"/>
  <c r="C235" i="48"/>
  <c r="C234" i="48"/>
  <c r="C233" i="48"/>
  <c r="C232" i="48"/>
  <c r="C231" i="48"/>
  <c r="H229" i="48"/>
  <c r="I229" i="48"/>
  <c r="J229" i="48"/>
  <c r="K229" i="48"/>
  <c r="L229" i="48"/>
  <c r="M229" i="48"/>
  <c r="N229" i="48"/>
  <c r="O229" i="48"/>
  <c r="P229" i="48"/>
  <c r="Q229" i="48"/>
  <c r="R229" i="48"/>
  <c r="G229" i="48"/>
  <c r="C228" i="48"/>
  <c r="C229" i="48"/>
  <c r="C227" i="48"/>
  <c r="H207" i="48"/>
  <c r="I207" i="48"/>
  <c r="J207" i="48"/>
  <c r="K207" i="48"/>
  <c r="L207" i="48"/>
  <c r="M207" i="48"/>
  <c r="N207" i="48"/>
  <c r="O207" i="48"/>
  <c r="P207" i="48"/>
  <c r="Q207" i="48"/>
  <c r="R207" i="48"/>
  <c r="H208" i="48"/>
  <c r="I208" i="48"/>
  <c r="J208" i="48"/>
  <c r="K208" i="48"/>
  <c r="L208" i="48"/>
  <c r="M208" i="48"/>
  <c r="N208" i="48"/>
  <c r="O208" i="48"/>
  <c r="P208" i="48"/>
  <c r="Q208" i="48"/>
  <c r="R208" i="48"/>
  <c r="H209" i="48"/>
  <c r="I209" i="48"/>
  <c r="J209" i="48"/>
  <c r="K209" i="48"/>
  <c r="L209" i="48"/>
  <c r="M209" i="48"/>
  <c r="N209" i="48"/>
  <c r="O209" i="48"/>
  <c r="P209" i="48"/>
  <c r="Q209" i="48"/>
  <c r="R209" i="48"/>
  <c r="H210" i="48"/>
  <c r="I210" i="48"/>
  <c r="J210" i="48"/>
  <c r="K210" i="48"/>
  <c r="L210" i="48"/>
  <c r="M210" i="48"/>
  <c r="N210" i="48"/>
  <c r="O210" i="48"/>
  <c r="P210" i="48"/>
  <c r="Q210" i="48"/>
  <c r="R210" i="48"/>
  <c r="H211" i="48"/>
  <c r="I211" i="48"/>
  <c r="J211" i="48"/>
  <c r="K211" i="48"/>
  <c r="L211" i="48"/>
  <c r="M211" i="48"/>
  <c r="N211" i="48"/>
  <c r="O211" i="48"/>
  <c r="P211" i="48"/>
  <c r="Q211" i="48"/>
  <c r="R211" i="48"/>
  <c r="H212" i="48"/>
  <c r="I212" i="48"/>
  <c r="J212" i="48"/>
  <c r="K212" i="48"/>
  <c r="L212" i="48"/>
  <c r="M212" i="48"/>
  <c r="N212" i="48"/>
  <c r="O212" i="48"/>
  <c r="P212" i="48"/>
  <c r="Q212" i="48"/>
  <c r="R212" i="48"/>
  <c r="H213" i="48"/>
  <c r="I213" i="48"/>
  <c r="J213" i="48"/>
  <c r="K213" i="48"/>
  <c r="L213" i="48"/>
  <c r="M213" i="48"/>
  <c r="N213" i="48"/>
  <c r="O213" i="48"/>
  <c r="P213" i="48"/>
  <c r="Q213" i="48"/>
  <c r="R213" i="48"/>
  <c r="H214" i="48"/>
  <c r="I214" i="48"/>
  <c r="J214" i="48"/>
  <c r="K214" i="48"/>
  <c r="L214" i="48"/>
  <c r="M214" i="48"/>
  <c r="N214" i="48"/>
  <c r="O214" i="48"/>
  <c r="P214" i="48"/>
  <c r="Q214" i="48"/>
  <c r="R214" i="48"/>
  <c r="H215" i="48"/>
  <c r="I215" i="48"/>
  <c r="J215" i="48"/>
  <c r="K215" i="48"/>
  <c r="L215" i="48"/>
  <c r="M215" i="48"/>
  <c r="N215" i="48"/>
  <c r="O215" i="48"/>
  <c r="P215" i="48"/>
  <c r="Q215" i="48"/>
  <c r="R215" i="48"/>
  <c r="H216" i="48"/>
  <c r="I216" i="48"/>
  <c r="J216" i="48"/>
  <c r="K216" i="48"/>
  <c r="L216" i="48"/>
  <c r="M216" i="48"/>
  <c r="N216" i="48"/>
  <c r="O216" i="48"/>
  <c r="P216" i="48"/>
  <c r="Q216" i="48"/>
  <c r="R216" i="48"/>
  <c r="H217" i="48"/>
  <c r="I217" i="48"/>
  <c r="J217" i="48"/>
  <c r="K217" i="48"/>
  <c r="L217" i="48"/>
  <c r="M217" i="48"/>
  <c r="N217" i="48"/>
  <c r="O217" i="48"/>
  <c r="P217" i="48"/>
  <c r="Q217" i="48"/>
  <c r="R217" i="48"/>
  <c r="H218" i="48"/>
  <c r="I218" i="48"/>
  <c r="J218" i="48"/>
  <c r="K218" i="48"/>
  <c r="L218" i="48"/>
  <c r="M218" i="48"/>
  <c r="N218" i="48"/>
  <c r="O218" i="48"/>
  <c r="P218" i="48"/>
  <c r="Q218" i="48"/>
  <c r="R218" i="48"/>
  <c r="H219" i="48"/>
  <c r="I219" i="48"/>
  <c r="J219" i="48"/>
  <c r="K219" i="48"/>
  <c r="L219" i="48"/>
  <c r="M219" i="48"/>
  <c r="N219" i="48"/>
  <c r="O219" i="48"/>
  <c r="P219" i="48"/>
  <c r="Q219" i="48"/>
  <c r="R219" i="48"/>
  <c r="H220" i="48"/>
  <c r="I220" i="48"/>
  <c r="J220" i="48"/>
  <c r="K220" i="48"/>
  <c r="L220" i="48"/>
  <c r="M220" i="48"/>
  <c r="N220" i="48"/>
  <c r="O220" i="48"/>
  <c r="P220" i="48"/>
  <c r="Q220" i="48"/>
  <c r="R220" i="48"/>
  <c r="H221" i="48"/>
  <c r="I221" i="48"/>
  <c r="J221" i="48"/>
  <c r="K221" i="48"/>
  <c r="L221" i="48"/>
  <c r="M221" i="48"/>
  <c r="N221" i="48"/>
  <c r="O221" i="48"/>
  <c r="P221" i="48"/>
  <c r="Q221" i="48"/>
  <c r="R221" i="48"/>
  <c r="H222" i="48"/>
  <c r="I222" i="48"/>
  <c r="J222" i="48"/>
  <c r="K222" i="48"/>
  <c r="L222" i="48"/>
  <c r="M222" i="48"/>
  <c r="N222" i="48"/>
  <c r="O222" i="48"/>
  <c r="P222" i="48"/>
  <c r="Q222" i="48"/>
  <c r="R222" i="48"/>
  <c r="H223" i="48"/>
  <c r="I223" i="48"/>
  <c r="J223" i="48"/>
  <c r="K223" i="48"/>
  <c r="L223" i="48"/>
  <c r="M223" i="48"/>
  <c r="N223" i="48"/>
  <c r="O223" i="48"/>
  <c r="P223" i="48"/>
  <c r="Q223" i="48"/>
  <c r="R223" i="48"/>
  <c r="H224" i="48"/>
  <c r="I224" i="48"/>
  <c r="J224" i="48"/>
  <c r="K224" i="48"/>
  <c r="L224" i="48"/>
  <c r="M224" i="48"/>
  <c r="N224" i="48"/>
  <c r="O224" i="48"/>
  <c r="P224" i="48"/>
  <c r="Q224" i="48"/>
  <c r="R224" i="48"/>
  <c r="H225" i="48"/>
  <c r="I225" i="48"/>
  <c r="J225" i="48"/>
  <c r="K225" i="48"/>
  <c r="L225" i="48"/>
  <c r="M225" i="48"/>
  <c r="N225" i="48"/>
  <c r="O225" i="48"/>
  <c r="P225" i="48"/>
  <c r="Q225" i="48"/>
  <c r="R225" i="48"/>
  <c r="H226" i="48"/>
  <c r="I226" i="48"/>
  <c r="J226" i="48"/>
  <c r="K226" i="48"/>
  <c r="L226" i="48"/>
  <c r="M226" i="48"/>
  <c r="N226" i="48"/>
  <c r="O226" i="48"/>
  <c r="P226" i="48"/>
  <c r="Q226" i="48"/>
  <c r="R226" i="48"/>
  <c r="G208" i="48"/>
  <c r="G209" i="48"/>
  <c r="G210" i="48"/>
  <c r="G211" i="48"/>
  <c r="G212" i="48"/>
  <c r="G213" i="48"/>
  <c r="G214" i="48"/>
  <c r="G215" i="48"/>
  <c r="G216" i="48"/>
  <c r="G217" i="48"/>
  <c r="G218" i="48"/>
  <c r="G219" i="48"/>
  <c r="G220" i="48"/>
  <c r="G221" i="48"/>
  <c r="G222" i="48"/>
  <c r="G223" i="48"/>
  <c r="G224" i="48"/>
  <c r="G225" i="48"/>
  <c r="G226" i="48"/>
  <c r="G207" i="48"/>
  <c r="H201" i="48"/>
  <c r="I201" i="48"/>
  <c r="J201" i="48"/>
  <c r="K201" i="48"/>
  <c r="L201" i="48"/>
  <c r="M201" i="48"/>
  <c r="N201" i="48"/>
  <c r="O201" i="48"/>
  <c r="P201" i="48"/>
  <c r="Q201" i="48"/>
  <c r="R201" i="48"/>
  <c r="H203" i="48"/>
  <c r="I203" i="48"/>
  <c r="J203" i="48"/>
  <c r="K203" i="48"/>
  <c r="L203" i="48"/>
  <c r="M203" i="48"/>
  <c r="N203" i="48"/>
  <c r="O203" i="48"/>
  <c r="P203" i="48"/>
  <c r="Q203" i="48"/>
  <c r="R203" i="48"/>
  <c r="G203" i="48"/>
  <c r="G201" i="48"/>
  <c r="C201" i="48"/>
  <c r="C202" i="48"/>
  <c r="C203" i="48"/>
  <c r="C204" i="48"/>
  <c r="C205" i="48"/>
  <c r="C206" i="48"/>
  <c r="C207" i="48"/>
  <c r="C208" i="48"/>
  <c r="C209" i="48"/>
  <c r="C210" i="48"/>
  <c r="C211" i="48"/>
  <c r="C212" i="48"/>
  <c r="C213" i="48"/>
  <c r="C214" i="48"/>
  <c r="C215" i="48"/>
  <c r="C216" i="48"/>
  <c r="C217" i="48"/>
  <c r="C218" i="48"/>
  <c r="C219" i="48"/>
  <c r="C220" i="48"/>
  <c r="C221" i="48"/>
  <c r="C222" i="48"/>
  <c r="C223" i="48"/>
  <c r="C224" i="48"/>
  <c r="C225" i="48"/>
  <c r="C226" i="48"/>
  <c r="C200" i="48"/>
  <c r="C199" i="48"/>
  <c r="H182" i="48"/>
  <c r="I182" i="48"/>
  <c r="J182" i="48"/>
  <c r="K182" i="48"/>
  <c r="L182" i="48"/>
  <c r="M182" i="48"/>
  <c r="N182" i="48"/>
  <c r="O182" i="48"/>
  <c r="P182" i="48"/>
  <c r="Q182" i="48"/>
  <c r="R182" i="48"/>
  <c r="H183" i="48"/>
  <c r="H181" i="48"/>
  <c r="I183" i="48"/>
  <c r="J183" i="48"/>
  <c r="K183" i="48"/>
  <c r="L183" i="48"/>
  <c r="M183" i="48"/>
  <c r="N183" i="48"/>
  <c r="O183" i="48"/>
  <c r="P183" i="48"/>
  <c r="Q183" i="48"/>
  <c r="R183" i="48"/>
  <c r="G183" i="48"/>
  <c r="G182" i="48"/>
  <c r="H186" i="48"/>
  <c r="I186" i="48"/>
  <c r="J186" i="48"/>
  <c r="K186" i="48"/>
  <c r="L186" i="48"/>
  <c r="M186" i="48"/>
  <c r="N186" i="48"/>
  <c r="O186" i="48"/>
  <c r="P186" i="48"/>
  <c r="Q186" i="48"/>
  <c r="R186" i="48"/>
  <c r="H187" i="48"/>
  <c r="I187" i="48"/>
  <c r="J187" i="48"/>
  <c r="K187" i="48"/>
  <c r="L187" i="48"/>
  <c r="M187" i="48"/>
  <c r="N187" i="48"/>
  <c r="O187" i="48"/>
  <c r="P187" i="48"/>
  <c r="Q187" i="48"/>
  <c r="R187" i="48"/>
  <c r="H188" i="48"/>
  <c r="I188" i="48"/>
  <c r="J188" i="48"/>
  <c r="K188" i="48"/>
  <c r="L188" i="48"/>
  <c r="M188" i="48"/>
  <c r="N188" i="48"/>
  <c r="O188" i="48"/>
  <c r="P188" i="48"/>
  <c r="Q188" i="48"/>
  <c r="R188" i="48"/>
  <c r="H190" i="48"/>
  <c r="I190" i="48"/>
  <c r="J190" i="48"/>
  <c r="K190" i="48"/>
  <c r="L190" i="48"/>
  <c r="M190" i="48"/>
  <c r="N190" i="48"/>
  <c r="O190" i="48"/>
  <c r="P190" i="48"/>
  <c r="Q190" i="48"/>
  <c r="R190" i="48"/>
  <c r="H191" i="48"/>
  <c r="I191" i="48"/>
  <c r="J191" i="48"/>
  <c r="K191" i="48"/>
  <c r="L191" i="48"/>
  <c r="M191" i="48"/>
  <c r="N191" i="48"/>
  <c r="O191" i="48"/>
  <c r="P191" i="48"/>
  <c r="Q191" i="48"/>
  <c r="R191" i="48"/>
  <c r="H192" i="48"/>
  <c r="I192" i="48"/>
  <c r="J192" i="48"/>
  <c r="K192" i="48"/>
  <c r="L192" i="48"/>
  <c r="M192" i="48"/>
  <c r="N192" i="48"/>
  <c r="O192" i="48"/>
  <c r="P192" i="48"/>
  <c r="Q192" i="48"/>
  <c r="R192" i="48"/>
  <c r="H193" i="48"/>
  <c r="I193" i="48"/>
  <c r="J193" i="48"/>
  <c r="K193" i="48"/>
  <c r="L193" i="48"/>
  <c r="M193" i="48"/>
  <c r="N193" i="48"/>
  <c r="O193" i="48"/>
  <c r="P193" i="48"/>
  <c r="Q193" i="48"/>
  <c r="R193" i="48"/>
  <c r="H194" i="48"/>
  <c r="I194" i="48"/>
  <c r="J194" i="48"/>
  <c r="K194" i="48"/>
  <c r="L194" i="48"/>
  <c r="M194" i="48"/>
  <c r="N194" i="48"/>
  <c r="O194" i="48"/>
  <c r="P194" i="48"/>
  <c r="Q194" i="48"/>
  <c r="R194" i="48"/>
  <c r="H196" i="48"/>
  <c r="I196" i="48"/>
  <c r="J196" i="48"/>
  <c r="K196" i="48"/>
  <c r="L196" i="48"/>
  <c r="M196" i="48"/>
  <c r="N196" i="48"/>
  <c r="O196" i="48"/>
  <c r="P196" i="48"/>
  <c r="Q196" i="48"/>
  <c r="R196" i="48"/>
  <c r="H197" i="48"/>
  <c r="I197" i="48"/>
  <c r="J197" i="48"/>
  <c r="K197" i="48"/>
  <c r="L197" i="48"/>
  <c r="M197" i="48"/>
  <c r="N197" i="48"/>
  <c r="O197" i="48"/>
  <c r="P197" i="48"/>
  <c r="Q197" i="48"/>
  <c r="R197" i="48"/>
  <c r="G187" i="48"/>
  <c r="G188" i="48"/>
  <c r="G190" i="48"/>
  <c r="G191" i="48"/>
  <c r="G192" i="48"/>
  <c r="G193" i="48"/>
  <c r="G194" i="48"/>
  <c r="G196" i="48"/>
  <c r="G197" i="48"/>
  <c r="G186" i="48"/>
  <c r="H198" i="48"/>
  <c r="I198" i="48"/>
  <c r="J198" i="48"/>
  <c r="K198" i="48"/>
  <c r="L198" i="48"/>
  <c r="M198" i="48"/>
  <c r="N198" i="48"/>
  <c r="O198" i="48"/>
  <c r="P198" i="48"/>
  <c r="Q198" i="48"/>
  <c r="R198" i="48"/>
  <c r="G198" i="48"/>
  <c r="C186" i="48"/>
  <c r="C187" i="48"/>
  <c r="C188" i="48"/>
  <c r="C189" i="48"/>
  <c r="C190" i="48"/>
  <c r="C191" i="48"/>
  <c r="C192" i="48"/>
  <c r="C193" i="48"/>
  <c r="C194" i="48"/>
  <c r="C195" i="48"/>
  <c r="C196" i="48"/>
  <c r="C197" i="48"/>
  <c r="C198" i="48"/>
  <c r="C185" i="48"/>
  <c r="C184" i="48"/>
  <c r="C183" i="48"/>
  <c r="C182" i="48"/>
  <c r="C181" i="48"/>
  <c r="H179" i="48"/>
  <c r="I179" i="48"/>
  <c r="J179" i="48"/>
  <c r="K179" i="48"/>
  <c r="L179" i="48"/>
  <c r="M179" i="48"/>
  <c r="N179" i="48"/>
  <c r="O179" i="48"/>
  <c r="P179" i="48"/>
  <c r="Q179" i="48"/>
  <c r="R179" i="48"/>
  <c r="G179" i="48"/>
  <c r="H174" i="48"/>
  <c r="I174" i="48"/>
  <c r="J174" i="48"/>
  <c r="K174" i="48"/>
  <c r="L174" i="48"/>
  <c r="M174" i="48"/>
  <c r="N174" i="48"/>
  <c r="O174" i="48"/>
  <c r="P174" i="48"/>
  <c r="Q174" i="48"/>
  <c r="R174" i="48"/>
  <c r="H175" i="48"/>
  <c r="I175" i="48"/>
  <c r="J175" i="48"/>
  <c r="K175" i="48"/>
  <c r="L175" i="48"/>
  <c r="M175" i="48"/>
  <c r="N175" i="48"/>
  <c r="O175" i="48"/>
  <c r="P175" i="48"/>
  <c r="Q175" i="48"/>
  <c r="R175" i="48"/>
  <c r="G175" i="48"/>
  <c r="G174" i="48"/>
  <c r="H171" i="48"/>
  <c r="I171" i="48"/>
  <c r="J171" i="48"/>
  <c r="K171" i="48"/>
  <c r="L171" i="48"/>
  <c r="M171" i="48"/>
  <c r="N171" i="48"/>
  <c r="O171" i="48"/>
  <c r="P171" i="48"/>
  <c r="Q171" i="48"/>
  <c r="R171" i="48"/>
  <c r="G171" i="48"/>
  <c r="C179" i="48"/>
  <c r="C174" i="48"/>
  <c r="C175" i="48"/>
  <c r="C176" i="48"/>
  <c r="C177" i="48"/>
  <c r="C178" i="48"/>
  <c r="C173" i="48"/>
  <c r="C172" i="48"/>
  <c r="C171" i="48"/>
  <c r="C170" i="48"/>
  <c r="C169" i="48"/>
  <c r="H161" i="48"/>
  <c r="I161" i="48"/>
  <c r="J161" i="48"/>
  <c r="K161" i="48"/>
  <c r="L161" i="48"/>
  <c r="M161" i="48"/>
  <c r="N161" i="48"/>
  <c r="O161" i="48"/>
  <c r="P161" i="48"/>
  <c r="Q161" i="48"/>
  <c r="R161" i="48"/>
  <c r="H164" i="48"/>
  <c r="I164" i="48"/>
  <c r="J164" i="48"/>
  <c r="K164" i="48"/>
  <c r="L164" i="48"/>
  <c r="M164" i="48"/>
  <c r="N164" i="48"/>
  <c r="O164" i="48"/>
  <c r="P164" i="48"/>
  <c r="Q164" i="48"/>
  <c r="R164" i="48"/>
  <c r="H165" i="48"/>
  <c r="I165" i="48"/>
  <c r="J165" i="48"/>
  <c r="K165" i="48"/>
  <c r="L165" i="48"/>
  <c r="M165" i="48"/>
  <c r="N165" i="48"/>
  <c r="O165" i="48"/>
  <c r="P165" i="48"/>
  <c r="Q165" i="48"/>
  <c r="R165" i="48"/>
  <c r="H166" i="48"/>
  <c r="I166" i="48"/>
  <c r="J166" i="48"/>
  <c r="K166" i="48"/>
  <c r="L166" i="48"/>
  <c r="M166" i="48"/>
  <c r="N166" i="48"/>
  <c r="O166" i="48"/>
  <c r="P166" i="48"/>
  <c r="Q166" i="48"/>
  <c r="R166" i="48"/>
  <c r="H167" i="48"/>
  <c r="I167" i="48"/>
  <c r="J167" i="48"/>
  <c r="K167" i="48"/>
  <c r="L167" i="48"/>
  <c r="M167" i="48"/>
  <c r="N167" i="48"/>
  <c r="O167" i="48"/>
  <c r="P167" i="48"/>
  <c r="Q167" i="48"/>
  <c r="R167" i="48"/>
  <c r="G164" i="48"/>
  <c r="G165" i="48"/>
  <c r="G166" i="48"/>
  <c r="G167" i="48"/>
  <c r="G161" i="48"/>
  <c r="H154" i="48"/>
  <c r="H153" i="48" s="1"/>
  <c r="I154" i="48"/>
  <c r="I153" i="48" s="1"/>
  <c r="J154" i="48"/>
  <c r="J153" i="48" s="1"/>
  <c r="K154" i="48"/>
  <c r="K153" i="48" s="1"/>
  <c r="L154" i="48"/>
  <c r="L153" i="48" s="1"/>
  <c r="M154" i="48"/>
  <c r="M153" i="48" s="1"/>
  <c r="N154" i="48"/>
  <c r="N153" i="48" s="1"/>
  <c r="O154" i="48"/>
  <c r="O153" i="48" s="1"/>
  <c r="P154" i="48"/>
  <c r="P153" i="48" s="1"/>
  <c r="Q154" i="48"/>
  <c r="Q153" i="48" s="1"/>
  <c r="R154" i="48"/>
  <c r="R153" i="48" s="1"/>
  <c r="G154" i="48"/>
  <c r="G153" i="48" s="1"/>
  <c r="C166" i="48"/>
  <c r="C167" i="48"/>
  <c r="C168" i="48"/>
  <c r="K181" i="48"/>
  <c r="C160" i="48"/>
  <c r="C161" i="48"/>
  <c r="C162" i="48"/>
  <c r="C163" i="48"/>
  <c r="C164" i="48"/>
  <c r="C165" i="48"/>
  <c r="C158" i="48"/>
  <c r="C159" i="48"/>
  <c r="C157" i="48"/>
  <c r="C156" i="48"/>
  <c r="C155" i="48"/>
  <c r="C154" i="48"/>
  <c r="C153" i="48"/>
  <c r="C149" i="48"/>
  <c r="C150" i="48"/>
  <c r="C151" i="48"/>
  <c r="C148" i="48"/>
  <c r="C146" i="48"/>
  <c r="C147" i="48"/>
  <c r="C145" i="48"/>
  <c r="C144" i="48"/>
  <c r="H117" i="48"/>
  <c r="I117" i="48"/>
  <c r="J117" i="48"/>
  <c r="K117" i="48"/>
  <c r="L117" i="48"/>
  <c r="M117" i="48"/>
  <c r="N117" i="48"/>
  <c r="O117" i="48"/>
  <c r="P117" i="48"/>
  <c r="Q117" i="48"/>
  <c r="R117" i="48"/>
  <c r="H122" i="48"/>
  <c r="I122" i="48"/>
  <c r="J122" i="48"/>
  <c r="K122" i="48"/>
  <c r="L122" i="48"/>
  <c r="M122" i="48"/>
  <c r="N122" i="48"/>
  <c r="O122" i="48"/>
  <c r="P122" i="48"/>
  <c r="Q122" i="48"/>
  <c r="R122" i="48"/>
  <c r="H127" i="48"/>
  <c r="I127" i="48"/>
  <c r="J127" i="48"/>
  <c r="K127" i="48"/>
  <c r="L127" i="48"/>
  <c r="M127" i="48"/>
  <c r="N127" i="48"/>
  <c r="O127" i="48"/>
  <c r="P127" i="48"/>
  <c r="Q127" i="48"/>
  <c r="R127" i="48"/>
  <c r="H128" i="48"/>
  <c r="I128" i="48"/>
  <c r="J128" i="48"/>
  <c r="K128" i="48"/>
  <c r="L128" i="48"/>
  <c r="M128" i="48"/>
  <c r="N128" i="48"/>
  <c r="O128" i="48"/>
  <c r="P128" i="48"/>
  <c r="Q128" i="48"/>
  <c r="R128" i="48"/>
  <c r="H132" i="48"/>
  <c r="I132" i="48"/>
  <c r="J132" i="48"/>
  <c r="K132" i="48"/>
  <c r="L132" i="48"/>
  <c r="M132" i="48"/>
  <c r="N132" i="48"/>
  <c r="O132" i="48"/>
  <c r="P132" i="48"/>
  <c r="Q132" i="48"/>
  <c r="R132" i="48"/>
  <c r="H133" i="48"/>
  <c r="I133" i="48"/>
  <c r="J133" i="48"/>
  <c r="K133" i="48"/>
  <c r="L133" i="48"/>
  <c r="M133" i="48"/>
  <c r="N133" i="48"/>
  <c r="O133" i="48"/>
  <c r="P133" i="48"/>
  <c r="Q133" i="48"/>
  <c r="R133" i="48"/>
  <c r="H134" i="48"/>
  <c r="I134" i="48"/>
  <c r="J134" i="48"/>
  <c r="K134" i="48"/>
  <c r="L134" i="48"/>
  <c r="M134" i="48"/>
  <c r="N134" i="48"/>
  <c r="O134" i="48"/>
  <c r="P134" i="48"/>
  <c r="Q134" i="48"/>
  <c r="R134" i="48"/>
  <c r="H135" i="48"/>
  <c r="I135" i="48"/>
  <c r="J135" i="48"/>
  <c r="K135" i="48"/>
  <c r="L135" i="48"/>
  <c r="M135" i="48"/>
  <c r="N135" i="48"/>
  <c r="O135" i="48"/>
  <c r="P135" i="48"/>
  <c r="Q135" i="48"/>
  <c r="R135" i="48"/>
  <c r="H136" i="48"/>
  <c r="I136" i="48"/>
  <c r="J136" i="48"/>
  <c r="K136" i="48"/>
  <c r="L136" i="48"/>
  <c r="M136" i="48"/>
  <c r="N136" i="48"/>
  <c r="O136" i="48"/>
  <c r="P136" i="48"/>
  <c r="Q136" i="48"/>
  <c r="R136" i="48"/>
  <c r="H137" i="48"/>
  <c r="I137" i="48"/>
  <c r="J137" i="48"/>
  <c r="K137" i="48"/>
  <c r="L137" i="48"/>
  <c r="M137" i="48"/>
  <c r="N137" i="48"/>
  <c r="O137" i="48"/>
  <c r="P137" i="48"/>
  <c r="Q137" i="48"/>
  <c r="R137" i="48"/>
  <c r="H138" i="48"/>
  <c r="I138" i="48"/>
  <c r="J138" i="48"/>
  <c r="K138" i="48"/>
  <c r="L138" i="48"/>
  <c r="M138" i="48"/>
  <c r="N138" i="48"/>
  <c r="O138" i="48"/>
  <c r="P138" i="48"/>
  <c r="Q138" i="48"/>
  <c r="R138" i="48"/>
  <c r="H139" i="48"/>
  <c r="I139" i="48"/>
  <c r="J139" i="48"/>
  <c r="K139" i="48"/>
  <c r="L139" i="48"/>
  <c r="M139" i="48"/>
  <c r="N139" i="48"/>
  <c r="O139" i="48"/>
  <c r="P139" i="48"/>
  <c r="Q139" i="48"/>
  <c r="R139" i="48"/>
  <c r="H140" i="48"/>
  <c r="I140" i="48"/>
  <c r="J140" i="48"/>
  <c r="K140" i="48"/>
  <c r="L140" i="48"/>
  <c r="M140" i="48"/>
  <c r="N140" i="48"/>
  <c r="O140" i="48"/>
  <c r="P140" i="48"/>
  <c r="Q140" i="48"/>
  <c r="R140" i="48"/>
  <c r="H141" i="48"/>
  <c r="I141" i="48"/>
  <c r="J141" i="48"/>
  <c r="K141" i="48"/>
  <c r="L141" i="48"/>
  <c r="M141" i="48"/>
  <c r="N141" i="48"/>
  <c r="O141" i="48"/>
  <c r="P141" i="48"/>
  <c r="Q141" i="48"/>
  <c r="R141" i="48"/>
  <c r="H142" i="48"/>
  <c r="I142" i="48"/>
  <c r="J142" i="48"/>
  <c r="K142" i="48"/>
  <c r="L142" i="48"/>
  <c r="M142" i="48"/>
  <c r="N142" i="48"/>
  <c r="O142" i="48"/>
  <c r="P142" i="48"/>
  <c r="Q142" i="48"/>
  <c r="R142" i="48"/>
  <c r="G122" i="48"/>
  <c r="G127" i="48"/>
  <c r="G128" i="48"/>
  <c r="G132" i="48"/>
  <c r="G133" i="48"/>
  <c r="G134" i="48"/>
  <c r="G135" i="48"/>
  <c r="G136" i="48"/>
  <c r="G137" i="48"/>
  <c r="G138" i="48"/>
  <c r="G139" i="48"/>
  <c r="G140" i="48"/>
  <c r="G141" i="48"/>
  <c r="G142" i="48"/>
  <c r="G117" i="48"/>
  <c r="H114" i="48"/>
  <c r="I114" i="48"/>
  <c r="J114" i="48"/>
  <c r="K114" i="48"/>
  <c r="L114" i="48"/>
  <c r="M114" i="48"/>
  <c r="N114" i="48"/>
  <c r="O114" i="48"/>
  <c r="P114" i="48"/>
  <c r="Q114" i="48"/>
  <c r="R114" i="48"/>
  <c r="H115" i="48"/>
  <c r="I115" i="48"/>
  <c r="J115" i="48"/>
  <c r="K115" i="48"/>
  <c r="L115" i="48"/>
  <c r="M115" i="48"/>
  <c r="N115" i="48"/>
  <c r="O115" i="48"/>
  <c r="O113" i="48" s="1"/>
  <c r="P115" i="48"/>
  <c r="Q115" i="48"/>
  <c r="R115" i="48"/>
  <c r="G115" i="48"/>
  <c r="G114" i="48"/>
  <c r="G113" i="48" s="1"/>
  <c r="H103" i="48"/>
  <c r="I103" i="48"/>
  <c r="J103" i="48"/>
  <c r="K103" i="48"/>
  <c r="L103" i="48"/>
  <c r="M103" i="48"/>
  <c r="N103" i="48"/>
  <c r="O103" i="48"/>
  <c r="P103" i="48"/>
  <c r="Q103" i="48"/>
  <c r="R103" i="48"/>
  <c r="H105" i="48"/>
  <c r="I105" i="48"/>
  <c r="J105" i="48"/>
  <c r="K105" i="48"/>
  <c r="L105" i="48"/>
  <c r="M105" i="48"/>
  <c r="N105" i="48"/>
  <c r="O105" i="48"/>
  <c r="P105" i="48"/>
  <c r="Q105" i="48"/>
  <c r="R105" i="48"/>
  <c r="H106" i="48"/>
  <c r="I106" i="48"/>
  <c r="J106" i="48"/>
  <c r="K106" i="48"/>
  <c r="L106" i="48"/>
  <c r="M106" i="48"/>
  <c r="N106" i="48"/>
  <c r="O106" i="48"/>
  <c r="P106" i="48"/>
  <c r="Q106" i="48"/>
  <c r="R106" i="48"/>
  <c r="H107" i="48"/>
  <c r="I107" i="48"/>
  <c r="J107" i="48"/>
  <c r="K107" i="48"/>
  <c r="L107" i="48"/>
  <c r="M107" i="48"/>
  <c r="N107" i="48"/>
  <c r="O107" i="48"/>
  <c r="P107" i="48"/>
  <c r="Q107" i="48"/>
  <c r="R107" i="48"/>
  <c r="G103" i="48"/>
  <c r="G105" i="48"/>
  <c r="G106" i="48"/>
  <c r="G107" i="48"/>
  <c r="H99" i="48"/>
  <c r="I99" i="48"/>
  <c r="J99" i="48"/>
  <c r="K99" i="48"/>
  <c r="L99" i="48"/>
  <c r="M99" i="48"/>
  <c r="N99" i="48"/>
  <c r="O99" i="48"/>
  <c r="P99" i="48"/>
  <c r="Q99" i="48"/>
  <c r="R99" i="48"/>
  <c r="G99" i="48"/>
  <c r="C140" i="48"/>
  <c r="C141" i="48"/>
  <c r="C142" i="48"/>
  <c r="C143" i="48"/>
  <c r="C138" i="48"/>
  <c r="C139" i="48"/>
  <c r="C132" i="48"/>
  <c r="C133" i="48"/>
  <c r="C134" i="48"/>
  <c r="C135" i="48"/>
  <c r="C136" i="48"/>
  <c r="C137" i="48"/>
  <c r="C116" i="48"/>
  <c r="C117" i="48"/>
  <c r="C118" i="48"/>
  <c r="C119" i="48"/>
  <c r="C120" i="48"/>
  <c r="C121" i="48"/>
  <c r="C122" i="48"/>
  <c r="C123" i="48"/>
  <c r="C124" i="48"/>
  <c r="C125" i="48"/>
  <c r="C126" i="48"/>
  <c r="C127" i="48"/>
  <c r="C128" i="48"/>
  <c r="C129" i="48"/>
  <c r="C130" i="48"/>
  <c r="C131" i="48"/>
  <c r="C102" i="48"/>
  <c r="C103" i="48"/>
  <c r="C104" i="48"/>
  <c r="C105" i="48"/>
  <c r="C106" i="48"/>
  <c r="C107" i="48"/>
  <c r="C108" i="48"/>
  <c r="C109" i="48"/>
  <c r="C110" i="48"/>
  <c r="C111" i="48"/>
  <c r="C112" i="48"/>
  <c r="C113" i="48"/>
  <c r="C114" i="48"/>
  <c r="C115" i="48"/>
  <c r="C101" i="48"/>
  <c r="C100" i="48"/>
  <c r="C99" i="48"/>
  <c r="C98" i="48"/>
  <c r="C97" i="48"/>
  <c r="C96" i="48"/>
  <c r="L85" i="16"/>
  <c r="N75" i="48" s="1"/>
  <c r="M85" i="16"/>
  <c r="O75" i="48" s="1"/>
  <c r="N85" i="16"/>
  <c r="P75" i="48" s="1"/>
  <c r="O85" i="16"/>
  <c r="Q75" i="48" s="1"/>
  <c r="P85" i="16"/>
  <c r="R75" i="48" s="1"/>
  <c r="L86" i="16"/>
  <c r="N76" i="48" s="1"/>
  <c r="M86" i="16"/>
  <c r="O76" i="48" s="1"/>
  <c r="N86" i="16"/>
  <c r="O86" i="16"/>
  <c r="Q76" i="48"/>
  <c r="P86" i="16"/>
  <c r="R76" i="48"/>
  <c r="K86" i="16"/>
  <c r="M76" i="48" s="1"/>
  <c r="K85" i="16"/>
  <c r="M75" i="48" s="1"/>
  <c r="F85" i="16"/>
  <c r="G85" i="16"/>
  <c r="H85" i="16"/>
  <c r="J75" i="48"/>
  <c r="I85" i="16"/>
  <c r="K75" i="48"/>
  <c r="J85" i="16"/>
  <c r="L75" i="48"/>
  <c r="F86" i="16"/>
  <c r="H78" i="49" s="1"/>
  <c r="H76" i="48"/>
  <c r="G86" i="16"/>
  <c r="I76" i="48"/>
  <c r="H86" i="16"/>
  <c r="J76" i="48"/>
  <c r="I86" i="16"/>
  <c r="K76" i="48"/>
  <c r="J86" i="16"/>
  <c r="E86" i="16"/>
  <c r="G76" i="48" s="1"/>
  <c r="E85" i="16"/>
  <c r="G75" i="48" s="1"/>
  <c r="L83" i="16"/>
  <c r="N73" i="48" s="1"/>
  <c r="M83" i="16"/>
  <c r="N83" i="16"/>
  <c r="P73" i="48"/>
  <c r="O83" i="16"/>
  <c r="Q73" i="48" s="1"/>
  <c r="P83" i="16"/>
  <c r="R73" i="48"/>
  <c r="L84" i="16"/>
  <c r="N74" i="48" s="1"/>
  <c r="M84" i="16"/>
  <c r="O74" i="48"/>
  <c r="N84" i="16"/>
  <c r="P74" i="48" s="1"/>
  <c r="O84" i="16"/>
  <c r="P84" i="16"/>
  <c r="R74" i="48" s="1"/>
  <c r="K84" i="16"/>
  <c r="M74" i="48" s="1"/>
  <c r="K83" i="16"/>
  <c r="M73" i="48" s="1"/>
  <c r="F83" i="16"/>
  <c r="G83" i="16"/>
  <c r="I73" i="48"/>
  <c r="H83" i="16"/>
  <c r="J73" i="48"/>
  <c r="I83" i="16"/>
  <c r="K73" i="48"/>
  <c r="J83" i="16"/>
  <c r="L73" i="48"/>
  <c r="F84" i="16"/>
  <c r="H76" i="49" s="1"/>
  <c r="H74" i="48"/>
  <c r="G84" i="16"/>
  <c r="I74" i="48"/>
  <c r="H84" i="16"/>
  <c r="J74" i="48"/>
  <c r="I84" i="16"/>
  <c r="K74" i="48"/>
  <c r="J84" i="16"/>
  <c r="L74" i="48"/>
  <c r="E84" i="16"/>
  <c r="G74" i="48"/>
  <c r="E83" i="16"/>
  <c r="G73" i="48" s="1"/>
  <c r="L78" i="16"/>
  <c r="N68" i="48" s="1"/>
  <c r="M78" i="16"/>
  <c r="O68" i="48" s="1"/>
  <c r="N78" i="16"/>
  <c r="O78" i="16"/>
  <c r="P78" i="16"/>
  <c r="R68" i="48" s="1"/>
  <c r="L79" i="16"/>
  <c r="N69" i="48" s="1"/>
  <c r="M79" i="16"/>
  <c r="N79" i="16"/>
  <c r="O79" i="16"/>
  <c r="Q69" i="48" s="1"/>
  <c r="P79" i="16"/>
  <c r="L80" i="16"/>
  <c r="N70" i="48"/>
  <c r="M80" i="16"/>
  <c r="O70" i="48" s="1"/>
  <c r="N80" i="16"/>
  <c r="P70" i="48"/>
  <c r="O80" i="16"/>
  <c r="Q70" i="48" s="1"/>
  <c r="P80" i="16"/>
  <c r="R70" i="48"/>
  <c r="L81" i="16"/>
  <c r="N71" i="48" s="1"/>
  <c r="M81" i="16"/>
  <c r="O71" i="48"/>
  <c r="N81" i="16"/>
  <c r="P71" i="48" s="1"/>
  <c r="O81" i="16"/>
  <c r="Q71" i="48"/>
  <c r="P81" i="16"/>
  <c r="K79" i="16"/>
  <c r="M69" i="48" s="1"/>
  <c r="K80" i="16"/>
  <c r="M70" i="48" s="1"/>
  <c r="K81" i="16"/>
  <c r="M71" i="48" s="1"/>
  <c r="F78" i="16"/>
  <c r="H70" i="49" s="1"/>
  <c r="G78" i="16"/>
  <c r="I68" i="48"/>
  <c r="H78" i="16"/>
  <c r="J68" i="48" s="1"/>
  <c r="I78" i="16"/>
  <c r="K68" i="48" s="1"/>
  <c r="J78" i="16"/>
  <c r="F79" i="16"/>
  <c r="H71" i="49" s="1"/>
  <c r="H69" i="48"/>
  <c r="G79" i="16"/>
  <c r="I69" i="48" s="1"/>
  <c r="H79" i="16"/>
  <c r="J69" i="48" s="1"/>
  <c r="I79" i="16"/>
  <c r="K69" i="48" s="1"/>
  <c r="J79" i="16"/>
  <c r="L69" i="48"/>
  <c r="F80" i="16"/>
  <c r="H72" i="49" s="1"/>
  <c r="H70" i="48"/>
  <c r="G80" i="16"/>
  <c r="H80" i="16"/>
  <c r="J70" i="48" s="1"/>
  <c r="I80" i="16"/>
  <c r="K70" i="48" s="1"/>
  <c r="J80" i="16"/>
  <c r="L70" i="48"/>
  <c r="F81" i="16"/>
  <c r="H73" i="49" s="1"/>
  <c r="G81" i="16"/>
  <c r="I71" i="48" s="1"/>
  <c r="H81" i="16"/>
  <c r="J71" i="48" s="1"/>
  <c r="I81" i="16"/>
  <c r="K71" i="48" s="1"/>
  <c r="J81" i="16"/>
  <c r="L71" i="48" s="1"/>
  <c r="E79" i="16"/>
  <c r="E80" i="16"/>
  <c r="G70" i="48"/>
  <c r="E81" i="16"/>
  <c r="Q81" i="16" s="1"/>
  <c r="Q74" i="48"/>
  <c r="C39" i="48"/>
  <c r="L113" i="48"/>
  <c r="O9" i="16"/>
  <c r="Q24" i="2"/>
  <c r="Q25" i="2"/>
  <c r="Q26" i="2"/>
  <c r="F14" i="2"/>
  <c r="L33" i="11"/>
  <c r="U33" i="11"/>
  <c r="O237" i="16"/>
  <c r="Q179" i="49" s="1"/>
  <c r="O238" i="16"/>
  <c r="B34" i="25"/>
  <c r="C34" i="25"/>
  <c r="I34" i="25"/>
  <c r="J34" i="25"/>
  <c r="P48" i="25"/>
  <c r="N5" i="20"/>
  <c r="Z5" i="20" s="1"/>
  <c r="H26" i="25"/>
  <c r="I26" i="25"/>
  <c r="K26" i="25"/>
  <c r="N26" i="25"/>
  <c r="H5" i="25"/>
  <c r="I5" i="25"/>
  <c r="K5" i="25"/>
  <c r="N5" i="25"/>
  <c r="L7" i="11"/>
  <c r="O7" i="11"/>
  <c r="R7" i="11"/>
  <c r="R33" i="11"/>
  <c r="R32" i="11" s="1"/>
  <c r="R69" i="11"/>
  <c r="U69" i="11"/>
  <c r="U7" i="11"/>
  <c r="K13" i="22"/>
  <c r="N13" i="22" s="1"/>
  <c r="AJ69" i="22"/>
  <c r="F42" i="6"/>
  <c r="O42" i="6" s="1"/>
  <c r="J32" i="6"/>
  <c r="J41" i="6"/>
  <c r="J39" i="6"/>
  <c r="AI13" i="22"/>
  <c r="AI7" i="22" s="1"/>
  <c r="R2" i="25"/>
  <c r="N36" i="6"/>
  <c r="N35" i="6"/>
  <c r="N45" i="6" s="1"/>
  <c r="P4" i="2" s="1"/>
  <c r="N37" i="6"/>
  <c r="N38" i="6"/>
  <c r="M41" i="6"/>
  <c r="L32" i="6"/>
  <c r="L41" i="6"/>
  <c r="K32" i="6"/>
  <c r="K41" i="6"/>
  <c r="I32" i="6"/>
  <c r="I41" i="6"/>
  <c r="I39" i="6"/>
  <c r="O39" i="6" s="1"/>
  <c r="H35" i="6"/>
  <c r="H45" i="6" s="1"/>
  <c r="J35" i="6"/>
  <c r="J45" i="6" s="1"/>
  <c r="L4" i="2" s="1"/>
  <c r="K35" i="6"/>
  <c r="E38" i="6"/>
  <c r="F35" i="6"/>
  <c r="G35" i="6"/>
  <c r="G45" i="6" s="1"/>
  <c r="I4" i="2" s="1"/>
  <c r="I35" i="6"/>
  <c r="L35" i="6"/>
  <c r="M35" i="6"/>
  <c r="O36" i="6"/>
  <c r="O37" i="6"/>
  <c r="O40" i="6"/>
  <c r="M42" i="6"/>
  <c r="O43" i="6"/>
  <c r="O44" i="6"/>
  <c r="F45" i="6"/>
  <c r="H4" i="2" s="1"/>
  <c r="C45" i="6"/>
  <c r="D45" i="6"/>
  <c r="O24" i="21"/>
  <c r="O23" i="21" s="1"/>
  <c r="O8" i="21"/>
  <c r="O68" i="21"/>
  <c r="E22" i="21"/>
  <c r="E21" i="21" s="1"/>
  <c r="E23" i="21"/>
  <c r="E8" i="21"/>
  <c r="F8" i="21" s="1"/>
  <c r="G8" i="21" s="1"/>
  <c r="E9" i="21"/>
  <c r="F9" i="21"/>
  <c r="E10" i="21"/>
  <c r="F10" i="21" s="1"/>
  <c r="G10" i="21" s="1"/>
  <c r="E16" i="21"/>
  <c r="E13" i="21" s="1"/>
  <c r="F23" i="21"/>
  <c r="F16" i="21"/>
  <c r="F13" i="21" s="1"/>
  <c r="F11" i="21" s="1"/>
  <c r="G24" i="21"/>
  <c r="G23" i="21" s="1"/>
  <c r="G12" i="21"/>
  <c r="G11" i="21" s="1"/>
  <c r="G14" i="21"/>
  <c r="G13" i="21" s="1"/>
  <c r="G16" i="21"/>
  <c r="G20" i="21"/>
  <c r="H23" i="21"/>
  <c r="H21" i="21" s="1"/>
  <c r="H6" i="21" s="1"/>
  <c r="H16" i="21"/>
  <c r="H13" i="21"/>
  <c r="H11" i="21" s="1"/>
  <c r="H7" i="21" s="1"/>
  <c r="I24" i="21"/>
  <c r="I23" i="21" s="1"/>
  <c r="I21" i="21" s="1"/>
  <c r="I9" i="21"/>
  <c r="I10" i="21"/>
  <c r="J10" i="21" s="1"/>
  <c r="I16" i="21"/>
  <c r="I13" i="21"/>
  <c r="I11" i="21" s="1"/>
  <c r="I20" i="21"/>
  <c r="J22" i="21"/>
  <c r="J8" i="21"/>
  <c r="J9" i="21"/>
  <c r="J12" i="21"/>
  <c r="J14" i="21"/>
  <c r="J15" i="21"/>
  <c r="J13" i="21" s="1"/>
  <c r="J16" i="21"/>
  <c r="K23" i="21"/>
  <c r="K21" i="21"/>
  <c r="K9" i="21"/>
  <c r="L9" i="21" s="1"/>
  <c r="K16" i="21"/>
  <c r="K13" i="21"/>
  <c r="K11" i="21"/>
  <c r="L22" i="21"/>
  <c r="L24" i="21"/>
  <c r="L23" i="21"/>
  <c r="L8" i="21"/>
  <c r="L10" i="21"/>
  <c r="L12" i="21"/>
  <c r="L16" i="21"/>
  <c r="L13" i="21" s="1"/>
  <c r="L20" i="21"/>
  <c r="M23" i="21"/>
  <c r="M21" i="21" s="1"/>
  <c r="M16" i="21"/>
  <c r="M13" i="21"/>
  <c r="M11" i="21"/>
  <c r="M7" i="21" s="1"/>
  <c r="N23" i="21"/>
  <c r="N21" i="21"/>
  <c r="N16" i="21"/>
  <c r="N13" i="21" s="1"/>
  <c r="N11" i="21" s="1"/>
  <c r="N7" i="21"/>
  <c r="N6" i="21" s="1"/>
  <c r="D23" i="21"/>
  <c r="D21" i="21" s="1"/>
  <c r="D16" i="21"/>
  <c r="D13" i="21"/>
  <c r="O9" i="21"/>
  <c r="O69" i="21" s="1"/>
  <c r="O10" i="21"/>
  <c r="AA10" i="21"/>
  <c r="O14" i="21"/>
  <c r="O13" i="21" s="1"/>
  <c r="O20" i="21"/>
  <c r="O80" i="21"/>
  <c r="O22" i="21"/>
  <c r="O82" i="21" s="1"/>
  <c r="AB379" i="48"/>
  <c r="AB295" i="48"/>
  <c r="AB292" i="48"/>
  <c r="AB291" i="48"/>
  <c r="AB286" i="48"/>
  <c r="AB289" i="48"/>
  <c r="AB288" i="48"/>
  <c r="AB287" i="48"/>
  <c r="AB284" i="48"/>
  <c r="AB283" i="48"/>
  <c r="AB282" i="48"/>
  <c r="AB281" i="48"/>
  <c r="AB277" i="48"/>
  <c r="AB361" i="48"/>
  <c r="AB276" i="48"/>
  <c r="AB294" i="48"/>
  <c r="AB94" i="48"/>
  <c r="AB6" i="48"/>
  <c r="AB5" i="48"/>
  <c r="C10" i="18"/>
  <c r="E16" i="16"/>
  <c r="G9" i="48" s="1"/>
  <c r="E18" i="16"/>
  <c r="E19" i="16"/>
  <c r="G12" i="48"/>
  <c r="E21" i="16"/>
  <c r="G16" i="49" s="1"/>
  <c r="E22" i="16"/>
  <c r="G17" i="49" s="1"/>
  <c r="E23" i="16"/>
  <c r="G18" i="48"/>
  <c r="G19" i="48"/>
  <c r="G20" i="48"/>
  <c r="G21" i="48"/>
  <c r="E31" i="16"/>
  <c r="G23" i="48" s="1"/>
  <c r="E33" i="16"/>
  <c r="G27" i="49" s="1"/>
  <c r="E34" i="16"/>
  <c r="E35" i="16"/>
  <c r="G29" i="49" s="1"/>
  <c r="G29" i="48"/>
  <c r="G30" i="48"/>
  <c r="G31" i="48"/>
  <c r="G32" i="48"/>
  <c r="G33" i="48"/>
  <c r="D10" i="18"/>
  <c r="F16" i="16"/>
  <c r="H11" i="49" s="1"/>
  <c r="D17" i="18"/>
  <c r="F18" i="16" s="1"/>
  <c r="H13" i="49" s="1"/>
  <c r="H11" i="48"/>
  <c r="F19" i="16"/>
  <c r="H14" i="49" s="1"/>
  <c r="F21" i="16"/>
  <c r="H16" i="49" s="1"/>
  <c r="H15" i="49" s="1"/>
  <c r="F22" i="16"/>
  <c r="H17" i="49" s="1"/>
  <c r="F23" i="16"/>
  <c r="H18" i="48"/>
  <c r="H19" i="48"/>
  <c r="H20" i="48"/>
  <c r="H21" i="48"/>
  <c r="F31" i="16"/>
  <c r="H25" i="49" s="1"/>
  <c r="F33" i="16"/>
  <c r="H27" i="49" s="1"/>
  <c r="F34" i="16"/>
  <c r="H28" i="49" s="1"/>
  <c r="F35" i="16"/>
  <c r="H29" i="49" s="1"/>
  <c r="H29" i="48"/>
  <c r="H30" i="48"/>
  <c r="H31" i="48"/>
  <c r="H32" i="48"/>
  <c r="H33" i="48"/>
  <c r="E10" i="18"/>
  <c r="G16" i="16" s="1"/>
  <c r="E17" i="18"/>
  <c r="I17" i="18" s="1"/>
  <c r="G18" i="16"/>
  <c r="G19" i="16"/>
  <c r="G21" i="16"/>
  <c r="I16" i="49" s="1"/>
  <c r="G22" i="16"/>
  <c r="I17" i="49" s="1"/>
  <c r="I15" i="48"/>
  <c r="G23" i="16"/>
  <c r="I18" i="49" s="1"/>
  <c r="I18" i="48"/>
  <c r="I19" i="48"/>
  <c r="I20" i="48"/>
  <c r="I21" i="48"/>
  <c r="G31" i="16"/>
  <c r="I25" i="49" s="1"/>
  <c r="G33" i="16"/>
  <c r="G34" i="16"/>
  <c r="I28" i="49" s="1"/>
  <c r="G35" i="16"/>
  <c r="I29" i="49"/>
  <c r="I29" i="48"/>
  <c r="I30" i="48"/>
  <c r="I31" i="48"/>
  <c r="I32" i="48"/>
  <c r="I33" i="48"/>
  <c r="F10" i="18"/>
  <c r="H16" i="16" s="1"/>
  <c r="J9" i="48" s="1"/>
  <c r="F17" i="18"/>
  <c r="H18" i="16" s="1"/>
  <c r="H19" i="16"/>
  <c r="H21" i="16"/>
  <c r="J16" i="49" s="1"/>
  <c r="J15" i="49" s="1"/>
  <c r="H22" i="16"/>
  <c r="J17" i="49" s="1"/>
  <c r="H23" i="16"/>
  <c r="J18" i="49" s="1"/>
  <c r="J18" i="48"/>
  <c r="J19" i="48"/>
  <c r="J20" i="48"/>
  <c r="J21" i="48"/>
  <c r="H31" i="16"/>
  <c r="J25" i="49"/>
  <c r="H33" i="16"/>
  <c r="H34" i="16"/>
  <c r="J28" i="49" s="1"/>
  <c r="H35" i="16"/>
  <c r="J29" i="49" s="1"/>
  <c r="J29" i="48"/>
  <c r="J30" i="48"/>
  <c r="J31" i="48"/>
  <c r="J32" i="48"/>
  <c r="J33" i="48"/>
  <c r="G10" i="18"/>
  <c r="I16" i="16" s="1"/>
  <c r="I9" i="39" s="1"/>
  <c r="G17" i="18"/>
  <c r="I18" i="16"/>
  <c r="I19" i="16"/>
  <c r="I21" i="16"/>
  <c r="K16" i="49" s="1"/>
  <c r="I22" i="16"/>
  <c r="K17" i="49" s="1"/>
  <c r="I23" i="16"/>
  <c r="K18" i="48"/>
  <c r="K19" i="48"/>
  <c r="K20" i="48"/>
  <c r="K21" i="48"/>
  <c r="I31" i="16"/>
  <c r="K25" i="49" s="1"/>
  <c r="I33" i="16"/>
  <c r="K27" i="49" s="1"/>
  <c r="I34" i="16"/>
  <c r="K28" i="49" s="1"/>
  <c r="I35" i="16"/>
  <c r="K29" i="48"/>
  <c r="K30" i="48"/>
  <c r="K31" i="48"/>
  <c r="K32" i="48"/>
  <c r="K33" i="48"/>
  <c r="H10" i="18"/>
  <c r="J16" i="16"/>
  <c r="H17" i="18"/>
  <c r="J18" i="16" s="1"/>
  <c r="L11" i="48" s="1"/>
  <c r="J19" i="16"/>
  <c r="J21" i="16"/>
  <c r="L16" i="49" s="1"/>
  <c r="L15" i="49" s="1"/>
  <c r="J22" i="16"/>
  <c r="L17" i="49" s="1"/>
  <c r="J23" i="16"/>
  <c r="L18" i="48"/>
  <c r="L19" i="48"/>
  <c r="L20" i="48"/>
  <c r="L21" i="48"/>
  <c r="J31" i="16"/>
  <c r="L25" i="49" s="1"/>
  <c r="J33" i="16"/>
  <c r="L27" i="49" s="1"/>
  <c r="J34" i="16"/>
  <c r="J35" i="16"/>
  <c r="L29" i="49"/>
  <c r="L29" i="48"/>
  <c r="L30" i="48"/>
  <c r="L31" i="48"/>
  <c r="L32" i="48"/>
  <c r="L33" i="48"/>
  <c r="J10" i="18"/>
  <c r="K16" i="16" s="1"/>
  <c r="K9" i="39"/>
  <c r="J17" i="18"/>
  <c r="K18" i="16" s="1"/>
  <c r="K19" i="16"/>
  <c r="M12" i="48"/>
  <c r="K21" i="16"/>
  <c r="M16" i="49" s="1"/>
  <c r="K22" i="16"/>
  <c r="K23" i="16"/>
  <c r="M18" i="49" s="1"/>
  <c r="M18" i="48"/>
  <c r="M19" i="48"/>
  <c r="M20" i="48"/>
  <c r="M21" i="48"/>
  <c r="K31" i="16"/>
  <c r="M25" i="49"/>
  <c r="K33" i="16"/>
  <c r="K34" i="16"/>
  <c r="M28" i="49" s="1"/>
  <c r="K35" i="16"/>
  <c r="M29" i="49" s="1"/>
  <c r="M29" i="48"/>
  <c r="M30" i="48"/>
  <c r="M31" i="48"/>
  <c r="M32" i="48"/>
  <c r="M33" i="48"/>
  <c r="K10" i="18"/>
  <c r="L16" i="16" s="1"/>
  <c r="N9" i="48" s="1"/>
  <c r="K17" i="18"/>
  <c r="L18" i="16"/>
  <c r="N11" i="48" s="1"/>
  <c r="L19" i="16"/>
  <c r="N12" i="48"/>
  <c r="L21" i="16"/>
  <c r="N16" i="49" s="1"/>
  <c r="L22" i="16"/>
  <c r="N17" i="49" s="1"/>
  <c r="L23" i="16"/>
  <c r="N18" i="49" s="1"/>
  <c r="N18" i="48"/>
  <c r="N19" i="48"/>
  <c r="N20" i="48"/>
  <c r="N21" i="48"/>
  <c r="L31" i="16"/>
  <c r="N25" i="49" s="1"/>
  <c r="L33" i="16"/>
  <c r="L34" i="16"/>
  <c r="N28" i="49" s="1"/>
  <c r="L35" i="16"/>
  <c r="N29" i="49"/>
  <c r="N29" i="48"/>
  <c r="N30" i="48"/>
  <c r="N31" i="48"/>
  <c r="N32" i="48"/>
  <c r="N33" i="48"/>
  <c r="L10" i="18"/>
  <c r="M16" i="16"/>
  <c r="L17" i="18"/>
  <c r="M18" i="16" s="1"/>
  <c r="M19" i="16"/>
  <c r="O12" i="48" s="1"/>
  <c r="M21" i="16"/>
  <c r="M22" i="16"/>
  <c r="O17" i="49" s="1"/>
  <c r="M23" i="16"/>
  <c r="O18" i="49" s="1"/>
  <c r="O18" i="48"/>
  <c r="O19" i="48"/>
  <c r="O20" i="48"/>
  <c r="O21" i="48"/>
  <c r="M31" i="16"/>
  <c r="O25" i="49"/>
  <c r="M33" i="16"/>
  <c r="O27" i="49" s="1"/>
  <c r="M34" i="16"/>
  <c r="M35" i="16"/>
  <c r="O29" i="49" s="1"/>
  <c r="O29" i="48"/>
  <c r="O30" i="48"/>
  <c r="O31" i="48"/>
  <c r="O32" i="48"/>
  <c r="O33" i="48"/>
  <c r="M10" i="18"/>
  <c r="N16" i="16"/>
  <c r="N9" i="39" s="1"/>
  <c r="M17" i="18"/>
  <c r="N18" i="16" s="1"/>
  <c r="P11" i="48" s="1"/>
  <c r="N19" i="16"/>
  <c r="N21" i="16"/>
  <c r="P16" i="49" s="1"/>
  <c r="P15" i="49" s="1"/>
  <c r="N22" i="16"/>
  <c r="P17" i="49" s="1"/>
  <c r="N23" i="16"/>
  <c r="P18" i="48"/>
  <c r="P19" i="48"/>
  <c r="P20" i="48"/>
  <c r="P21" i="48"/>
  <c r="N31" i="16"/>
  <c r="P25" i="49" s="1"/>
  <c r="N33" i="16"/>
  <c r="P27" i="49" s="1"/>
  <c r="N34" i="16"/>
  <c r="P28" i="49" s="1"/>
  <c r="N35" i="16"/>
  <c r="P29" i="49" s="1"/>
  <c r="P29" i="48"/>
  <c r="P30" i="48"/>
  <c r="P31" i="48"/>
  <c r="P32" i="48"/>
  <c r="P33" i="48"/>
  <c r="N10" i="18"/>
  <c r="O16" i="16" s="1"/>
  <c r="N17" i="18"/>
  <c r="O18" i="16"/>
  <c r="O19" i="16"/>
  <c r="O21" i="16"/>
  <c r="Q16" i="49" s="1"/>
  <c r="Q15" i="49" s="1"/>
  <c r="O22" i="16"/>
  <c r="Q17" i="49" s="1"/>
  <c r="O23" i="16"/>
  <c r="Q18" i="48"/>
  <c r="Q19" i="48"/>
  <c r="Q20" i="48"/>
  <c r="Q21" i="48"/>
  <c r="O31" i="16"/>
  <c r="O33" i="16"/>
  <c r="Q27" i="49" s="1"/>
  <c r="O34" i="16"/>
  <c r="Q28" i="49" s="1"/>
  <c r="O35" i="16"/>
  <c r="Q29" i="49" s="1"/>
  <c r="Q29" i="48"/>
  <c r="Q30" i="48"/>
  <c r="Q31" i="48"/>
  <c r="Q32" i="48"/>
  <c r="Q33" i="48"/>
  <c r="O10" i="18"/>
  <c r="P16" i="16" s="1"/>
  <c r="R9" i="48" s="1"/>
  <c r="O17" i="18"/>
  <c r="P18" i="16"/>
  <c r="P19" i="16"/>
  <c r="P21" i="16"/>
  <c r="R16" i="49" s="1"/>
  <c r="P22" i="16"/>
  <c r="R17" i="49" s="1"/>
  <c r="R15" i="48"/>
  <c r="P23" i="16"/>
  <c r="R18" i="49" s="1"/>
  <c r="R18" i="48"/>
  <c r="R19" i="48"/>
  <c r="R20" i="48"/>
  <c r="R21" i="48"/>
  <c r="P31" i="16"/>
  <c r="R25" i="49" s="1"/>
  <c r="P33" i="16"/>
  <c r="P34" i="16"/>
  <c r="R28" i="49" s="1"/>
  <c r="P35" i="16"/>
  <c r="R29" i="49" s="1"/>
  <c r="R29" i="48"/>
  <c r="R30" i="48"/>
  <c r="R31" i="48"/>
  <c r="R32" i="48"/>
  <c r="R33" i="48"/>
  <c r="E45" i="16"/>
  <c r="E46" i="16"/>
  <c r="E47" i="16"/>
  <c r="G39" i="48" s="1"/>
  <c r="G40" i="48"/>
  <c r="E50" i="16"/>
  <c r="G43" i="48"/>
  <c r="G44" i="48"/>
  <c r="G45" i="48"/>
  <c r="E55" i="16"/>
  <c r="G48" i="49" s="1"/>
  <c r="C22" i="23"/>
  <c r="E56" i="16" s="1"/>
  <c r="E58" i="16"/>
  <c r="G49" i="48" s="1"/>
  <c r="E59" i="16"/>
  <c r="E60" i="16"/>
  <c r="G51" i="48" s="1"/>
  <c r="E64" i="16"/>
  <c r="E65" i="16"/>
  <c r="G55" i="48"/>
  <c r="E67" i="16"/>
  <c r="G57" i="48" s="1"/>
  <c r="E68" i="16"/>
  <c r="G58" i="48"/>
  <c r="G59" i="48"/>
  <c r="E70" i="16"/>
  <c r="E71" i="16"/>
  <c r="G61" i="48"/>
  <c r="E74" i="16"/>
  <c r="E75" i="16"/>
  <c r="E76" i="16"/>
  <c r="E78" i="16"/>
  <c r="G68" i="48" s="1"/>
  <c r="C36" i="18"/>
  <c r="E89" i="16"/>
  <c r="E90" i="16"/>
  <c r="G80" i="48" s="1"/>
  <c r="E91" i="16"/>
  <c r="E92" i="16"/>
  <c r="E93" i="16"/>
  <c r="E94" i="16"/>
  <c r="E95" i="16"/>
  <c r="G85" i="48" s="1"/>
  <c r="E96" i="16"/>
  <c r="E97" i="16"/>
  <c r="G89" i="49" s="1"/>
  <c r="G88" i="48"/>
  <c r="E99" i="16"/>
  <c r="G90" i="48"/>
  <c r="G92" i="48"/>
  <c r="G93" i="48"/>
  <c r="F45" i="16"/>
  <c r="H39" i="49" s="1"/>
  <c r="F46" i="16"/>
  <c r="H40" i="49" s="1"/>
  <c r="F47" i="16"/>
  <c r="H41" i="49" s="1"/>
  <c r="H40" i="48"/>
  <c r="F50" i="16"/>
  <c r="H43" i="49" s="1"/>
  <c r="H43" i="48"/>
  <c r="H44" i="48"/>
  <c r="H45" i="48"/>
  <c r="G57" i="35"/>
  <c r="D22" i="23"/>
  <c r="F56" i="16" s="1"/>
  <c r="H49" i="49" s="1"/>
  <c r="F58" i="16"/>
  <c r="H51" i="49" s="1"/>
  <c r="F59" i="16"/>
  <c r="H52" i="49" s="1"/>
  <c r="H50" i="48"/>
  <c r="F60" i="16"/>
  <c r="H53" i="49" s="1"/>
  <c r="F64" i="16"/>
  <c r="H56" i="49" s="1"/>
  <c r="F65" i="16"/>
  <c r="H57" i="49" s="1"/>
  <c r="F67" i="16"/>
  <c r="H59" i="49" s="1"/>
  <c r="F68" i="16"/>
  <c r="H60" i="49" s="1"/>
  <c r="H59" i="48"/>
  <c r="F70" i="16"/>
  <c r="H62" i="49" s="1"/>
  <c r="F71" i="16"/>
  <c r="H63" i="49" s="1"/>
  <c r="F74" i="16"/>
  <c r="H66" i="49" s="1"/>
  <c r="F75" i="16"/>
  <c r="H67" i="49" s="1"/>
  <c r="F76" i="16"/>
  <c r="H68" i="49" s="1"/>
  <c r="D36" i="18"/>
  <c r="F89" i="16"/>
  <c r="H81" i="49" s="1"/>
  <c r="F90" i="16"/>
  <c r="H82" i="49" s="1"/>
  <c r="F91" i="16"/>
  <c r="H83" i="49" s="1"/>
  <c r="F92" i="16"/>
  <c r="H84" i="49" s="1"/>
  <c r="F93" i="16"/>
  <c r="H85" i="49" s="1"/>
  <c r="F94" i="16"/>
  <c r="H86" i="49" s="1"/>
  <c r="F95" i="16"/>
  <c r="H87" i="49" s="1"/>
  <c r="F96" i="16"/>
  <c r="H88" i="49" s="1"/>
  <c r="F97" i="16"/>
  <c r="H89" i="49" s="1"/>
  <c r="H88" i="48"/>
  <c r="F99" i="16"/>
  <c r="H91" i="49" s="1"/>
  <c r="H90" i="48"/>
  <c r="H92" i="48"/>
  <c r="H93" i="48"/>
  <c r="G45" i="16"/>
  <c r="I39" i="49" s="1"/>
  <c r="G46" i="16"/>
  <c r="I40" i="49" s="1"/>
  <c r="G47" i="16"/>
  <c r="I41" i="49" s="1"/>
  <c r="I40" i="48"/>
  <c r="G50" i="16"/>
  <c r="I43" i="49" s="1"/>
  <c r="I43" i="48"/>
  <c r="I44" i="48"/>
  <c r="I45" i="48"/>
  <c r="E22" i="23"/>
  <c r="G56" i="16"/>
  <c r="I49" i="49"/>
  <c r="G58" i="16"/>
  <c r="G59" i="16"/>
  <c r="I52" i="49" s="1"/>
  <c r="G60" i="16"/>
  <c r="I53" i="49" s="1"/>
  <c r="G64" i="16"/>
  <c r="I56" i="49" s="1"/>
  <c r="G65" i="16"/>
  <c r="G67" i="16"/>
  <c r="I59" i="49"/>
  <c r="G68" i="16"/>
  <c r="I60" i="49" s="1"/>
  <c r="I59" i="48"/>
  <c r="G70" i="16"/>
  <c r="G71" i="16"/>
  <c r="I63" i="49" s="1"/>
  <c r="G74" i="16"/>
  <c r="I66" i="49" s="1"/>
  <c r="G75" i="16"/>
  <c r="I67" i="49"/>
  <c r="G76" i="16"/>
  <c r="E36" i="18"/>
  <c r="G89" i="16"/>
  <c r="G90" i="16"/>
  <c r="I82" i="49" s="1"/>
  <c r="G91" i="16"/>
  <c r="I83" i="49"/>
  <c r="G92" i="16"/>
  <c r="I84" i="49"/>
  <c r="G93" i="16"/>
  <c r="G94" i="16"/>
  <c r="I86" i="49" s="1"/>
  <c r="G95" i="16"/>
  <c r="I87" i="49" s="1"/>
  <c r="G96" i="16"/>
  <c r="I88" i="49" s="1"/>
  <c r="G97" i="16"/>
  <c r="I89" i="49" s="1"/>
  <c r="I88" i="48"/>
  <c r="G99" i="16"/>
  <c r="I91" i="49" s="1"/>
  <c r="I90" i="48"/>
  <c r="I92" i="48"/>
  <c r="I93" i="48"/>
  <c r="H45" i="16"/>
  <c r="J39" i="49" s="1"/>
  <c r="H46" i="16"/>
  <c r="J40" i="49" s="1"/>
  <c r="H47" i="16"/>
  <c r="J41" i="49" s="1"/>
  <c r="J40" i="48"/>
  <c r="H50" i="16"/>
  <c r="J43" i="49" s="1"/>
  <c r="J43" i="48"/>
  <c r="J44" i="48"/>
  <c r="J45" i="48"/>
  <c r="F22" i="23"/>
  <c r="H56" i="16" s="1"/>
  <c r="H58" i="16"/>
  <c r="J51" i="49"/>
  <c r="H59" i="16"/>
  <c r="J52" i="49" s="1"/>
  <c r="H60" i="16"/>
  <c r="J53" i="49"/>
  <c r="H64" i="16"/>
  <c r="H65" i="16"/>
  <c r="J57" i="49" s="1"/>
  <c r="H67" i="16"/>
  <c r="J59" i="49" s="1"/>
  <c r="H68" i="16"/>
  <c r="J60" i="49" s="1"/>
  <c r="J59" i="48"/>
  <c r="H70" i="16"/>
  <c r="J62" i="49" s="1"/>
  <c r="H71" i="16"/>
  <c r="J63" i="49" s="1"/>
  <c r="H74" i="16"/>
  <c r="J66" i="49" s="1"/>
  <c r="H75" i="16"/>
  <c r="H76" i="16"/>
  <c r="J68" i="49" s="1"/>
  <c r="F36" i="18"/>
  <c r="H89" i="16"/>
  <c r="J81" i="49" s="1"/>
  <c r="H90" i="16"/>
  <c r="J82" i="49" s="1"/>
  <c r="H91" i="16"/>
  <c r="J83" i="49" s="1"/>
  <c r="H92" i="16"/>
  <c r="H93" i="16"/>
  <c r="J85" i="49"/>
  <c r="H94" i="16"/>
  <c r="J86" i="49" s="1"/>
  <c r="H95" i="16"/>
  <c r="J87" i="49"/>
  <c r="H96" i="16"/>
  <c r="H97" i="16"/>
  <c r="J89" i="49" s="1"/>
  <c r="J88" i="48"/>
  <c r="H99" i="16"/>
  <c r="J91" i="49" s="1"/>
  <c r="J90" i="48"/>
  <c r="J92" i="48"/>
  <c r="J93" i="48"/>
  <c r="I45" i="16"/>
  <c r="K39" i="49" s="1"/>
  <c r="I46" i="16"/>
  <c r="I47" i="16"/>
  <c r="K41" i="49" s="1"/>
  <c r="K40" i="48"/>
  <c r="I50" i="16"/>
  <c r="K43" i="49" s="1"/>
  <c r="K43" i="48"/>
  <c r="K44" i="48"/>
  <c r="K45" i="48"/>
  <c r="G22" i="23"/>
  <c r="I56" i="16"/>
  <c r="K49" i="49"/>
  <c r="I58" i="16"/>
  <c r="K51" i="49" s="1"/>
  <c r="I59" i="16"/>
  <c r="K52" i="49"/>
  <c r="I60" i="16"/>
  <c r="I64" i="16"/>
  <c r="K56" i="49" s="1"/>
  <c r="I65" i="16"/>
  <c r="K57" i="49" s="1"/>
  <c r="I67" i="16"/>
  <c r="K59" i="49" s="1"/>
  <c r="I68" i="16"/>
  <c r="K59" i="48"/>
  <c r="I70" i="16"/>
  <c r="K62" i="49" s="1"/>
  <c r="I71" i="16"/>
  <c r="K63" i="49" s="1"/>
  <c r="I74" i="16"/>
  <c r="I75" i="16"/>
  <c r="K67" i="49"/>
  <c r="I76" i="16"/>
  <c r="K68" i="49" s="1"/>
  <c r="G36" i="18"/>
  <c r="I89" i="16"/>
  <c r="K81" i="49"/>
  <c r="I90" i="16"/>
  <c r="K82" i="49"/>
  <c r="I91" i="16"/>
  <c r="I92" i="16"/>
  <c r="K84" i="49" s="1"/>
  <c r="I93" i="16"/>
  <c r="K85" i="49" s="1"/>
  <c r="I94" i="16"/>
  <c r="K86" i="49" s="1"/>
  <c r="I95" i="16"/>
  <c r="I96" i="16"/>
  <c r="K88" i="49" s="1"/>
  <c r="I97" i="16"/>
  <c r="K89" i="49" s="1"/>
  <c r="K88" i="48"/>
  <c r="I99" i="16"/>
  <c r="K91" i="49" s="1"/>
  <c r="K90" i="48"/>
  <c r="K92" i="48"/>
  <c r="K93" i="48"/>
  <c r="J45" i="16"/>
  <c r="L39" i="49" s="1"/>
  <c r="J46" i="16"/>
  <c r="L40" i="49" s="1"/>
  <c r="J47" i="16"/>
  <c r="L41" i="49" s="1"/>
  <c r="L40" i="48"/>
  <c r="J50" i="16"/>
  <c r="L43" i="49"/>
  <c r="L43" i="48"/>
  <c r="L44" i="48"/>
  <c r="L45" i="48"/>
  <c r="H22" i="23"/>
  <c r="J56" i="16"/>
  <c r="L49" i="49"/>
  <c r="J58" i="16"/>
  <c r="J59" i="16"/>
  <c r="L52" i="49" s="1"/>
  <c r="J60" i="16"/>
  <c r="L53" i="49" s="1"/>
  <c r="J64" i="16"/>
  <c r="L56" i="49" s="1"/>
  <c r="J65" i="16"/>
  <c r="J67" i="16"/>
  <c r="L59" i="49"/>
  <c r="J68" i="16"/>
  <c r="L60" i="49" s="1"/>
  <c r="L59" i="48"/>
  <c r="J70" i="16"/>
  <c r="J71" i="16"/>
  <c r="L63" i="49" s="1"/>
  <c r="J74" i="16"/>
  <c r="L66" i="49"/>
  <c r="J75" i="16"/>
  <c r="L67" i="49" s="1"/>
  <c r="J76" i="16"/>
  <c r="H36" i="18"/>
  <c r="J89" i="16"/>
  <c r="L81" i="49" s="1"/>
  <c r="J90" i="16"/>
  <c r="J91" i="16"/>
  <c r="L83" i="49" s="1"/>
  <c r="J92" i="16"/>
  <c r="L84" i="49" s="1"/>
  <c r="J93" i="16"/>
  <c r="L85" i="49" s="1"/>
  <c r="J94" i="16"/>
  <c r="K72" i="35" s="1"/>
  <c r="J95" i="16"/>
  <c r="L87" i="49" s="1"/>
  <c r="J96" i="16"/>
  <c r="L88" i="49" s="1"/>
  <c r="J97" i="16"/>
  <c r="L89" i="49" s="1"/>
  <c r="L88" i="48"/>
  <c r="J99" i="16"/>
  <c r="L91" i="49" s="1"/>
  <c r="L90" i="48"/>
  <c r="L92" i="48"/>
  <c r="L93" i="48"/>
  <c r="K45" i="16"/>
  <c r="M39" i="49"/>
  <c r="K46" i="16"/>
  <c r="M40" i="49"/>
  <c r="K47" i="16"/>
  <c r="M41" i="49"/>
  <c r="M40" i="48"/>
  <c r="K50" i="16"/>
  <c r="M43" i="49" s="1"/>
  <c r="M43" i="48"/>
  <c r="M44" i="48"/>
  <c r="M45" i="48"/>
  <c r="I22" i="23"/>
  <c r="K56" i="16"/>
  <c r="M49" i="49" s="1"/>
  <c r="K58" i="16"/>
  <c r="K59" i="16"/>
  <c r="M52" i="49"/>
  <c r="K60" i="16"/>
  <c r="M53" i="49"/>
  <c r="K64" i="16"/>
  <c r="M56" i="49"/>
  <c r="K65" i="16"/>
  <c r="L24" i="35"/>
  <c r="K67" i="16"/>
  <c r="M59" i="49"/>
  <c r="K68" i="16"/>
  <c r="M60" i="49"/>
  <c r="M59" i="48"/>
  <c r="K70" i="16"/>
  <c r="K71" i="16"/>
  <c r="M63" i="49"/>
  <c r="K74" i="16"/>
  <c r="M66" i="49"/>
  <c r="K75" i="16"/>
  <c r="M67" i="49"/>
  <c r="K76" i="16"/>
  <c r="K78" i="16"/>
  <c r="M68" i="48" s="1"/>
  <c r="J36" i="18"/>
  <c r="K89" i="16"/>
  <c r="K90" i="16"/>
  <c r="M82" i="49" s="1"/>
  <c r="K91" i="16"/>
  <c r="M83" i="49" s="1"/>
  <c r="K92" i="16"/>
  <c r="M84" i="49" s="1"/>
  <c r="K93" i="16"/>
  <c r="K94" i="16"/>
  <c r="M86" i="49"/>
  <c r="K95" i="16"/>
  <c r="M87" i="49"/>
  <c r="K96" i="16"/>
  <c r="M88" i="49"/>
  <c r="K97" i="16"/>
  <c r="M89" i="49" s="1"/>
  <c r="M88" i="48"/>
  <c r="K99" i="16"/>
  <c r="M91" i="49"/>
  <c r="M90" i="48"/>
  <c r="M92" i="48"/>
  <c r="M93" i="48"/>
  <c r="L45" i="16"/>
  <c r="N39" i="49" s="1"/>
  <c r="L46" i="16"/>
  <c r="N40" i="49" s="1"/>
  <c r="L47" i="16"/>
  <c r="N40" i="48"/>
  <c r="L50" i="16"/>
  <c r="N43" i="49" s="1"/>
  <c r="N43" i="48"/>
  <c r="N44" i="48"/>
  <c r="N45" i="48"/>
  <c r="N46" i="48"/>
  <c r="N47" i="48"/>
  <c r="L58" i="16"/>
  <c r="L59" i="16"/>
  <c r="N52" i="49"/>
  <c r="L60" i="16"/>
  <c r="N53" i="49"/>
  <c r="L64" i="16"/>
  <c r="N56" i="49"/>
  <c r="L65" i="16"/>
  <c r="L67" i="16"/>
  <c r="N59" i="49" s="1"/>
  <c r="L68" i="16"/>
  <c r="N60" i="49" s="1"/>
  <c r="N59" i="48"/>
  <c r="L70" i="16"/>
  <c r="N62" i="49"/>
  <c r="L71" i="16"/>
  <c r="N63" i="49"/>
  <c r="L74" i="16"/>
  <c r="N66" i="49"/>
  <c r="L75" i="16"/>
  <c r="N67" i="49"/>
  <c r="L76" i="16"/>
  <c r="N68" i="49"/>
  <c r="K36" i="18"/>
  <c r="L89" i="16"/>
  <c r="L90" i="16"/>
  <c r="N82" i="49"/>
  <c r="L91" i="16"/>
  <c r="N83" i="49"/>
  <c r="L92" i="16"/>
  <c r="N84" i="49"/>
  <c r="L93" i="16"/>
  <c r="L94" i="16"/>
  <c r="N86" i="49" s="1"/>
  <c r="L95" i="16"/>
  <c r="N87" i="49" s="1"/>
  <c r="L96" i="16"/>
  <c r="N88" i="49" s="1"/>
  <c r="L97" i="16"/>
  <c r="N89" i="49" s="1"/>
  <c r="N88" i="48"/>
  <c r="L99" i="16"/>
  <c r="N91" i="49" s="1"/>
  <c r="N90" i="48"/>
  <c r="N92" i="48"/>
  <c r="N93" i="48"/>
  <c r="M45" i="16"/>
  <c r="O39" i="49"/>
  <c r="M46" i="16"/>
  <c r="O40" i="49"/>
  <c r="M47" i="16"/>
  <c r="O40" i="48"/>
  <c r="M50" i="16"/>
  <c r="O43" i="49"/>
  <c r="O43" i="48"/>
  <c r="O44" i="48"/>
  <c r="O45" i="48"/>
  <c r="K22" i="23"/>
  <c r="M56" i="16"/>
  <c r="M58" i="16"/>
  <c r="O51" i="49" s="1"/>
  <c r="M59" i="16"/>
  <c r="O52" i="49" s="1"/>
  <c r="M60" i="16"/>
  <c r="O53" i="49" s="1"/>
  <c r="M64" i="16"/>
  <c r="M65" i="16"/>
  <c r="O57" i="49" s="1"/>
  <c r="M67" i="16"/>
  <c r="O59" i="49"/>
  <c r="M68" i="16"/>
  <c r="O60" i="49" s="1"/>
  <c r="O59" i="48"/>
  <c r="M70" i="16"/>
  <c r="O62" i="49" s="1"/>
  <c r="M71" i="16"/>
  <c r="O63" i="49" s="1"/>
  <c r="M74" i="16"/>
  <c r="O66" i="49" s="1"/>
  <c r="M75" i="16"/>
  <c r="M76" i="16"/>
  <c r="O68" i="49"/>
  <c r="O69" i="48"/>
  <c r="L36" i="18"/>
  <c r="M89" i="16"/>
  <c r="O81" i="49"/>
  <c r="M90" i="16"/>
  <c r="O82" i="49"/>
  <c r="M91" i="16"/>
  <c r="O83" i="49"/>
  <c r="M92" i="16"/>
  <c r="M93" i="16"/>
  <c r="O85" i="49" s="1"/>
  <c r="M94" i="16"/>
  <c r="O86" i="49" s="1"/>
  <c r="M95" i="16"/>
  <c r="O87" i="49" s="1"/>
  <c r="M96" i="16"/>
  <c r="O88" i="49" s="1"/>
  <c r="M97" i="16"/>
  <c r="O89" i="49" s="1"/>
  <c r="O88" i="48"/>
  <c r="M99" i="16"/>
  <c r="O91" i="49" s="1"/>
  <c r="O90" i="48"/>
  <c r="O92" i="48"/>
  <c r="O93" i="48"/>
  <c r="O91" i="48" s="1"/>
  <c r="N45" i="16"/>
  <c r="P39" i="49" s="1"/>
  <c r="N46" i="16"/>
  <c r="N47" i="16"/>
  <c r="P41" i="49"/>
  <c r="P40" i="48"/>
  <c r="N50" i="16"/>
  <c r="P43" i="49" s="1"/>
  <c r="P43" i="48"/>
  <c r="P44" i="48"/>
  <c r="P45" i="48"/>
  <c r="L22" i="23"/>
  <c r="N56" i="16"/>
  <c r="P49" i="49" s="1"/>
  <c r="N58" i="16"/>
  <c r="P51" i="49" s="1"/>
  <c r="N59" i="16"/>
  <c r="P52" i="49" s="1"/>
  <c r="N60" i="16"/>
  <c r="N64" i="16"/>
  <c r="P56" i="49"/>
  <c r="N65" i="16"/>
  <c r="P57" i="49"/>
  <c r="N67" i="16"/>
  <c r="P59" i="49"/>
  <c r="N68" i="16"/>
  <c r="P59" i="48"/>
  <c r="N70" i="16"/>
  <c r="P62" i="49"/>
  <c r="N71" i="16"/>
  <c r="P63" i="49"/>
  <c r="N74" i="16"/>
  <c r="N75" i="16"/>
  <c r="P67" i="49" s="1"/>
  <c r="N76" i="16"/>
  <c r="P68" i="49" s="1"/>
  <c r="P68" i="48"/>
  <c r="M36" i="18"/>
  <c r="N89" i="16"/>
  <c r="P81" i="49" s="1"/>
  <c r="N90" i="16"/>
  <c r="P82" i="49" s="1"/>
  <c r="N91" i="16"/>
  <c r="P83" i="49" s="1"/>
  <c r="N92" i="16"/>
  <c r="N93" i="16"/>
  <c r="P85" i="49" s="1"/>
  <c r="N94" i="16"/>
  <c r="P86" i="49"/>
  <c r="N95" i="16"/>
  <c r="P87" i="49" s="1"/>
  <c r="N96" i="16"/>
  <c r="N97" i="16"/>
  <c r="P89" i="49" s="1"/>
  <c r="P88" i="48"/>
  <c r="N99" i="16"/>
  <c r="P91" i="49" s="1"/>
  <c r="P90" i="48"/>
  <c r="P92" i="48"/>
  <c r="P91" i="48"/>
  <c r="P93" i="48"/>
  <c r="O45" i="16"/>
  <c r="Q39" i="49" s="1"/>
  <c r="O46" i="16"/>
  <c r="O47" i="16"/>
  <c r="Q41" i="49" s="1"/>
  <c r="Q40" i="48"/>
  <c r="O50" i="16"/>
  <c r="Q43" i="49" s="1"/>
  <c r="Q43" i="48"/>
  <c r="Q44" i="48"/>
  <c r="Q45" i="48"/>
  <c r="M22" i="23"/>
  <c r="O56" i="16"/>
  <c r="Q49" i="49" s="1"/>
  <c r="O58" i="16"/>
  <c r="Q51" i="49" s="1"/>
  <c r="O59" i="16"/>
  <c r="Q52" i="49" s="1"/>
  <c r="O60" i="16"/>
  <c r="O64" i="16"/>
  <c r="Q56" i="49" s="1"/>
  <c r="O65" i="16"/>
  <c r="Q57" i="49"/>
  <c r="O67" i="16"/>
  <c r="Q59" i="49" s="1"/>
  <c r="O68" i="16"/>
  <c r="Q59" i="48"/>
  <c r="O70" i="16"/>
  <c r="Q62" i="49" s="1"/>
  <c r="O71" i="16"/>
  <c r="Q63" i="49"/>
  <c r="O74" i="16"/>
  <c r="O75" i="16"/>
  <c r="Q67" i="49" s="1"/>
  <c r="O76" i="16"/>
  <c r="Q68" i="49" s="1"/>
  <c r="Q68" i="48"/>
  <c r="N36" i="18"/>
  <c r="O89" i="16"/>
  <c r="Q81" i="49" s="1"/>
  <c r="O90" i="16"/>
  <c r="Q82" i="49" s="1"/>
  <c r="O91" i="16"/>
  <c r="O92" i="16"/>
  <c r="Q84" i="49" s="1"/>
  <c r="O93" i="16"/>
  <c r="Q85" i="49"/>
  <c r="O94" i="16"/>
  <c r="Q86" i="49" s="1"/>
  <c r="O95" i="16"/>
  <c r="O96" i="16"/>
  <c r="Q88" i="49" s="1"/>
  <c r="O97" i="16"/>
  <c r="Q89" i="49" s="1"/>
  <c r="Q88" i="48"/>
  <c r="O99" i="16"/>
  <c r="Q90" i="48"/>
  <c r="Q92" i="48"/>
  <c r="Q93" i="48"/>
  <c r="P45" i="16"/>
  <c r="P46" i="16"/>
  <c r="R40" i="49"/>
  <c r="P47" i="16"/>
  <c r="R41" i="49"/>
  <c r="R40" i="48"/>
  <c r="P50" i="16"/>
  <c r="R43" i="48"/>
  <c r="R44" i="48"/>
  <c r="R45" i="48"/>
  <c r="N22" i="23"/>
  <c r="P56" i="16" s="1"/>
  <c r="R49" i="49" s="1"/>
  <c r="P58" i="16"/>
  <c r="R51" i="49"/>
  <c r="P59" i="16"/>
  <c r="R52" i="49"/>
  <c r="P60" i="16"/>
  <c r="P64" i="16"/>
  <c r="R56" i="49" s="1"/>
  <c r="P65" i="16"/>
  <c r="R57" i="49" s="1"/>
  <c r="P67" i="16"/>
  <c r="R59" i="49" s="1"/>
  <c r="P68" i="16"/>
  <c r="R59" i="48"/>
  <c r="P70" i="16"/>
  <c r="R62" i="49" s="1"/>
  <c r="P71" i="16"/>
  <c r="R63" i="49" s="1"/>
  <c r="P74" i="16"/>
  <c r="P75" i="16"/>
  <c r="R67" i="49" s="1"/>
  <c r="P76" i="16"/>
  <c r="R68" i="49"/>
  <c r="O36" i="18"/>
  <c r="P89" i="16"/>
  <c r="R81" i="49" s="1"/>
  <c r="P90" i="16"/>
  <c r="R82" i="49" s="1"/>
  <c r="P91" i="16"/>
  <c r="R83" i="49" s="1"/>
  <c r="P92" i="16"/>
  <c r="P93" i="16"/>
  <c r="R85" i="49"/>
  <c r="R83" i="48"/>
  <c r="P94" i="16"/>
  <c r="R86" i="49" s="1"/>
  <c r="P95" i="16"/>
  <c r="R87" i="49" s="1"/>
  <c r="P96" i="16"/>
  <c r="R88" i="49" s="1"/>
  <c r="P97" i="16"/>
  <c r="R89" i="49" s="1"/>
  <c r="R88" i="48"/>
  <c r="P99" i="16"/>
  <c r="R91" i="49" s="1"/>
  <c r="R90" i="48"/>
  <c r="R92" i="48"/>
  <c r="R93" i="48"/>
  <c r="E108" i="16"/>
  <c r="G100" i="49" s="1"/>
  <c r="E110" i="16"/>
  <c r="G102" i="49" s="1"/>
  <c r="E111" i="16"/>
  <c r="G103" i="49" s="1"/>
  <c r="C5" i="24"/>
  <c r="E112" i="16" s="1"/>
  <c r="G104" i="49" s="1"/>
  <c r="E114" i="16"/>
  <c r="G106" i="49" s="1"/>
  <c r="E118" i="16"/>
  <c r="G110" i="49" s="1"/>
  <c r="E119" i="16"/>
  <c r="G111" i="49" s="1"/>
  <c r="E120" i="16"/>
  <c r="G112" i="49" s="1"/>
  <c r="E121" i="16"/>
  <c r="G113" i="49" s="1"/>
  <c r="E122" i="16"/>
  <c r="G114" i="49" s="1"/>
  <c r="E128" i="16"/>
  <c r="E129" i="16"/>
  <c r="G121" i="49" s="1"/>
  <c r="E130" i="16"/>
  <c r="G122" i="49" s="1"/>
  <c r="E131" i="16"/>
  <c r="G123" i="49" s="1"/>
  <c r="E133" i="16"/>
  <c r="G125" i="49" s="1"/>
  <c r="E134" i="16"/>
  <c r="G126" i="49" s="1"/>
  <c r="E135" i="16"/>
  <c r="G127" i="49" s="1"/>
  <c r="E136" i="16"/>
  <c r="G128" i="49" s="1"/>
  <c r="E139" i="16"/>
  <c r="G131" i="49" s="1"/>
  <c r="E140" i="16"/>
  <c r="G132" i="49" s="1"/>
  <c r="E141" i="16"/>
  <c r="G133" i="49" s="1"/>
  <c r="E153" i="16"/>
  <c r="G145" i="49" s="1"/>
  <c r="E123" i="16"/>
  <c r="E156" i="16"/>
  <c r="E157" i="16"/>
  <c r="E159" i="16"/>
  <c r="E160" i="16"/>
  <c r="E161" i="16"/>
  <c r="E162" i="16"/>
  <c r="E207" i="16"/>
  <c r="E208" i="16"/>
  <c r="E209" i="16"/>
  <c r="E210" i="16"/>
  <c r="E213" i="16"/>
  <c r="E218" i="16"/>
  <c r="E237" i="16"/>
  <c r="E238" i="16"/>
  <c r="E202" i="16"/>
  <c r="E220" i="16"/>
  <c r="E223" i="16"/>
  <c r="G170" i="48" s="1"/>
  <c r="E230" i="16"/>
  <c r="G174" i="49"/>
  <c r="E252" i="16"/>
  <c r="E258" i="16"/>
  <c r="G197" i="49" s="1"/>
  <c r="E266" i="16"/>
  <c r="E268" i="16"/>
  <c r="G206" i="49" s="1"/>
  <c r="E269" i="16"/>
  <c r="E270" i="16"/>
  <c r="E293" i="16"/>
  <c r="E292" i="16"/>
  <c r="E243" i="16"/>
  <c r="E327" i="16"/>
  <c r="G272" i="49" s="1"/>
  <c r="E305" i="16"/>
  <c r="E298" i="16"/>
  <c r="Q298" i="16" s="1"/>
  <c r="U298" i="16" s="1"/>
  <c r="E168" i="16"/>
  <c r="E167" i="16"/>
  <c r="E166" i="16" s="1"/>
  <c r="E170" i="16"/>
  <c r="C5" i="29"/>
  <c r="E198" i="16"/>
  <c r="E196" i="16" s="1"/>
  <c r="E173" i="16"/>
  <c r="F108" i="16"/>
  <c r="H100" i="49" s="1"/>
  <c r="F110" i="16"/>
  <c r="H102" i="49" s="1"/>
  <c r="F111" i="16"/>
  <c r="H103" i="49" s="1"/>
  <c r="D5" i="24"/>
  <c r="F112" i="16" s="1"/>
  <c r="H104" i="49" s="1"/>
  <c r="F114" i="16"/>
  <c r="H106" i="49" s="1"/>
  <c r="F118" i="16"/>
  <c r="H110" i="49" s="1"/>
  <c r="F119" i="16"/>
  <c r="H111" i="49" s="1"/>
  <c r="F120" i="16"/>
  <c r="H112" i="49" s="1"/>
  <c r="F121" i="16"/>
  <c r="H113" i="49" s="1"/>
  <c r="F122" i="16"/>
  <c r="H114" i="49" s="1"/>
  <c r="F128" i="16"/>
  <c r="F129" i="16"/>
  <c r="H121" i="49" s="1"/>
  <c r="F130" i="16"/>
  <c r="H122" i="49" s="1"/>
  <c r="F131" i="16"/>
  <c r="H123" i="49" s="1"/>
  <c r="F133" i="16"/>
  <c r="H125" i="49" s="1"/>
  <c r="F134" i="16"/>
  <c r="H126" i="49" s="1"/>
  <c r="F135" i="16"/>
  <c r="H127" i="49" s="1"/>
  <c r="F136" i="16"/>
  <c r="H128" i="49" s="1"/>
  <c r="F139" i="16"/>
  <c r="H131" i="49" s="1"/>
  <c r="F140" i="16"/>
  <c r="H132" i="49" s="1"/>
  <c r="F141" i="16"/>
  <c r="H133" i="49" s="1"/>
  <c r="F153" i="16"/>
  <c r="H145" i="49" s="1"/>
  <c r="F123" i="16"/>
  <c r="F156" i="16"/>
  <c r="H147" i="49" s="1"/>
  <c r="F157" i="16"/>
  <c r="H148" i="49" s="1"/>
  <c r="F159" i="16"/>
  <c r="H150" i="49" s="1"/>
  <c r="F160" i="16"/>
  <c r="H151" i="49" s="1"/>
  <c r="F161" i="16"/>
  <c r="H152" i="49" s="1"/>
  <c r="F162" i="16"/>
  <c r="H153" i="49" s="1"/>
  <c r="F207" i="16"/>
  <c r="H159" i="49" s="1"/>
  <c r="F208" i="16"/>
  <c r="H160" i="49" s="1"/>
  <c r="F209" i="16"/>
  <c r="H161" i="49" s="1"/>
  <c r="F210" i="16"/>
  <c r="H162" i="49" s="1"/>
  <c r="F213" i="16"/>
  <c r="H165" i="49" s="1"/>
  <c r="F218" i="16"/>
  <c r="H170" i="49" s="1"/>
  <c r="F221" i="16"/>
  <c r="F220" i="16"/>
  <c r="H171" i="49" s="1"/>
  <c r="F237" i="16"/>
  <c r="H179" i="49" s="1"/>
  <c r="F238" i="16"/>
  <c r="H180" i="49" s="1"/>
  <c r="F202" i="16"/>
  <c r="F223" i="16"/>
  <c r="H172" i="49" s="1"/>
  <c r="F230" i="16"/>
  <c r="H174" i="49" s="1"/>
  <c r="F252" i="16"/>
  <c r="F258" i="16"/>
  <c r="H197" i="49" s="1"/>
  <c r="F266" i="16"/>
  <c r="H204" i="49" s="1"/>
  <c r="F268" i="16"/>
  <c r="H206" i="49" s="1"/>
  <c r="F269" i="16"/>
  <c r="H207" i="49" s="1"/>
  <c r="F270" i="16"/>
  <c r="F293" i="16"/>
  <c r="H230" i="49" s="1"/>
  <c r="H229" i="49" s="1"/>
  <c r="F243" i="16"/>
  <c r="Q243" i="16" s="1"/>
  <c r="F327" i="16"/>
  <c r="H272" i="49" s="1"/>
  <c r="H269" i="49" s="1"/>
  <c r="F324" i="16"/>
  <c r="F305" i="16"/>
  <c r="H239" i="49" s="1"/>
  <c r="H233" i="49" s="1"/>
  <c r="F298" i="16"/>
  <c r="F170" i="16"/>
  <c r="H245" i="49" s="1"/>
  <c r="F171" i="16"/>
  <c r="H246" i="49" s="1"/>
  <c r="D5" i="29"/>
  <c r="F177" i="16"/>
  <c r="H250" i="49" s="1"/>
  <c r="H249" i="49" s="1"/>
  <c r="F198" i="16"/>
  <c r="H268" i="49" s="1"/>
  <c r="H266" i="49" s="1"/>
  <c r="F167" i="16"/>
  <c r="F166" i="16" s="1"/>
  <c r="G108" i="16"/>
  <c r="I100" i="49" s="1"/>
  <c r="I99" i="49" s="1"/>
  <c r="G110" i="16"/>
  <c r="I102" i="49" s="1"/>
  <c r="G111" i="16"/>
  <c r="I103" i="49" s="1"/>
  <c r="E5" i="24"/>
  <c r="G112" i="16"/>
  <c r="I104" i="49" s="1"/>
  <c r="G114" i="16"/>
  <c r="I106" i="49" s="1"/>
  <c r="G118" i="16"/>
  <c r="I110" i="49" s="1"/>
  <c r="G119" i="16"/>
  <c r="I111" i="49" s="1"/>
  <c r="G120" i="16"/>
  <c r="I112" i="49" s="1"/>
  <c r="G121" i="16"/>
  <c r="I113" i="49" s="1"/>
  <c r="G122" i="16"/>
  <c r="I114" i="49" s="1"/>
  <c r="G128" i="16"/>
  <c r="G129" i="16"/>
  <c r="I121" i="49" s="1"/>
  <c r="G130" i="16"/>
  <c r="I122" i="49" s="1"/>
  <c r="G131" i="16"/>
  <c r="I123" i="49" s="1"/>
  <c r="G133" i="16"/>
  <c r="I125" i="49" s="1"/>
  <c r="G134" i="16"/>
  <c r="I126" i="49" s="1"/>
  <c r="G135" i="16"/>
  <c r="I127" i="49" s="1"/>
  <c r="G136" i="16"/>
  <c r="I128" i="49" s="1"/>
  <c r="G139" i="16"/>
  <c r="I131" i="49" s="1"/>
  <c r="G140" i="16"/>
  <c r="I132" i="49" s="1"/>
  <c r="G141" i="16"/>
  <c r="I133" i="49" s="1"/>
  <c r="G153" i="16"/>
  <c r="I145" i="49" s="1"/>
  <c r="G123" i="16"/>
  <c r="G156" i="16"/>
  <c r="G157" i="16"/>
  <c r="G159" i="16"/>
  <c r="G160" i="16"/>
  <c r="G161" i="16"/>
  <c r="G162" i="16"/>
  <c r="G207" i="16"/>
  <c r="G208" i="16"/>
  <c r="G209" i="16"/>
  <c r="G210" i="16"/>
  <c r="G213" i="16"/>
  <c r="G218" i="16"/>
  <c r="G221" i="16"/>
  <c r="G237" i="16"/>
  <c r="G238" i="16"/>
  <c r="G388" i="16" s="1"/>
  <c r="G202" i="16"/>
  <c r="G223" i="16"/>
  <c r="G230" i="16"/>
  <c r="G252" i="16"/>
  <c r="G258" i="16"/>
  <c r="I197" i="49" s="1"/>
  <c r="G266" i="16"/>
  <c r="G268" i="16"/>
  <c r="I206" i="49" s="1"/>
  <c r="G269" i="16"/>
  <c r="G270" i="16"/>
  <c r="G293" i="16"/>
  <c r="G292" i="16" s="1"/>
  <c r="H104" i="35" s="1"/>
  <c r="G243" i="16"/>
  <c r="G327" i="16"/>
  <c r="I272" i="49" s="1"/>
  <c r="G305" i="16"/>
  <c r="G21" i="41" s="1"/>
  <c r="G298" i="16"/>
  <c r="G170" i="16"/>
  <c r="G171" i="16"/>
  <c r="E5" i="29"/>
  <c r="G177" i="16" s="1"/>
  <c r="I250" i="49" s="1"/>
  <c r="I249" i="49" s="1"/>
  <c r="G167" i="16"/>
  <c r="G166" i="16" s="1"/>
  <c r="G196" i="16"/>
  <c r="G193" i="16" s="1"/>
  <c r="H108" i="16"/>
  <c r="J100" i="49" s="1"/>
  <c r="H110" i="16"/>
  <c r="J102" i="49" s="1"/>
  <c r="H111" i="16"/>
  <c r="J103" i="49" s="1"/>
  <c r="F5" i="24"/>
  <c r="H114" i="16"/>
  <c r="J106" i="49" s="1"/>
  <c r="H118" i="16"/>
  <c r="J110" i="49" s="1"/>
  <c r="H119" i="16"/>
  <c r="J111" i="49" s="1"/>
  <c r="H120" i="16"/>
  <c r="J112" i="49" s="1"/>
  <c r="H121" i="16"/>
  <c r="J113" i="49" s="1"/>
  <c r="H122" i="16"/>
  <c r="J114" i="49" s="1"/>
  <c r="H128" i="16"/>
  <c r="H129" i="16"/>
  <c r="J121" i="49" s="1"/>
  <c r="H130" i="16"/>
  <c r="J122" i="49" s="1"/>
  <c r="H131" i="16"/>
  <c r="J123" i="49" s="1"/>
  <c r="H133" i="16"/>
  <c r="J125" i="49" s="1"/>
  <c r="H134" i="16"/>
  <c r="J126" i="49" s="1"/>
  <c r="H135" i="16"/>
  <c r="J127" i="49" s="1"/>
  <c r="H136" i="16"/>
  <c r="J128" i="49" s="1"/>
  <c r="H139" i="16"/>
  <c r="J131" i="49" s="1"/>
  <c r="H140" i="16"/>
  <c r="J132" i="49" s="1"/>
  <c r="H141" i="16"/>
  <c r="J133" i="49" s="1"/>
  <c r="H153" i="16"/>
  <c r="J145" i="49" s="1"/>
  <c r="H123" i="16"/>
  <c r="H156" i="16"/>
  <c r="H157" i="16"/>
  <c r="H159" i="16"/>
  <c r="H160" i="16"/>
  <c r="H161" i="16"/>
  <c r="H162" i="16"/>
  <c r="H207" i="16"/>
  <c r="H208" i="16"/>
  <c r="H209" i="16"/>
  <c r="H210" i="16"/>
  <c r="H213" i="16"/>
  <c r="H218" i="16"/>
  <c r="H221" i="16"/>
  <c r="H220" i="16" s="1"/>
  <c r="H237" i="16"/>
  <c r="H238" i="16"/>
  <c r="H202" i="16"/>
  <c r="H223" i="16"/>
  <c r="H230" i="16"/>
  <c r="H252" i="16"/>
  <c r="H258" i="16"/>
  <c r="J197" i="49" s="1"/>
  <c r="H266" i="16"/>
  <c r="H268" i="16"/>
  <c r="J206" i="49" s="1"/>
  <c r="H269" i="16"/>
  <c r="H270" i="16"/>
  <c r="H293" i="16"/>
  <c r="H292" i="16" s="1"/>
  <c r="I104" i="35" s="1"/>
  <c r="H243" i="16"/>
  <c r="H327" i="16"/>
  <c r="J272" i="49" s="1"/>
  <c r="J269" i="49" s="1"/>
  <c r="H305" i="16"/>
  <c r="H298" i="16"/>
  <c r="H170" i="16"/>
  <c r="H171" i="16"/>
  <c r="F5" i="29"/>
  <c r="H177" i="16" s="1"/>
  <c r="J250" i="49" s="1"/>
  <c r="J249" i="49" s="1"/>
  <c r="H167" i="16"/>
  <c r="H166" i="16" s="1"/>
  <c r="H196" i="16"/>
  <c r="I108" i="16"/>
  <c r="K100" i="49" s="1"/>
  <c r="I110" i="16"/>
  <c r="K102" i="49" s="1"/>
  <c r="I111" i="16"/>
  <c r="K103" i="49" s="1"/>
  <c r="G5" i="24"/>
  <c r="I112" i="16" s="1"/>
  <c r="K104" i="49" s="1"/>
  <c r="I114" i="16"/>
  <c r="K106" i="49" s="1"/>
  <c r="I118" i="16"/>
  <c r="K110" i="49" s="1"/>
  <c r="I119" i="16"/>
  <c r="K111" i="49" s="1"/>
  <c r="I120" i="16"/>
  <c r="K112" i="49" s="1"/>
  <c r="I121" i="16"/>
  <c r="K113" i="49" s="1"/>
  <c r="I122" i="16"/>
  <c r="K114" i="49" s="1"/>
  <c r="I128" i="16"/>
  <c r="I129" i="16"/>
  <c r="K121" i="49" s="1"/>
  <c r="I130" i="16"/>
  <c r="K122" i="49" s="1"/>
  <c r="I131" i="16"/>
  <c r="K123" i="49" s="1"/>
  <c r="I133" i="16"/>
  <c r="K125" i="49" s="1"/>
  <c r="I134" i="16"/>
  <c r="K126" i="49" s="1"/>
  <c r="I135" i="16"/>
  <c r="K127" i="49" s="1"/>
  <c r="I136" i="16"/>
  <c r="K128" i="49" s="1"/>
  <c r="I139" i="16"/>
  <c r="K131" i="49" s="1"/>
  <c r="I140" i="16"/>
  <c r="K132" i="49" s="1"/>
  <c r="I141" i="16"/>
  <c r="K133" i="49" s="1"/>
  <c r="I153" i="16"/>
  <c r="K145" i="49" s="1"/>
  <c r="I123" i="16"/>
  <c r="I156" i="16"/>
  <c r="I157" i="16"/>
  <c r="I159" i="16"/>
  <c r="I160" i="16"/>
  <c r="I161" i="16"/>
  <c r="I162" i="16"/>
  <c r="I207" i="16"/>
  <c r="I208" i="16"/>
  <c r="I209" i="16"/>
  <c r="I210" i="16"/>
  <c r="I213" i="16"/>
  <c r="I218" i="16"/>
  <c r="I221" i="16"/>
  <c r="I220" i="16" s="1"/>
  <c r="I237" i="16"/>
  <c r="I387" i="16" s="1"/>
  <c r="I238" i="16"/>
  <c r="I388" i="16" s="1"/>
  <c r="I202" i="16"/>
  <c r="I223" i="16"/>
  <c r="I230" i="16"/>
  <c r="I252" i="16"/>
  <c r="I258" i="16"/>
  <c r="K197" i="49" s="1"/>
  <c r="I266" i="16"/>
  <c r="I268" i="16"/>
  <c r="K206" i="49" s="1"/>
  <c r="I269" i="16"/>
  <c r="I270" i="16"/>
  <c r="I293" i="16"/>
  <c r="I292" i="16"/>
  <c r="I243" i="16"/>
  <c r="I327" i="16"/>
  <c r="K272" i="49" s="1"/>
  <c r="I305" i="16"/>
  <c r="I298" i="16"/>
  <c r="I170" i="16"/>
  <c r="I171" i="16"/>
  <c r="Q171" i="16" s="1"/>
  <c r="G5" i="29"/>
  <c r="I177" i="16"/>
  <c r="K250" i="49" s="1"/>
  <c r="K249" i="49" s="1"/>
  <c r="I167" i="16"/>
  <c r="I166" i="16"/>
  <c r="I196" i="16"/>
  <c r="J108" i="16"/>
  <c r="L100" i="49" s="1"/>
  <c r="L99" i="49" s="1"/>
  <c r="J110" i="16"/>
  <c r="L102" i="49" s="1"/>
  <c r="J111" i="16"/>
  <c r="L103" i="49" s="1"/>
  <c r="H5" i="24"/>
  <c r="J112" i="16"/>
  <c r="L104" i="49" s="1"/>
  <c r="J114" i="16"/>
  <c r="L106" i="49" s="1"/>
  <c r="J118" i="16"/>
  <c r="L110" i="49" s="1"/>
  <c r="J119" i="16"/>
  <c r="L111" i="49" s="1"/>
  <c r="J120" i="16"/>
  <c r="L112" i="49" s="1"/>
  <c r="J121" i="16"/>
  <c r="L113" i="49" s="1"/>
  <c r="J122" i="16"/>
  <c r="L114" i="49" s="1"/>
  <c r="J128" i="16"/>
  <c r="J129" i="16"/>
  <c r="L121" i="49" s="1"/>
  <c r="J130" i="16"/>
  <c r="L122" i="49" s="1"/>
  <c r="J131" i="16"/>
  <c r="L123" i="49" s="1"/>
  <c r="J133" i="16"/>
  <c r="L125" i="49" s="1"/>
  <c r="J134" i="16"/>
  <c r="L126" i="49" s="1"/>
  <c r="J135" i="16"/>
  <c r="L127" i="49" s="1"/>
  <c r="J136" i="16"/>
  <c r="L128" i="49" s="1"/>
  <c r="J139" i="16"/>
  <c r="L131" i="49" s="1"/>
  <c r="J140" i="16"/>
  <c r="L132" i="49" s="1"/>
  <c r="J141" i="16"/>
  <c r="L133" i="49" s="1"/>
  <c r="J153" i="16"/>
  <c r="L145" i="49" s="1"/>
  <c r="J123" i="16"/>
  <c r="J156" i="16"/>
  <c r="J390" i="16" s="1"/>
  <c r="J157" i="16"/>
  <c r="J159" i="16"/>
  <c r="J160" i="16"/>
  <c r="J161" i="16"/>
  <c r="J162" i="16"/>
  <c r="J207" i="16"/>
  <c r="J208" i="16"/>
  <c r="J209" i="16"/>
  <c r="J210" i="16"/>
  <c r="J213" i="16"/>
  <c r="J218" i="16"/>
  <c r="J221" i="16"/>
  <c r="J220" i="16" s="1"/>
  <c r="J237" i="16"/>
  <c r="J238" i="16"/>
  <c r="J388" i="16" s="1"/>
  <c r="J202" i="16"/>
  <c r="J223" i="16"/>
  <c r="J230" i="16"/>
  <c r="J258" i="16"/>
  <c r="L197" i="49" s="1"/>
  <c r="J248" i="16"/>
  <c r="J247" i="16" s="1"/>
  <c r="K102" i="35" s="1"/>
  <c r="J266" i="16"/>
  <c r="J268" i="16"/>
  <c r="L206" i="49" s="1"/>
  <c r="J269" i="16"/>
  <c r="J270" i="16"/>
  <c r="J293" i="16"/>
  <c r="J243" i="16"/>
  <c r="J327" i="16"/>
  <c r="L272" i="49" s="1"/>
  <c r="L269" i="49" s="1"/>
  <c r="J305" i="16"/>
  <c r="J298" i="16"/>
  <c r="J296" i="16" s="1"/>
  <c r="J170" i="16"/>
  <c r="J171" i="16"/>
  <c r="H5" i="29"/>
  <c r="J177" i="16"/>
  <c r="J167" i="16"/>
  <c r="J166" i="16" s="1"/>
  <c r="J196" i="16"/>
  <c r="J193" i="16" s="1"/>
  <c r="J190" i="16" s="1"/>
  <c r="K108" i="16"/>
  <c r="M100" i="49" s="1"/>
  <c r="K110" i="16"/>
  <c r="M102" i="49" s="1"/>
  <c r="K111" i="16"/>
  <c r="M103" i="49" s="1"/>
  <c r="I5" i="24"/>
  <c r="K114" i="16"/>
  <c r="M106" i="49" s="1"/>
  <c r="K118" i="16"/>
  <c r="M110" i="49" s="1"/>
  <c r="K119" i="16"/>
  <c r="M111" i="49" s="1"/>
  <c r="K120" i="16"/>
  <c r="M112" i="49" s="1"/>
  <c r="K121" i="16"/>
  <c r="M113" i="49" s="1"/>
  <c r="K122" i="16"/>
  <c r="M114" i="49" s="1"/>
  <c r="K128" i="16"/>
  <c r="K129" i="16"/>
  <c r="M121" i="49" s="1"/>
  <c r="K130" i="16"/>
  <c r="M122" i="49" s="1"/>
  <c r="K131" i="16"/>
  <c r="M123" i="49" s="1"/>
  <c r="K133" i="16"/>
  <c r="M125" i="49" s="1"/>
  <c r="K134" i="16"/>
  <c r="M126" i="49" s="1"/>
  <c r="K135" i="16"/>
  <c r="M127" i="49" s="1"/>
  <c r="K136" i="16"/>
  <c r="M128" i="49" s="1"/>
  <c r="K139" i="16"/>
  <c r="M131" i="49" s="1"/>
  <c r="K140" i="16"/>
  <c r="M132" i="49" s="1"/>
  <c r="K141" i="16"/>
  <c r="M133" i="49" s="1"/>
  <c r="K153" i="16"/>
  <c r="M145" i="49" s="1"/>
  <c r="K123" i="16"/>
  <c r="K156" i="16"/>
  <c r="K157" i="16"/>
  <c r="K159" i="16"/>
  <c r="K160" i="16"/>
  <c r="K161" i="16"/>
  <c r="K162" i="16"/>
  <c r="K207" i="16"/>
  <c r="K208" i="16"/>
  <c r="K209" i="16"/>
  <c r="K210" i="16"/>
  <c r="K213" i="16"/>
  <c r="K218" i="16"/>
  <c r="K221" i="16"/>
  <c r="K220" i="16"/>
  <c r="K237" i="16"/>
  <c r="L97" i="35"/>
  <c r="K238" i="16"/>
  <c r="K202" i="16"/>
  <c r="K223" i="16"/>
  <c r="M172" i="49"/>
  <c r="K230" i="16"/>
  <c r="K252" i="16"/>
  <c r="K258" i="16"/>
  <c r="M197" i="49" s="1"/>
  <c r="K266" i="16"/>
  <c r="K268" i="16"/>
  <c r="M206" i="49" s="1"/>
  <c r="K269" i="16"/>
  <c r="K270" i="16"/>
  <c r="K293" i="16"/>
  <c r="K243" i="16"/>
  <c r="K327" i="16"/>
  <c r="M272" i="49" s="1"/>
  <c r="K305" i="16"/>
  <c r="K298" i="16"/>
  <c r="K170" i="16"/>
  <c r="K171" i="16"/>
  <c r="I5" i="29"/>
  <c r="K177" i="16"/>
  <c r="M250" i="49" s="1"/>
  <c r="M249" i="49" s="1"/>
  <c r="K167" i="16"/>
  <c r="K166" i="16"/>
  <c r="K196" i="16"/>
  <c r="L108" i="16"/>
  <c r="N100" i="49" s="1"/>
  <c r="N99" i="49" s="1"/>
  <c r="L110" i="16"/>
  <c r="N102" i="49" s="1"/>
  <c r="L111" i="16"/>
  <c r="N103" i="49" s="1"/>
  <c r="J5" i="24"/>
  <c r="L112" i="16"/>
  <c r="N104" i="49" s="1"/>
  <c r="L114" i="16"/>
  <c r="N106" i="49" s="1"/>
  <c r="L118" i="16"/>
  <c r="N110" i="49" s="1"/>
  <c r="L119" i="16"/>
  <c r="N111" i="49" s="1"/>
  <c r="L120" i="16"/>
  <c r="N112" i="49" s="1"/>
  <c r="L121" i="16"/>
  <c r="N113" i="49" s="1"/>
  <c r="L122" i="16"/>
  <c r="N114" i="49" s="1"/>
  <c r="L128" i="16"/>
  <c r="L129" i="16"/>
  <c r="N121" i="49" s="1"/>
  <c r="L130" i="16"/>
  <c r="N122" i="49" s="1"/>
  <c r="L131" i="16"/>
  <c r="N123" i="49" s="1"/>
  <c r="L133" i="16"/>
  <c r="N125" i="49" s="1"/>
  <c r="L134" i="16"/>
  <c r="N126" i="49" s="1"/>
  <c r="L135" i="16"/>
  <c r="N127" i="49" s="1"/>
  <c r="L136" i="16"/>
  <c r="N128" i="49" s="1"/>
  <c r="L139" i="16"/>
  <c r="N131" i="49" s="1"/>
  <c r="L140" i="16"/>
  <c r="N132" i="49" s="1"/>
  <c r="L141" i="16"/>
  <c r="N133" i="49" s="1"/>
  <c r="L153" i="16"/>
  <c r="N145" i="49" s="1"/>
  <c r="L123" i="16"/>
  <c r="L156" i="16"/>
  <c r="L390" i="16" s="1"/>
  <c r="L157" i="16"/>
  <c r="L159" i="16"/>
  <c r="L160" i="16"/>
  <c r="L161" i="16"/>
  <c r="L162" i="16"/>
  <c r="L207" i="16"/>
  <c r="L208" i="16"/>
  <c r="L209" i="16"/>
  <c r="L210" i="16"/>
  <c r="L213" i="16"/>
  <c r="L218" i="16"/>
  <c r="L221" i="16"/>
  <c r="L220" i="16" s="1"/>
  <c r="N169" i="48" s="1"/>
  <c r="L237" i="16"/>
  <c r="M97" i="35" s="1"/>
  <c r="L238" i="16"/>
  <c r="L202" i="16"/>
  <c r="L223" i="16"/>
  <c r="L230" i="16"/>
  <c r="N172" i="48"/>
  <c r="L252" i="16"/>
  <c r="L258" i="16"/>
  <c r="N197" i="49" s="1"/>
  <c r="L266" i="16"/>
  <c r="L268" i="16"/>
  <c r="N206" i="49" s="1"/>
  <c r="L269" i="16"/>
  <c r="L270" i="16"/>
  <c r="L293" i="16"/>
  <c r="L292" i="16"/>
  <c r="M104" i="35" s="1"/>
  <c r="L243" i="16"/>
  <c r="L327" i="16"/>
  <c r="L305" i="16"/>
  <c r="M109" i="35" s="1"/>
  <c r="L298" i="16"/>
  <c r="L170" i="16"/>
  <c r="L171" i="16"/>
  <c r="J5" i="29"/>
  <c r="L177" i="16"/>
  <c r="N250" i="49" s="1"/>
  <c r="N249" i="49" s="1"/>
  <c r="L198" i="16"/>
  <c r="L196" i="16" s="1"/>
  <c r="L167" i="16"/>
  <c r="L166" i="16" s="1"/>
  <c r="M108" i="16"/>
  <c r="O100" i="49" s="1"/>
  <c r="O99" i="49" s="1"/>
  <c r="M110" i="16"/>
  <c r="O102" i="49" s="1"/>
  <c r="M111" i="16"/>
  <c r="O103" i="49" s="1"/>
  <c r="K5" i="24"/>
  <c r="M112" i="16"/>
  <c r="O104" i="49" s="1"/>
  <c r="M114" i="16"/>
  <c r="O106" i="49" s="1"/>
  <c r="M118" i="16"/>
  <c r="O110" i="49" s="1"/>
  <c r="M119" i="16"/>
  <c r="O111" i="49" s="1"/>
  <c r="M120" i="16"/>
  <c r="O112" i="49" s="1"/>
  <c r="M121" i="16"/>
  <c r="O113" i="49" s="1"/>
  <c r="M122" i="16"/>
  <c r="O114" i="49" s="1"/>
  <c r="M128" i="16"/>
  <c r="M129" i="16"/>
  <c r="O121" i="49" s="1"/>
  <c r="M130" i="16"/>
  <c r="O122" i="49" s="1"/>
  <c r="M131" i="16"/>
  <c r="O123" i="49" s="1"/>
  <c r="M133" i="16"/>
  <c r="O125" i="49" s="1"/>
  <c r="M134" i="16"/>
  <c r="O126" i="49" s="1"/>
  <c r="M135" i="16"/>
  <c r="O127" i="49" s="1"/>
  <c r="M136" i="16"/>
  <c r="O128" i="49" s="1"/>
  <c r="M139" i="16"/>
  <c r="O131" i="49" s="1"/>
  <c r="M140" i="16"/>
  <c r="O132" i="49" s="1"/>
  <c r="M141" i="16"/>
  <c r="O133" i="49" s="1"/>
  <c r="M153" i="16"/>
  <c r="O145" i="49" s="1"/>
  <c r="M123" i="16"/>
  <c r="M156" i="16"/>
  <c r="M390" i="16" s="1"/>
  <c r="M157" i="16"/>
  <c r="M159" i="16"/>
  <c r="M160" i="16"/>
  <c r="M161" i="16"/>
  <c r="M162" i="16"/>
  <c r="M207" i="16"/>
  <c r="M208" i="16"/>
  <c r="M209" i="16"/>
  <c r="M210" i="16"/>
  <c r="M213" i="16"/>
  <c r="M218" i="16"/>
  <c r="M221" i="16"/>
  <c r="M220" i="16" s="1"/>
  <c r="M237" i="16"/>
  <c r="M238" i="16"/>
  <c r="M202" i="16"/>
  <c r="M223" i="16"/>
  <c r="M230" i="16"/>
  <c r="O174" i="49" s="1"/>
  <c r="M252" i="16"/>
  <c r="M258" i="16"/>
  <c r="O197" i="49" s="1"/>
  <c r="M266" i="16"/>
  <c r="M268" i="16"/>
  <c r="O206" i="49" s="1"/>
  <c r="M269" i="16"/>
  <c r="M270" i="16"/>
  <c r="M293" i="16"/>
  <c r="M292" i="16" s="1"/>
  <c r="N104" i="35" s="1"/>
  <c r="M243" i="16"/>
  <c r="M327" i="16"/>
  <c r="O272" i="49" s="1"/>
  <c r="M305" i="16"/>
  <c r="M298" i="16"/>
  <c r="M170" i="16"/>
  <c r="M171" i="16"/>
  <c r="K5" i="29"/>
  <c r="M177" i="16" s="1"/>
  <c r="O250" i="49" s="1"/>
  <c r="O249" i="49" s="1"/>
  <c r="M198" i="16"/>
  <c r="M196" i="16" s="1"/>
  <c r="M167" i="16"/>
  <c r="M166" i="16"/>
  <c r="N108" i="16"/>
  <c r="P100" i="49" s="1"/>
  <c r="N110" i="16"/>
  <c r="P102" i="49" s="1"/>
  <c r="N111" i="16"/>
  <c r="P103" i="49" s="1"/>
  <c r="L5" i="24"/>
  <c r="N112" i="16"/>
  <c r="P104" i="49" s="1"/>
  <c r="N114" i="16"/>
  <c r="P106" i="49" s="1"/>
  <c r="N118" i="16"/>
  <c r="P110" i="49" s="1"/>
  <c r="N119" i="16"/>
  <c r="P111" i="49" s="1"/>
  <c r="N120" i="16"/>
  <c r="P112" i="49" s="1"/>
  <c r="N121" i="16"/>
  <c r="P113" i="49" s="1"/>
  <c r="N122" i="16"/>
  <c r="P114" i="49" s="1"/>
  <c r="N128" i="16"/>
  <c r="N129" i="16"/>
  <c r="P121" i="49" s="1"/>
  <c r="N130" i="16"/>
  <c r="P122" i="49" s="1"/>
  <c r="N131" i="16"/>
  <c r="P123" i="49" s="1"/>
  <c r="N133" i="16"/>
  <c r="P125" i="49" s="1"/>
  <c r="N134" i="16"/>
  <c r="P126" i="49" s="1"/>
  <c r="N135" i="16"/>
  <c r="P127" i="49" s="1"/>
  <c r="N136" i="16"/>
  <c r="P128" i="49" s="1"/>
  <c r="N139" i="16"/>
  <c r="P131" i="49" s="1"/>
  <c r="N140" i="16"/>
  <c r="P132" i="49" s="1"/>
  <c r="N141" i="16"/>
  <c r="P133" i="49" s="1"/>
  <c r="N153" i="16"/>
  <c r="P145" i="49" s="1"/>
  <c r="N123" i="16"/>
  <c r="N156" i="16"/>
  <c r="N157" i="16"/>
  <c r="N159" i="16"/>
  <c r="N160" i="16"/>
  <c r="N161" i="16"/>
  <c r="N162" i="16"/>
  <c r="N207" i="16"/>
  <c r="N208" i="16"/>
  <c r="N209" i="16"/>
  <c r="N210" i="16"/>
  <c r="N213" i="16"/>
  <c r="N218" i="16"/>
  <c r="N221" i="16"/>
  <c r="N237" i="16"/>
  <c r="N238" i="16"/>
  <c r="N388" i="16" s="1"/>
  <c r="N202" i="16"/>
  <c r="N223" i="16"/>
  <c r="N230" i="16"/>
  <c r="N252" i="16"/>
  <c r="N258" i="16"/>
  <c r="P197" i="49" s="1"/>
  <c r="N266" i="16"/>
  <c r="N268" i="16"/>
  <c r="P206" i="49" s="1"/>
  <c r="N269" i="16"/>
  <c r="N270" i="16"/>
  <c r="N293" i="16"/>
  <c r="N292" i="16"/>
  <c r="O104" i="35" s="1"/>
  <c r="N243" i="16"/>
  <c r="N327" i="16"/>
  <c r="P272" i="49" s="1"/>
  <c r="P269" i="49" s="1"/>
  <c r="N324" i="16"/>
  <c r="N305" i="16"/>
  <c r="N298" i="16"/>
  <c r="N170" i="16"/>
  <c r="N171" i="16"/>
  <c r="L5" i="29"/>
  <c r="N198" i="16"/>
  <c r="N196" i="16" s="1"/>
  <c r="N167" i="16"/>
  <c r="N166" i="16" s="1"/>
  <c r="O108" i="16"/>
  <c r="Q100" i="49" s="1"/>
  <c r="O110" i="16"/>
  <c r="Q102" i="49" s="1"/>
  <c r="O111" i="16"/>
  <c r="Q103" i="49" s="1"/>
  <c r="M5" i="24"/>
  <c r="O112" i="16"/>
  <c r="Q104" i="49" s="1"/>
  <c r="O114" i="16"/>
  <c r="Q106" i="49" s="1"/>
  <c r="O118" i="16"/>
  <c r="Q110" i="49" s="1"/>
  <c r="O119" i="16"/>
  <c r="Q111" i="49" s="1"/>
  <c r="O120" i="16"/>
  <c r="Q112" i="49" s="1"/>
  <c r="O121" i="16"/>
  <c r="Q113" i="49" s="1"/>
  <c r="O122" i="16"/>
  <c r="Q114" i="49" s="1"/>
  <c r="O128" i="16"/>
  <c r="O129" i="16"/>
  <c r="Q121" i="49" s="1"/>
  <c r="O130" i="16"/>
  <c r="Q122" i="49" s="1"/>
  <c r="O131" i="16"/>
  <c r="Q123" i="49" s="1"/>
  <c r="O133" i="16"/>
  <c r="Q125" i="49" s="1"/>
  <c r="O134" i="16"/>
  <c r="Q126" i="49" s="1"/>
  <c r="O135" i="16"/>
  <c r="Q127" i="49" s="1"/>
  <c r="O136" i="16"/>
  <c r="Q128" i="49" s="1"/>
  <c r="O139" i="16"/>
  <c r="Q131" i="49" s="1"/>
  <c r="O140" i="16"/>
  <c r="Q132" i="49" s="1"/>
  <c r="O141" i="16"/>
  <c r="Q133" i="49" s="1"/>
  <c r="O153" i="16"/>
  <c r="Q145" i="49" s="1"/>
  <c r="O123" i="16"/>
  <c r="O156" i="16"/>
  <c r="O157" i="16"/>
  <c r="O159" i="16"/>
  <c r="O160" i="16"/>
  <c r="O161" i="16"/>
  <c r="O162" i="16"/>
  <c r="O207" i="16"/>
  <c r="O208" i="16"/>
  <c r="O209" i="16"/>
  <c r="O210" i="16"/>
  <c r="O213" i="16"/>
  <c r="O218" i="16"/>
  <c r="O221" i="16"/>
  <c r="O220" i="16" s="1"/>
  <c r="O202" i="16"/>
  <c r="O223" i="16"/>
  <c r="O230" i="16"/>
  <c r="O252" i="16"/>
  <c r="O258" i="16"/>
  <c r="Q197" i="49" s="1"/>
  <c r="O266" i="16"/>
  <c r="O268" i="16"/>
  <c r="Q206" i="49" s="1"/>
  <c r="O269" i="16"/>
  <c r="O270" i="16"/>
  <c r="O293" i="16"/>
  <c r="O243" i="16"/>
  <c r="O327" i="16"/>
  <c r="Q272" i="49" s="1"/>
  <c r="O305" i="16"/>
  <c r="O298" i="16"/>
  <c r="O170" i="16"/>
  <c r="O171" i="16"/>
  <c r="Q246" i="49" s="1"/>
  <c r="M5" i="29"/>
  <c r="O198" i="16"/>
  <c r="O167" i="16"/>
  <c r="O166" i="16" s="1"/>
  <c r="P108" i="16"/>
  <c r="R100" i="49" s="1"/>
  <c r="P110" i="16"/>
  <c r="R102" i="49" s="1"/>
  <c r="P111" i="16"/>
  <c r="R103" i="49" s="1"/>
  <c r="N5" i="24"/>
  <c r="P112" i="16" s="1"/>
  <c r="R104" i="49" s="1"/>
  <c r="P114" i="16"/>
  <c r="R106" i="49" s="1"/>
  <c r="P118" i="16"/>
  <c r="R110" i="49" s="1"/>
  <c r="P119" i="16"/>
  <c r="R111" i="49" s="1"/>
  <c r="P120" i="16"/>
  <c r="R112" i="49" s="1"/>
  <c r="P121" i="16"/>
  <c r="R113" i="49" s="1"/>
  <c r="P122" i="16"/>
  <c r="R114" i="49" s="1"/>
  <c r="P128" i="16"/>
  <c r="P129" i="16"/>
  <c r="R121" i="49" s="1"/>
  <c r="P130" i="16"/>
  <c r="R122" i="49" s="1"/>
  <c r="P131" i="16"/>
  <c r="R123" i="49" s="1"/>
  <c r="P133" i="16"/>
  <c r="R125" i="49" s="1"/>
  <c r="P134" i="16"/>
  <c r="R126" i="49" s="1"/>
  <c r="P135" i="16"/>
  <c r="R127" i="49" s="1"/>
  <c r="P136" i="16"/>
  <c r="R128" i="49" s="1"/>
  <c r="P139" i="16"/>
  <c r="R131" i="49" s="1"/>
  <c r="P140" i="16"/>
  <c r="R132" i="49" s="1"/>
  <c r="P141" i="16"/>
  <c r="R133" i="49" s="1"/>
  <c r="P153" i="16"/>
  <c r="R145" i="49" s="1"/>
  <c r="P123" i="16"/>
  <c r="P156" i="16"/>
  <c r="P157" i="16"/>
  <c r="P159" i="16"/>
  <c r="P160" i="16"/>
  <c r="P161" i="16"/>
  <c r="P162" i="16"/>
  <c r="P207" i="16"/>
  <c r="P208" i="16"/>
  <c r="P209" i="16"/>
  <c r="P210" i="16"/>
  <c r="P213" i="16"/>
  <c r="P218" i="16"/>
  <c r="P221" i="16"/>
  <c r="P220" i="16" s="1"/>
  <c r="P237" i="16"/>
  <c r="P238" i="16"/>
  <c r="P388" i="16" s="1"/>
  <c r="P202" i="16"/>
  <c r="P223" i="16"/>
  <c r="P230" i="16"/>
  <c r="P252" i="16"/>
  <c r="P258" i="16"/>
  <c r="R197" i="49" s="1"/>
  <c r="P266" i="16"/>
  <c r="P268" i="16"/>
  <c r="R206" i="49" s="1"/>
  <c r="P269" i="16"/>
  <c r="P270" i="16"/>
  <c r="P293" i="16"/>
  <c r="P292" i="16" s="1"/>
  <c r="Q104" i="35" s="1"/>
  <c r="P243" i="16"/>
  <c r="P327" i="16"/>
  <c r="R272" i="49" s="1"/>
  <c r="R269" i="49" s="1"/>
  <c r="P305" i="16"/>
  <c r="P298" i="16"/>
  <c r="P170" i="16"/>
  <c r="P171" i="16"/>
  <c r="N5" i="29"/>
  <c r="P177" i="16" s="1"/>
  <c r="R250" i="49" s="1"/>
  <c r="R249" i="49" s="1"/>
  <c r="P167" i="16"/>
  <c r="P166" i="16"/>
  <c r="P196" i="16"/>
  <c r="J33" i="11"/>
  <c r="J69" i="11"/>
  <c r="G22" i="10"/>
  <c r="G21" i="10"/>
  <c r="G20" i="10" s="1"/>
  <c r="G42" i="10"/>
  <c r="G28" i="10" s="1"/>
  <c r="G272" i="48"/>
  <c r="K33" i="11"/>
  <c r="K32" i="11"/>
  <c r="H278" i="49" s="1"/>
  <c r="K69" i="11"/>
  <c r="H22" i="10"/>
  <c r="H42" i="10"/>
  <c r="H28" i="10"/>
  <c r="H272" i="48"/>
  <c r="L69" i="11"/>
  <c r="L32" i="11" s="1"/>
  <c r="I22" i="10"/>
  <c r="I42" i="10"/>
  <c r="I28" i="10" s="1"/>
  <c r="I272" i="48"/>
  <c r="M33" i="11"/>
  <c r="M32" i="11" s="1"/>
  <c r="J278" i="49" s="1"/>
  <c r="M69" i="11"/>
  <c r="J276" i="48"/>
  <c r="J293" i="48" s="1"/>
  <c r="J22" i="10"/>
  <c r="J42" i="10"/>
  <c r="J28" i="10"/>
  <c r="J21" i="10" s="1"/>
  <c r="J20" i="10" s="1"/>
  <c r="J272" i="48"/>
  <c r="N33" i="11"/>
  <c r="N69" i="11"/>
  <c r="K22" i="10"/>
  <c r="K42" i="10"/>
  <c r="K272" i="48"/>
  <c r="O33" i="11"/>
  <c r="O69" i="11"/>
  <c r="L22" i="10"/>
  <c r="L42" i="10"/>
  <c r="L28" i="10"/>
  <c r="L272" i="48"/>
  <c r="P33" i="11"/>
  <c r="P69" i="11"/>
  <c r="P32" i="11"/>
  <c r="M22" i="10"/>
  <c r="M42" i="10"/>
  <c r="M28" i="10" s="1"/>
  <c r="M272" i="48"/>
  <c r="Q33" i="11"/>
  <c r="Q69" i="11"/>
  <c r="N22" i="10"/>
  <c r="N21" i="10" s="1"/>
  <c r="N20" i="10" s="1"/>
  <c r="N42" i="10"/>
  <c r="N28" i="10"/>
  <c r="N272" i="48"/>
  <c r="O22" i="10"/>
  <c r="O42" i="10"/>
  <c r="O28" i="10" s="1"/>
  <c r="O272" i="48"/>
  <c r="S33" i="11"/>
  <c r="S69" i="11"/>
  <c r="P22" i="10"/>
  <c r="P21" i="10"/>
  <c r="P20" i="10" s="1"/>
  <c r="P42" i="10"/>
  <c r="P28" i="10" s="1"/>
  <c r="P272" i="48"/>
  <c r="T33" i="11"/>
  <c r="T32" i="11" s="1"/>
  <c r="T69" i="11"/>
  <c r="Q22" i="10"/>
  <c r="Q42" i="10"/>
  <c r="Q28" i="10" s="1"/>
  <c r="Q272" i="48"/>
  <c r="R22" i="10"/>
  <c r="R42" i="10"/>
  <c r="R28" i="10"/>
  <c r="R272" i="48"/>
  <c r="S273" i="48"/>
  <c r="AA273" i="48" s="1"/>
  <c r="S274" i="48"/>
  <c r="AA274" i="48" s="1"/>
  <c r="S278" i="48"/>
  <c r="AA278" i="48" s="1"/>
  <c r="E73" i="6"/>
  <c r="G17" i="2" s="1"/>
  <c r="K66" i="22"/>
  <c r="K85" i="22"/>
  <c r="K100" i="22"/>
  <c r="K107" i="22"/>
  <c r="N107" i="22" s="1"/>
  <c r="G10" i="2"/>
  <c r="G7" i="2"/>
  <c r="G14" i="2"/>
  <c r="G13" i="2" s="1"/>
  <c r="G16" i="2"/>
  <c r="G22" i="2"/>
  <c r="Q23" i="2"/>
  <c r="B31" i="25"/>
  <c r="F32" i="25"/>
  <c r="B33" i="25"/>
  <c r="F35" i="25"/>
  <c r="B36" i="25"/>
  <c r="B37" i="25"/>
  <c r="B38" i="25"/>
  <c r="H38" i="25"/>
  <c r="B39" i="25"/>
  <c r="I39" i="25"/>
  <c r="B40" i="25"/>
  <c r="F41" i="25"/>
  <c r="F42" i="25"/>
  <c r="F43" i="25"/>
  <c r="F44" i="25"/>
  <c r="F45" i="25"/>
  <c r="F46" i="25"/>
  <c r="G27" i="2"/>
  <c r="L23" i="11"/>
  <c r="L6" i="11" s="1"/>
  <c r="G46" i="2" s="1"/>
  <c r="G39" i="2"/>
  <c r="I297" i="49"/>
  <c r="I10" i="10"/>
  <c r="I12" i="10"/>
  <c r="I9" i="10" s="1"/>
  <c r="E4" i="2"/>
  <c r="C73" i="6"/>
  <c r="E17" i="2"/>
  <c r="C69" i="22"/>
  <c r="C66" i="22"/>
  <c r="C85" i="22"/>
  <c r="C100" i="22"/>
  <c r="C99" i="22"/>
  <c r="C84" i="22"/>
  <c r="C107" i="22"/>
  <c r="E10" i="2"/>
  <c r="E7" i="2"/>
  <c r="E13" i="2"/>
  <c r="E10" i="40" s="1"/>
  <c r="E34" i="42" s="1"/>
  <c r="E20" i="2"/>
  <c r="G286" i="49"/>
  <c r="D32" i="25"/>
  <c r="D35" i="25"/>
  <c r="D37" i="25"/>
  <c r="D41" i="25"/>
  <c r="D42" i="25"/>
  <c r="D43" i="25"/>
  <c r="D44" i="25"/>
  <c r="D45" i="25"/>
  <c r="D46" i="25"/>
  <c r="E27" i="2"/>
  <c r="J7" i="11"/>
  <c r="J6" i="11"/>
  <c r="E46" i="2" s="1"/>
  <c r="G379" i="49" s="1"/>
  <c r="J23" i="11"/>
  <c r="E39" i="2"/>
  <c r="G297" i="49"/>
  <c r="G12" i="10"/>
  <c r="G9" i="10"/>
  <c r="G19" i="10" s="1"/>
  <c r="F4" i="2"/>
  <c r="D73" i="6"/>
  <c r="F17" i="2" s="1"/>
  <c r="G135" i="35"/>
  <c r="G67" i="22"/>
  <c r="G66" i="22" s="1"/>
  <c r="G85" i="22"/>
  <c r="G100" i="22"/>
  <c r="J100" i="22" s="1"/>
  <c r="G107" i="22"/>
  <c r="F10" i="2"/>
  <c r="F7" i="2" s="1"/>
  <c r="F13" i="2"/>
  <c r="H283" i="48" s="1"/>
  <c r="H285" i="49"/>
  <c r="F20" i="2"/>
  <c r="E32" i="25"/>
  <c r="E35" i="25"/>
  <c r="E41" i="25"/>
  <c r="E42" i="25"/>
  <c r="E43" i="25"/>
  <c r="E44" i="25"/>
  <c r="E45" i="25"/>
  <c r="E46" i="25"/>
  <c r="F27" i="2"/>
  <c r="K7" i="11"/>
  <c r="K6" i="11"/>
  <c r="F46" i="2"/>
  <c r="H379" i="49"/>
  <c r="K23" i="11"/>
  <c r="F39" i="2"/>
  <c r="H297" i="49"/>
  <c r="H295" i="48"/>
  <c r="F73" i="6"/>
  <c r="H17" i="2" s="1"/>
  <c r="O77" i="22"/>
  <c r="O85" i="22"/>
  <c r="O100" i="22"/>
  <c r="O107" i="22"/>
  <c r="H10" i="2"/>
  <c r="H7" i="2" s="1"/>
  <c r="H13" i="2"/>
  <c r="J285" i="49" s="1"/>
  <c r="H22" i="2"/>
  <c r="H20" i="2" s="1"/>
  <c r="G32" i="25"/>
  <c r="G35" i="25"/>
  <c r="G37" i="25"/>
  <c r="G41" i="25"/>
  <c r="G42" i="25"/>
  <c r="G43" i="25"/>
  <c r="G44" i="25"/>
  <c r="G45" i="25"/>
  <c r="G46" i="25"/>
  <c r="H27" i="2"/>
  <c r="M7" i="11"/>
  <c r="M23" i="11"/>
  <c r="H41" i="2"/>
  <c r="J10" i="10"/>
  <c r="J12" i="10"/>
  <c r="J9" i="10"/>
  <c r="G73" i="6"/>
  <c r="I17" i="2"/>
  <c r="S66" i="22"/>
  <c r="S85" i="22"/>
  <c r="S100" i="22"/>
  <c r="S107" i="22"/>
  <c r="I10" i="2"/>
  <c r="I7" i="2"/>
  <c r="I13" i="2"/>
  <c r="I20" i="2"/>
  <c r="H32" i="25"/>
  <c r="H35" i="25"/>
  <c r="H41" i="25"/>
  <c r="H42" i="25"/>
  <c r="H43" i="25"/>
  <c r="H44" i="25"/>
  <c r="H45" i="25"/>
  <c r="H46" i="25"/>
  <c r="I27" i="2"/>
  <c r="N7" i="11"/>
  <c r="N23" i="11"/>
  <c r="N6" i="11" s="1"/>
  <c r="I46" i="2" s="1"/>
  <c r="K379" i="49" s="1"/>
  <c r="K296" i="49" s="1"/>
  <c r="I39" i="2"/>
  <c r="K297" i="49"/>
  <c r="K10" i="10"/>
  <c r="K12" i="10"/>
  <c r="J4" i="2"/>
  <c r="H73" i="6"/>
  <c r="J17" i="2" s="1"/>
  <c r="I38" i="25"/>
  <c r="I32" i="25"/>
  <c r="W66" i="22"/>
  <c r="W85" i="22"/>
  <c r="W100" i="22"/>
  <c r="W107" i="22"/>
  <c r="J10" i="2"/>
  <c r="J7" i="2" s="1"/>
  <c r="J13" i="2"/>
  <c r="J20" i="2"/>
  <c r="L286" i="49"/>
  <c r="I33" i="25"/>
  <c r="I35" i="25"/>
  <c r="I37" i="25"/>
  <c r="I40" i="25"/>
  <c r="I41" i="25"/>
  <c r="I42" i="25"/>
  <c r="I43" i="25"/>
  <c r="I44" i="25"/>
  <c r="I45" i="25"/>
  <c r="I46" i="25"/>
  <c r="J27" i="2"/>
  <c r="O23" i="11"/>
  <c r="J39" i="2"/>
  <c r="L10" i="10"/>
  <c r="L9" i="10"/>
  <c r="L19" i="10"/>
  <c r="L12" i="10"/>
  <c r="I73" i="6"/>
  <c r="K17" i="2"/>
  <c r="AA69" i="22"/>
  <c r="AA66" i="22" s="1"/>
  <c r="AA85" i="22"/>
  <c r="AA100" i="22"/>
  <c r="AA99" i="22"/>
  <c r="AA107" i="22"/>
  <c r="K10" i="2"/>
  <c r="K7" i="2"/>
  <c r="K13" i="2"/>
  <c r="K20" i="2"/>
  <c r="J32" i="25"/>
  <c r="J35" i="25"/>
  <c r="J37" i="25"/>
  <c r="J41" i="25"/>
  <c r="J42" i="25"/>
  <c r="J43" i="25"/>
  <c r="J44" i="25"/>
  <c r="J45" i="25"/>
  <c r="J46" i="25"/>
  <c r="K27" i="2"/>
  <c r="P7" i="11"/>
  <c r="P23" i="11"/>
  <c r="K39" i="2"/>
  <c r="M297" i="49" s="1"/>
  <c r="M295" i="48"/>
  <c r="M10" i="10"/>
  <c r="M9" i="10" s="1"/>
  <c r="M12" i="10"/>
  <c r="K38" i="25"/>
  <c r="K32" i="25"/>
  <c r="J73" i="6"/>
  <c r="L17" i="2"/>
  <c r="AE67" i="22"/>
  <c r="AE66" i="22" s="1"/>
  <c r="AE85" i="22"/>
  <c r="AE100" i="22"/>
  <c r="AE107" i="22"/>
  <c r="AH107" i="22" s="1"/>
  <c r="L10" i="2"/>
  <c r="L7" i="2"/>
  <c r="L13" i="2"/>
  <c r="L20" i="2"/>
  <c r="N286" i="49"/>
  <c r="K33" i="25"/>
  <c r="K35" i="25"/>
  <c r="K37" i="25"/>
  <c r="K41" i="25"/>
  <c r="K42" i="25"/>
  <c r="K43" i="25"/>
  <c r="K44" i="25"/>
  <c r="K45" i="25"/>
  <c r="K46" i="25"/>
  <c r="L27" i="2"/>
  <c r="Q7" i="11"/>
  <c r="Q23" i="11"/>
  <c r="Q6" i="11"/>
  <c r="L46" i="2" s="1"/>
  <c r="L39" i="2"/>
  <c r="N297" i="49" s="1"/>
  <c r="N10" i="10"/>
  <c r="N12" i="10"/>
  <c r="K73" i="6"/>
  <c r="M17" i="2" s="1"/>
  <c r="AI69" i="22"/>
  <c r="AI66" i="22" s="1"/>
  <c r="AI85" i="22"/>
  <c r="AI100" i="22"/>
  <c r="AI99" i="22" s="1"/>
  <c r="AI107" i="22"/>
  <c r="M10" i="2"/>
  <c r="M7" i="2" s="1"/>
  <c r="M13" i="2"/>
  <c r="M20" i="2"/>
  <c r="L32" i="25"/>
  <c r="L35" i="25"/>
  <c r="L37" i="25"/>
  <c r="L41" i="25"/>
  <c r="L42" i="25"/>
  <c r="L43" i="25"/>
  <c r="L44" i="25"/>
  <c r="L45" i="25"/>
  <c r="L46" i="25"/>
  <c r="M27" i="2"/>
  <c r="R23" i="11"/>
  <c r="M42" i="2"/>
  <c r="M39" i="2" s="1"/>
  <c r="O10" i="10"/>
  <c r="O12" i="10"/>
  <c r="L73" i="6"/>
  <c r="N17" i="2" s="1"/>
  <c r="AM67" i="22"/>
  <c r="AM77" i="22"/>
  <c r="AM66" i="22"/>
  <c r="AM85" i="22"/>
  <c r="AM100" i="22"/>
  <c r="AM107" i="22"/>
  <c r="AM99" i="22"/>
  <c r="AM84" i="22" s="1"/>
  <c r="N10" i="2"/>
  <c r="N7" i="2"/>
  <c r="N15" i="2"/>
  <c r="N13" i="2" s="1"/>
  <c r="N20" i="2"/>
  <c r="P286" i="49"/>
  <c r="P284" i="48"/>
  <c r="M32" i="25"/>
  <c r="M35" i="25"/>
  <c r="M36" i="25"/>
  <c r="M38" i="25"/>
  <c r="M41" i="25"/>
  <c r="M42" i="25"/>
  <c r="M43" i="25"/>
  <c r="M44" i="25"/>
  <c r="M45" i="25"/>
  <c r="M46" i="25"/>
  <c r="N27" i="2"/>
  <c r="N36" i="40" s="1"/>
  <c r="N35" i="40" s="1"/>
  <c r="N33" i="40" s="1"/>
  <c r="S7" i="11"/>
  <c r="S23" i="11"/>
  <c r="S6" i="11"/>
  <c r="N46" i="2"/>
  <c r="P379" i="49" s="1"/>
  <c r="N39" i="2"/>
  <c r="P297" i="49"/>
  <c r="P10" i="10"/>
  <c r="P12" i="10"/>
  <c r="M73" i="6"/>
  <c r="O17" i="2"/>
  <c r="AQ66" i="22"/>
  <c r="AQ96" i="22"/>
  <c r="AQ85" i="22" s="1"/>
  <c r="AQ100" i="22"/>
  <c r="AQ99" i="22"/>
  <c r="AQ84" i="22"/>
  <c r="AQ107" i="22"/>
  <c r="O10" i="2"/>
  <c r="O7" i="2" s="1"/>
  <c r="O13" i="2"/>
  <c r="Q285" i="49" s="1"/>
  <c r="Q283" i="48"/>
  <c r="O20" i="2"/>
  <c r="Q286" i="49" s="1"/>
  <c r="N32" i="25"/>
  <c r="N35" i="25"/>
  <c r="N38" i="25"/>
  <c r="N39" i="25"/>
  <c r="N41" i="25"/>
  <c r="N42" i="25"/>
  <c r="N43" i="25"/>
  <c r="N44" i="25"/>
  <c r="N45" i="25"/>
  <c r="N46" i="25"/>
  <c r="O27" i="2"/>
  <c r="T7" i="11"/>
  <c r="T23" i="11"/>
  <c r="O39" i="2"/>
  <c r="Q10" i="10"/>
  <c r="Q12" i="10"/>
  <c r="Q9" i="10"/>
  <c r="N73" i="6"/>
  <c r="P17" i="2" s="1"/>
  <c r="AU77" i="22"/>
  <c r="AU85" i="22"/>
  <c r="AU100" i="22"/>
  <c r="AU107" i="22"/>
  <c r="P10" i="2"/>
  <c r="P7" i="2"/>
  <c r="R282" i="48" s="1"/>
  <c r="R284" i="49"/>
  <c r="P15" i="2"/>
  <c r="P13" i="2"/>
  <c r="R283" i="48" s="1"/>
  <c r="R285" i="49"/>
  <c r="P20" i="2"/>
  <c r="O31" i="25"/>
  <c r="O32" i="25"/>
  <c r="O35" i="25"/>
  <c r="O37" i="25"/>
  <c r="O38" i="25"/>
  <c r="O40" i="25"/>
  <c r="O41" i="25"/>
  <c r="O42" i="25"/>
  <c r="O43" i="25"/>
  <c r="O44" i="25"/>
  <c r="O45" i="25"/>
  <c r="O46" i="25"/>
  <c r="P27" i="2"/>
  <c r="U23" i="11"/>
  <c r="P39" i="2"/>
  <c r="R297" i="49"/>
  <c r="R10" i="10"/>
  <c r="R12" i="10"/>
  <c r="S285" i="48"/>
  <c r="AA285" i="48"/>
  <c r="AA290" i="48"/>
  <c r="G296" i="48"/>
  <c r="H296" i="48"/>
  <c r="I296" i="48"/>
  <c r="J296" i="48"/>
  <c r="K296" i="48"/>
  <c r="L296" i="48"/>
  <c r="M296" i="48"/>
  <c r="N296" i="48"/>
  <c r="O296" i="48"/>
  <c r="P296" i="48"/>
  <c r="Q296" i="48"/>
  <c r="R296" i="48"/>
  <c r="S297" i="48"/>
  <c r="AA297" i="48" s="1"/>
  <c r="S298" i="48"/>
  <c r="AA298" i="48" s="1"/>
  <c r="S299" i="48"/>
  <c r="AA299" i="48" s="1"/>
  <c r="S300" i="48"/>
  <c r="AA300" i="48" s="1"/>
  <c r="S302" i="48"/>
  <c r="AA302" i="48"/>
  <c r="H10" i="10"/>
  <c r="H9" i="10" s="1"/>
  <c r="H12" i="10"/>
  <c r="H303" i="48"/>
  <c r="S304" i="48"/>
  <c r="AA304" i="48" s="1"/>
  <c r="S305" i="48"/>
  <c r="AA305" i="48" s="1"/>
  <c r="S306" i="48"/>
  <c r="AA306" i="48" s="1"/>
  <c r="S314" i="48"/>
  <c r="AA314" i="48" s="1"/>
  <c r="G320" i="48"/>
  <c r="E26" i="21"/>
  <c r="H322" i="49"/>
  <c r="I320" i="48"/>
  <c r="J320" i="48"/>
  <c r="G36" i="21"/>
  <c r="K320" i="48"/>
  <c r="L320" i="48"/>
  <c r="M320" i="48"/>
  <c r="M330" i="48"/>
  <c r="M321" i="48"/>
  <c r="N320" i="48"/>
  <c r="N317" i="48" s="1"/>
  <c r="N330" i="48"/>
  <c r="N321" i="48" s="1"/>
  <c r="O320" i="48"/>
  <c r="P320" i="48"/>
  <c r="P330" i="48"/>
  <c r="P321" i="48" s="1"/>
  <c r="Q320" i="48"/>
  <c r="Q330" i="48"/>
  <c r="Q321" i="48" s="1"/>
  <c r="Q317" i="48" s="1"/>
  <c r="R320" i="48"/>
  <c r="R317" i="48" s="1"/>
  <c r="R330" i="48"/>
  <c r="R321" i="48" s="1"/>
  <c r="F67" i="22"/>
  <c r="F68" i="22"/>
  <c r="D69" i="22"/>
  <c r="F70" i="22"/>
  <c r="F71" i="22"/>
  <c r="F72" i="22"/>
  <c r="F73" i="22"/>
  <c r="F74" i="22"/>
  <c r="F75" i="22"/>
  <c r="F76" i="22"/>
  <c r="F77" i="22"/>
  <c r="F78" i="22"/>
  <c r="F79" i="22"/>
  <c r="F80" i="22"/>
  <c r="F81" i="22"/>
  <c r="F82" i="22"/>
  <c r="F83" i="22"/>
  <c r="F86" i="22"/>
  <c r="F87" i="22"/>
  <c r="F88" i="22"/>
  <c r="F89" i="22"/>
  <c r="F90" i="22"/>
  <c r="F91" i="22"/>
  <c r="F92" i="22"/>
  <c r="F93" i="22"/>
  <c r="F94" i="22"/>
  <c r="F95" i="22"/>
  <c r="F96" i="22"/>
  <c r="F97" i="22"/>
  <c r="F101" i="22"/>
  <c r="F100" i="22" s="1"/>
  <c r="F102" i="22"/>
  <c r="F103" i="22"/>
  <c r="F104" i="22"/>
  <c r="F105" i="22"/>
  <c r="F106" i="22"/>
  <c r="F108" i="22"/>
  <c r="F109" i="22"/>
  <c r="F107" i="22" s="1"/>
  <c r="F110" i="22"/>
  <c r="F111" i="22"/>
  <c r="F112" i="22"/>
  <c r="F113" i="22"/>
  <c r="H67" i="22"/>
  <c r="J68" i="22"/>
  <c r="J69" i="22"/>
  <c r="J70" i="22"/>
  <c r="J71" i="22"/>
  <c r="J72" i="22"/>
  <c r="J73" i="22"/>
  <c r="J74" i="22"/>
  <c r="J75" i="22"/>
  <c r="J76" i="22"/>
  <c r="J77" i="22"/>
  <c r="J78" i="22"/>
  <c r="J79" i="22"/>
  <c r="J80" i="22"/>
  <c r="J81" i="22"/>
  <c r="J82" i="22"/>
  <c r="J83" i="22"/>
  <c r="J86" i="22"/>
  <c r="J87" i="22"/>
  <c r="J88" i="22"/>
  <c r="J89" i="22"/>
  <c r="J90" i="22"/>
  <c r="J91" i="22"/>
  <c r="J92" i="22"/>
  <c r="J93" i="22"/>
  <c r="J94" i="22"/>
  <c r="J95" i="22"/>
  <c r="J96" i="22"/>
  <c r="J97" i="22"/>
  <c r="H100" i="22"/>
  <c r="H107" i="22"/>
  <c r="J107" i="22" s="1"/>
  <c r="J99" i="22" s="1"/>
  <c r="N67" i="22"/>
  <c r="N68" i="22"/>
  <c r="N69" i="22"/>
  <c r="N70" i="22"/>
  <c r="N71" i="22"/>
  <c r="N72" i="22"/>
  <c r="N73" i="22"/>
  <c r="N74" i="22"/>
  <c r="N75" i="22"/>
  <c r="N76" i="22"/>
  <c r="N77" i="22"/>
  <c r="N78" i="22"/>
  <c r="N79" i="22"/>
  <c r="N80" i="22"/>
  <c r="N81" i="22"/>
  <c r="N82" i="22"/>
  <c r="N83" i="22"/>
  <c r="N86" i="22"/>
  <c r="N87" i="22"/>
  <c r="N88" i="22"/>
  <c r="N89" i="22"/>
  <c r="N90" i="22"/>
  <c r="N91" i="22"/>
  <c r="N92" i="22"/>
  <c r="N93" i="22"/>
  <c r="N94" i="22"/>
  <c r="N95" i="22"/>
  <c r="N96" i="22"/>
  <c r="N97" i="22"/>
  <c r="L100" i="22"/>
  <c r="L99" i="22" s="1"/>
  <c r="L107" i="22"/>
  <c r="R67" i="22"/>
  <c r="R68" i="22"/>
  <c r="R69" i="22"/>
  <c r="R70" i="22"/>
  <c r="R71" i="22"/>
  <c r="R72" i="22"/>
  <c r="R73" i="22"/>
  <c r="R74" i="22"/>
  <c r="R75" i="22"/>
  <c r="R76" i="22"/>
  <c r="P77" i="22"/>
  <c r="R78" i="22"/>
  <c r="R79" i="22"/>
  <c r="R80" i="22"/>
  <c r="R81" i="22"/>
  <c r="R82" i="22"/>
  <c r="R83" i="22"/>
  <c r="R86" i="22"/>
  <c r="R87" i="22"/>
  <c r="R88" i="22"/>
  <c r="R89" i="22"/>
  <c r="R90" i="22"/>
  <c r="R91" i="22"/>
  <c r="R92" i="22"/>
  <c r="R93" i="22"/>
  <c r="R94" i="22"/>
  <c r="R95" i="22"/>
  <c r="R96" i="22"/>
  <c r="R97" i="22"/>
  <c r="P100" i="22"/>
  <c r="R100" i="22" s="1"/>
  <c r="P107" i="22"/>
  <c r="V68" i="22"/>
  <c r="V69" i="22"/>
  <c r="V70" i="22"/>
  <c r="V71" i="22"/>
  <c r="V72" i="22"/>
  <c r="V73" i="22"/>
  <c r="V74" i="22"/>
  <c r="V75" i="22"/>
  <c r="V76" i="22"/>
  <c r="V77" i="22"/>
  <c r="V78" i="22"/>
  <c r="V79" i="22"/>
  <c r="V80" i="22"/>
  <c r="V81" i="22"/>
  <c r="V82" i="22"/>
  <c r="V83" i="22"/>
  <c r="V86" i="22"/>
  <c r="V87" i="22"/>
  <c r="V88" i="22"/>
  <c r="V89" i="22"/>
  <c r="V90" i="22"/>
  <c r="V91" i="22"/>
  <c r="V92" i="22"/>
  <c r="V93" i="22"/>
  <c r="V94" i="22"/>
  <c r="V95" i="22"/>
  <c r="V96" i="22"/>
  <c r="V97" i="22"/>
  <c r="T100" i="22"/>
  <c r="T107" i="22"/>
  <c r="V107" i="22" s="1"/>
  <c r="Z67" i="22"/>
  <c r="Z68" i="22"/>
  <c r="Z69" i="22"/>
  <c r="Z70" i="22"/>
  <c r="Z71" i="22"/>
  <c r="Z72" i="22"/>
  <c r="Z73" i="22"/>
  <c r="Z74" i="22"/>
  <c r="Z75" i="22"/>
  <c r="Z76" i="22"/>
  <c r="Z77" i="22"/>
  <c r="Z78" i="22"/>
  <c r="Z79" i="22"/>
  <c r="Z80" i="22"/>
  <c r="Z81" i="22"/>
  <c r="Z82" i="22"/>
  <c r="Z83" i="22"/>
  <c r="Z86" i="22"/>
  <c r="Z87" i="22"/>
  <c r="Z88" i="22"/>
  <c r="Z89" i="22"/>
  <c r="Z90" i="22"/>
  <c r="Z91" i="22"/>
  <c r="Z92" i="22"/>
  <c r="Z93" i="22"/>
  <c r="Z94" i="22"/>
  <c r="Z95" i="22"/>
  <c r="Z96" i="22"/>
  <c r="Z97" i="22"/>
  <c r="X100" i="22"/>
  <c r="Z100" i="22" s="1"/>
  <c r="X107" i="22"/>
  <c r="AD67" i="22"/>
  <c r="AD68" i="22"/>
  <c r="AD69" i="22"/>
  <c r="AD70" i="22"/>
  <c r="AD71" i="22"/>
  <c r="AD72" i="22"/>
  <c r="AD73" i="22"/>
  <c r="AD74" i="22"/>
  <c r="AD75" i="22"/>
  <c r="AD76" i="22"/>
  <c r="AD77" i="22"/>
  <c r="AD78" i="22"/>
  <c r="AD79" i="22"/>
  <c r="AD80" i="22"/>
  <c r="AD81" i="22"/>
  <c r="AD82" i="22"/>
  <c r="AD83" i="22"/>
  <c r="AD86" i="22"/>
  <c r="AD87" i="22"/>
  <c r="AD88" i="22"/>
  <c r="AD89" i="22"/>
  <c r="AD90" i="22"/>
  <c r="AD91" i="22"/>
  <c r="AD92" i="22"/>
  <c r="AD93" i="22"/>
  <c r="AD94" i="22"/>
  <c r="AD95" i="22"/>
  <c r="AD96" i="22"/>
  <c r="AD97" i="22"/>
  <c r="AB100" i="22"/>
  <c r="AD100" i="22" s="1"/>
  <c r="AB107" i="22"/>
  <c r="AF67" i="22"/>
  <c r="AH67" i="22"/>
  <c r="AH68" i="22"/>
  <c r="AH69" i="22"/>
  <c r="AH70" i="22"/>
  <c r="AH71" i="22"/>
  <c r="AH72" i="22"/>
  <c r="AH73" i="22"/>
  <c r="AH74" i="22"/>
  <c r="AH75" i="22"/>
  <c r="AH76" i="22"/>
  <c r="AH77" i="22"/>
  <c r="AH78" i="22"/>
  <c r="AH79" i="22"/>
  <c r="AH80" i="22"/>
  <c r="AH81" i="22"/>
  <c r="AH82" i="22"/>
  <c r="AH83" i="22"/>
  <c r="AH86" i="22"/>
  <c r="AH87" i="22"/>
  <c r="AH88" i="22"/>
  <c r="AH89" i="22"/>
  <c r="AH90" i="22"/>
  <c r="AH91" i="22"/>
  <c r="AH92" i="22"/>
  <c r="AH93" i="22"/>
  <c r="AH94" i="22"/>
  <c r="AH95" i="22"/>
  <c r="AH96" i="22"/>
  <c r="AH97" i="22"/>
  <c r="AF100" i="22"/>
  <c r="AF107" i="22"/>
  <c r="AN67" i="22"/>
  <c r="AP67" i="22" s="1"/>
  <c r="AP68" i="22"/>
  <c r="AP69" i="22"/>
  <c r="AP70" i="22"/>
  <c r="AP71" i="22"/>
  <c r="AP72" i="22"/>
  <c r="AP73" i="22"/>
  <c r="AP74" i="22"/>
  <c r="AP75" i="22"/>
  <c r="AP76" i="22"/>
  <c r="AN77" i="22"/>
  <c r="AP77" i="22"/>
  <c r="AP78" i="22"/>
  <c r="AP79" i="22"/>
  <c r="AP80" i="22"/>
  <c r="AP81" i="22"/>
  <c r="AP82" i="22"/>
  <c r="AP83" i="22"/>
  <c r="AP86" i="22"/>
  <c r="AP87" i="22"/>
  <c r="AP88" i="22"/>
  <c r="AP89" i="22"/>
  <c r="AP90" i="22"/>
  <c r="AP91" i="22"/>
  <c r="AP92" i="22"/>
  <c r="AP93" i="22"/>
  <c r="AP94" i="22"/>
  <c r="AP95" i="22"/>
  <c r="AP96" i="22"/>
  <c r="AP97" i="22"/>
  <c r="AN100" i="22"/>
  <c r="AP100" i="22"/>
  <c r="AN107" i="22"/>
  <c r="AP107" i="22" s="1"/>
  <c r="AT67" i="22"/>
  <c r="AT68" i="22"/>
  <c r="AT69" i="22"/>
  <c r="AT70" i="22"/>
  <c r="AT71" i="22"/>
  <c r="AT72" i="22"/>
  <c r="AT73" i="22"/>
  <c r="AT74" i="22"/>
  <c r="AT75" i="22"/>
  <c r="AT76" i="22"/>
  <c r="AT77" i="22"/>
  <c r="AT78" i="22"/>
  <c r="AT79" i="22"/>
  <c r="AT80" i="22"/>
  <c r="AT81" i="22"/>
  <c r="AT82" i="22"/>
  <c r="AT83" i="22"/>
  <c r="AT86" i="22"/>
  <c r="AT87" i="22"/>
  <c r="AT88" i="22"/>
  <c r="AT89" i="22"/>
  <c r="AT90" i="22"/>
  <c r="AT91" i="22"/>
  <c r="AT92" i="22"/>
  <c r="AT93" i="22"/>
  <c r="AT94" i="22"/>
  <c r="AT95" i="22"/>
  <c r="AR96" i="22"/>
  <c r="AT97" i="22"/>
  <c r="AR100" i="22"/>
  <c r="AT100" i="22"/>
  <c r="AT99" i="22" s="1"/>
  <c r="AR107" i="22"/>
  <c r="AT107" i="22" s="1"/>
  <c r="AX67" i="22"/>
  <c r="AX68" i="22"/>
  <c r="AX69" i="22"/>
  <c r="AX70" i="22"/>
  <c r="AX71" i="22"/>
  <c r="AX72" i="22"/>
  <c r="AX73" i="22"/>
  <c r="AX74" i="22"/>
  <c r="AX75" i="22"/>
  <c r="AX76" i="22"/>
  <c r="AV77" i="22"/>
  <c r="AX78" i="22"/>
  <c r="AX79" i="22"/>
  <c r="AX80" i="22"/>
  <c r="AX81" i="22"/>
  <c r="AX82" i="22"/>
  <c r="AX83" i="22"/>
  <c r="AX86" i="22"/>
  <c r="AX87" i="22"/>
  <c r="AX88" i="22"/>
  <c r="AX89" i="22"/>
  <c r="AX90" i="22"/>
  <c r="AX91" i="22"/>
  <c r="AX92" i="22"/>
  <c r="AX93" i="22"/>
  <c r="AX94" i="22"/>
  <c r="AX95" i="22"/>
  <c r="AX96" i="22"/>
  <c r="AX97" i="22"/>
  <c r="AV100" i="22"/>
  <c r="AV107" i="22"/>
  <c r="S318" i="48"/>
  <c r="AA318" i="48"/>
  <c r="S319" i="48"/>
  <c r="AA319" i="48"/>
  <c r="S322" i="48"/>
  <c r="AA322" i="48"/>
  <c r="S323" i="48"/>
  <c r="AA323" i="48"/>
  <c r="S324" i="48"/>
  <c r="AA324" i="48"/>
  <c r="S325" i="48"/>
  <c r="AA325" i="48"/>
  <c r="S326" i="48"/>
  <c r="V326" i="48"/>
  <c r="S327" i="48"/>
  <c r="AA327" i="48"/>
  <c r="S328" i="48"/>
  <c r="AA328" i="48"/>
  <c r="S329" i="48"/>
  <c r="AA329" i="48"/>
  <c r="S332" i="48"/>
  <c r="AA332" i="48"/>
  <c r="S336" i="48"/>
  <c r="AA336" i="48"/>
  <c r="C11" i="6"/>
  <c r="O19" i="20"/>
  <c r="G352" i="49" s="1"/>
  <c r="G350" i="48"/>
  <c r="O70" i="20"/>
  <c r="G353" i="49" s="1"/>
  <c r="O71" i="20"/>
  <c r="G354" i="49"/>
  <c r="C113" i="20"/>
  <c r="C118" i="20"/>
  <c r="B113" i="20"/>
  <c r="B118" i="20"/>
  <c r="G359" i="48"/>
  <c r="O126" i="20"/>
  <c r="G362" i="49"/>
  <c r="O129" i="20"/>
  <c r="O128" i="20"/>
  <c r="D11" i="6"/>
  <c r="H352" i="48"/>
  <c r="P19" i="20"/>
  <c r="P70" i="20"/>
  <c r="H353" i="49"/>
  <c r="P71" i="20"/>
  <c r="D113" i="20"/>
  <c r="D118" i="20"/>
  <c r="H360" i="48"/>
  <c r="H361" i="48"/>
  <c r="P126" i="20"/>
  <c r="H362" i="49"/>
  <c r="P129" i="20"/>
  <c r="H363" i="49" s="1"/>
  <c r="P128" i="20"/>
  <c r="H364" i="49" s="1"/>
  <c r="H357" i="48"/>
  <c r="E11" i="6"/>
  <c r="Q19" i="20"/>
  <c r="Q70" i="20"/>
  <c r="I353" i="49"/>
  <c r="Q71" i="20"/>
  <c r="E113" i="20"/>
  <c r="Q113" i="20" s="1"/>
  <c r="E118" i="20"/>
  <c r="E82" i="20"/>
  <c r="I361" i="48"/>
  <c r="I359" i="48" s="1"/>
  <c r="F11" i="6"/>
  <c r="J352" i="48"/>
  <c r="R19" i="20"/>
  <c r="R70" i="20"/>
  <c r="J353" i="49" s="1"/>
  <c r="J351" i="48"/>
  <c r="R71" i="20"/>
  <c r="F113" i="20"/>
  <c r="R113" i="20" s="1"/>
  <c r="F118" i="20"/>
  <c r="F82" i="20"/>
  <c r="J360" i="48"/>
  <c r="J361" i="48"/>
  <c r="J359" i="48" s="1"/>
  <c r="G11" i="6"/>
  <c r="K352" i="48" s="1"/>
  <c r="S19" i="20"/>
  <c r="K352" i="49"/>
  <c r="S70" i="20"/>
  <c r="K353" i="49" s="1"/>
  <c r="S71" i="20"/>
  <c r="K354" i="49"/>
  <c r="G113" i="20"/>
  <c r="G118" i="20"/>
  <c r="S118" i="20"/>
  <c r="K359" i="48"/>
  <c r="H11" i="6"/>
  <c r="L352" i="48"/>
  <c r="T19" i="20"/>
  <c r="L352" i="49"/>
  <c r="T70" i="20"/>
  <c r="T71" i="20"/>
  <c r="L354" i="49"/>
  <c r="H113" i="20"/>
  <c r="H118" i="20"/>
  <c r="L360" i="48"/>
  <c r="L359" i="48" s="1"/>
  <c r="L361" i="48"/>
  <c r="I11" i="6"/>
  <c r="U19" i="20"/>
  <c r="M350" i="48" s="1"/>
  <c r="M352" i="49"/>
  <c r="U70" i="20"/>
  <c r="U71" i="20"/>
  <c r="M353" i="48" s="1"/>
  <c r="M354" i="49"/>
  <c r="I113" i="20"/>
  <c r="I82" i="20" s="1"/>
  <c r="I118" i="20"/>
  <c r="M359" i="48"/>
  <c r="J11" i="6"/>
  <c r="V19" i="20"/>
  <c r="V70" i="20"/>
  <c r="V71" i="20"/>
  <c r="N354" i="49"/>
  <c r="N353" i="48"/>
  <c r="J113" i="20"/>
  <c r="J118" i="20"/>
  <c r="V118" i="20"/>
  <c r="N359" i="48"/>
  <c r="K11" i="6"/>
  <c r="W19" i="20"/>
  <c r="O350" i="48" s="1"/>
  <c r="O352" i="49"/>
  <c r="W70" i="20"/>
  <c r="W71" i="20"/>
  <c r="O353" i="48" s="1"/>
  <c r="O354" i="49"/>
  <c r="K113" i="20"/>
  <c r="K118" i="20"/>
  <c r="W118" i="20"/>
  <c r="O360" i="48"/>
  <c r="O361" i="48"/>
  <c r="L11" i="6"/>
  <c r="X19" i="20"/>
  <c r="X70" i="20"/>
  <c r="P353" i="49"/>
  <c r="X71" i="20"/>
  <c r="P354" i="49" s="1"/>
  <c r="L113" i="20"/>
  <c r="L82" i="20" s="1"/>
  <c r="L118" i="20"/>
  <c r="X118" i="20" s="1"/>
  <c r="P361" i="48"/>
  <c r="P359" i="48" s="1"/>
  <c r="M11" i="6"/>
  <c r="Q352" i="48" s="1"/>
  <c r="M19" i="20"/>
  <c r="Y19" i="20"/>
  <c r="Q352" i="49" s="1"/>
  <c r="Y70" i="20"/>
  <c r="Q353" i="49"/>
  <c r="Q351" i="48"/>
  <c r="Y71" i="20"/>
  <c r="Q354" i="49" s="1"/>
  <c r="M113" i="20"/>
  <c r="M118" i="20"/>
  <c r="Z118" i="20" s="1"/>
  <c r="Y118" i="20"/>
  <c r="Q359" i="48"/>
  <c r="N11" i="6"/>
  <c r="R352" i="48"/>
  <c r="N19" i="20"/>
  <c r="Z70" i="20"/>
  <c r="R353" i="49"/>
  <c r="R351" i="48"/>
  <c r="Z71" i="20"/>
  <c r="N96" i="20"/>
  <c r="H2" i="20"/>
  <c r="N110" i="20"/>
  <c r="N113" i="20"/>
  <c r="N118" i="20"/>
  <c r="R359" i="48"/>
  <c r="S343" i="48"/>
  <c r="AA343" i="48" s="1"/>
  <c r="O80" i="20"/>
  <c r="P80" i="20"/>
  <c r="H344" i="48" s="1"/>
  <c r="H346" i="49"/>
  <c r="Q80" i="20"/>
  <c r="R80" i="20"/>
  <c r="J344" i="48" s="1"/>
  <c r="J346" i="49"/>
  <c r="S80" i="20"/>
  <c r="T80" i="20"/>
  <c r="U80" i="20"/>
  <c r="V80" i="20"/>
  <c r="N346" i="49"/>
  <c r="N344" i="48"/>
  <c r="W80" i="20"/>
  <c r="Y80" i="20"/>
  <c r="Q346" i="49"/>
  <c r="Q344" i="48"/>
  <c r="Z80" i="20"/>
  <c r="O81" i="20"/>
  <c r="G347" i="49"/>
  <c r="G345" i="48"/>
  <c r="P81" i="20"/>
  <c r="Q81" i="20"/>
  <c r="R81" i="20"/>
  <c r="S81" i="20"/>
  <c r="T81" i="20"/>
  <c r="U81" i="20"/>
  <c r="M345" i="48" s="1"/>
  <c r="M347" i="49"/>
  <c r="V81" i="20"/>
  <c r="W81" i="20"/>
  <c r="O345" i="48" s="1"/>
  <c r="O347" i="49"/>
  <c r="Y81" i="20"/>
  <c r="Z81" i="20"/>
  <c r="O4" i="20"/>
  <c r="O5" i="20"/>
  <c r="P5" i="20"/>
  <c r="P4" i="20"/>
  <c r="Q5" i="20"/>
  <c r="Q4" i="20"/>
  <c r="I346" i="48"/>
  <c r="R5" i="20"/>
  <c r="R4" i="20"/>
  <c r="S5" i="20"/>
  <c r="S4" i="20"/>
  <c r="T5" i="20"/>
  <c r="T4" i="20"/>
  <c r="U5" i="20"/>
  <c r="M346" i="48"/>
  <c r="U4" i="20"/>
  <c r="V5" i="20"/>
  <c r="V4" i="20"/>
  <c r="N346" i="48" s="1"/>
  <c r="W5" i="20"/>
  <c r="W4" i="20"/>
  <c r="X5" i="20"/>
  <c r="X4" i="20"/>
  <c r="Y5" i="20"/>
  <c r="Y4" i="20"/>
  <c r="Q346" i="48"/>
  <c r="Z4" i="20"/>
  <c r="S347" i="48"/>
  <c r="AA347" i="48" s="1"/>
  <c r="C21" i="6"/>
  <c r="C24" i="6"/>
  <c r="G369" i="48" s="1"/>
  <c r="G372" i="49"/>
  <c r="E336" i="16"/>
  <c r="E335" i="16" s="1"/>
  <c r="D21" i="6"/>
  <c r="D24" i="6"/>
  <c r="H371" i="48"/>
  <c r="E21" i="6"/>
  <c r="I368" i="48" s="1"/>
  <c r="I371" i="49"/>
  <c r="E24" i="6"/>
  <c r="G336" i="16"/>
  <c r="G335" i="16"/>
  <c r="F21" i="6"/>
  <c r="F24" i="6"/>
  <c r="J372" i="49" s="1"/>
  <c r="J369" i="48"/>
  <c r="H336" i="16"/>
  <c r="H335" i="16" s="1"/>
  <c r="G21" i="6"/>
  <c r="K371" i="49"/>
  <c r="K368" i="48"/>
  <c r="G24" i="6"/>
  <c r="I336" i="16"/>
  <c r="I335" i="16"/>
  <c r="H21" i="6"/>
  <c r="H24" i="6"/>
  <c r="J336" i="16"/>
  <c r="J335" i="16"/>
  <c r="I21" i="6"/>
  <c r="I24" i="6"/>
  <c r="K336" i="16"/>
  <c r="K335" i="16"/>
  <c r="J21" i="6"/>
  <c r="J24" i="6"/>
  <c r="L336" i="16"/>
  <c r="L335" i="16"/>
  <c r="K21" i="6"/>
  <c r="O371" i="49"/>
  <c r="O368" i="48"/>
  <c r="K24" i="6"/>
  <c r="M336" i="16"/>
  <c r="M335" i="16"/>
  <c r="L21" i="6"/>
  <c r="P371" i="49"/>
  <c r="P368" i="48"/>
  <c r="L24" i="6"/>
  <c r="N336" i="16"/>
  <c r="N335" i="16"/>
  <c r="M21" i="6"/>
  <c r="Q368" i="48" s="1"/>
  <c r="Q371" i="49"/>
  <c r="M24" i="6"/>
  <c r="O336" i="16"/>
  <c r="O335" i="16"/>
  <c r="N21" i="6"/>
  <c r="N24" i="6"/>
  <c r="R372" i="49" s="1"/>
  <c r="R369" i="48"/>
  <c r="P336" i="16"/>
  <c r="P335" i="16" s="1"/>
  <c r="C7" i="22"/>
  <c r="C27" i="22"/>
  <c r="C41" i="22"/>
  <c r="C40" i="22" s="1"/>
  <c r="C26" i="22" s="1"/>
  <c r="C6" i="22" s="1"/>
  <c r="C124" i="22" s="1"/>
  <c r="C48" i="22"/>
  <c r="E7" i="22"/>
  <c r="E27" i="22"/>
  <c r="E41" i="22"/>
  <c r="E48" i="22"/>
  <c r="E66" i="22"/>
  <c r="E85" i="22"/>
  <c r="E100" i="22"/>
  <c r="E107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8" i="22"/>
  <c r="F29" i="22"/>
  <c r="F30" i="22"/>
  <c r="F31" i="22"/>
  <c r="F32" i="22"/>
  <c r="F33" i="22"/>
  <c r="F34" i="22"/>
  <c r="F35" i="22"/>
  <c r="F36" i="22"/>
  <c r="F37" i="22"/>
  <c r="F38" i="22"/>
  <c r="F39" i="22"/>
  <c r="F42" i="22"/>
  <c r="F43" i="22"/>
  <c r="F44" i="22"/>
  <c r="F45" i="22"/>
  <c r="F46" i="22"/>
  <c r="F47" i="22"/>
  <c r="F49" i="22"/>
  <c r="F50" i="22"/>
  <c r="F51" i="22"/>
  <c r="F52" i="22"/>
  <c r="F53" i="22"/>
  <c r="G8" i="22"/>
  <c r="G27" i="22"/>
  <c r="G26" i="22" s="1"/>
  <c r="G41" i="22"/>
  <c r="G48" i="22"/>
  <c r="G40" i="22" s="1"/>
  <c r="I7" i="22"/>
  <c r="I27" i="22"/>
  <c r="I41" i="22"/>
  <c r="I48" i="22"/>
  <c r="I66" i="22"/>
  <c r="I85" i="22"/>
  <c r="I100" i="22"/>
  <c r="I107" i="22"/>
  <c r="I99" i="22" s="1"/>
  <c r="H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8" i="22"/>
  <c r="J29" i="22"/>
  <c r="J30" i="22"/>
  <c r="J31" i="22"/>
  <c r="J32" i="22"/>
  <c r="J33" i="22"/>
  <c r="J34" i="22"/>
  <c r="J35" i="22"/>
  <c r="J36" i="22"/>
  <c r="J37" i="22"/>
  <c r="J38" i="22"/>
  <c r="J39" i="22"/>
  <c r="J42" i="22"/>
  <c r="J43" i="22"/>
  <c r="J44" i="22"/>
  <c r="J45" i="22"/>
  <c r="J46" i="22"/>
  <c r="J47" i="22"/>
  <c r="J49" i="22"/>
  <c r="J50" i="22"/>
  <c r="J51" i="22"/>
  <c r="J52" i="22"/>
  <c r="J53" i="22"/>
  <c r="K7" i="22"/>
  <c r="K27" i="22"/>
  <c r="K41" i="22"/>
  <c r="K40" i="22" s="1"/>
  <c r="K48" i="22"/>
  <c r="M7" i="22"/>
  <c r="M27" i="22"/>
  <c r="M26" i="22" s="1"/>
  <c r="M41" i="22"/>
  <c r="M40" i="22"/>
  <c r="M6" i="22"/>
  <c r="M48" i="22"/>
  <c r="M66" i="22"/>
  <c r="M85" i="22"/>
  <c r="M100" i="22"/>
  <c r="M107" i="22"/>
  <c r="N8" i="22"/>
  <c r="N9" i="22"/>
  <c r="N10" i="22"/>
  <c r="N11" i="22"/>
  <c r="N12" i="22"/>
  <c r="N14" i="22"/>
  <c r="N15" i="22"/>
  <c r="N16" i="22"/>
  <c r="N17" i="22"/>
  <c r="N18" i="22"/>
  <c r="N19" i="22"/>
  <c r="N20" i="22"/>
  <c r="N21" i="22"/>
  <c r="N22" i="22"/>
  <c r="N23" i="22"/>
  <c r="N24" i="22"/>
  <c r="N25" i="22"/>
  <c r="N28" i="22"/>
  <c r="N29" i="22"/>
  <c r="N30" i="22"/>
  <c r="N31" i="22"/>
  <c r="N32" i="22"/>
  <c r="N33" i="22"/>
  <c r="N34" i="22"/>
  <c r="N35" i="22"/>
  <c r="N36" i="22"/>
  <c r="N37" i="22"/>
  <c r="N38" i="22"/>
  <c r="N39" i="22"/>
  <c r="N42" i="22"/>
  <c r="N43" i="22"/>
  <c r="N44" i="22"/>
  <c r="N45" i="22"/>
  <c r="N46" i="22"/>
  <c r="N47" i="22"/>
  <c r="N49" i="22"/>
  <c r="N50" i="22"/>
  <c r="N51" i="22"/>
  <c r="N52" i="22"/>
  <c r="N53" i="22"/>
  <c r="J19" i="10"/>
  <c r="J380" i="49"/>
  <c r="J377" i="48"/>
  <c r="O7" i="22"/>
  <c r="O27" i="22"/>
  <c r="O41" i="22"/>
  <c r="O40" i="22"/>
  <c r="Q7" i="22"/>
  <c r="Q27" i="22"/>
  <c r="Q41" i="22"/>
  <c r="Q40" i="22" s="1"/>
  <c r="Q26" i="22"/>
  <c r="Q48" i="22"/>
  <c r="Q66" i="22"/>
  <c r="Q85" i="22"/>
  <c r="Q100" i="22"/>
  <c r="Q99" i="22" s="1"/>
  <c r="Q84" i="22" s="1"/>
  <c r="Q107" i="22"/>
  <c r="R8" i="22"/>
  <c r="R9" i="22"/>
  <c r="R10" i="22"/>
  <c r="R11" i="22"/>
  <c r="R12" i="22"/>
  <c r="R13" i="22"/>
  <c r="R14" i="22"/>
  <c r="R15" i="22"/>
  <c r="R16" i="22"/>
  <c r="R17" i="22"/>
  <c r="R18" i="22"/>
  <c r="R19" i="22"/>
  <c r="R20" i="22"/>
  <c r="R21" i="22"/>
  <c r="R22" i="22"/>
  <c r="R23" i="22"/>
  <c r="R24" i="22"/>
  <c r="R25" i="22"/>
  <c r="R28" i="22"/>
  <c r="R29" i="22"/>
  <c r="R30" i="22"/>
  <c r="R31" i="22"/>
  <c r="R32" i="22"/>
  <c r="R33" i="22"/>
  <c r="R34" i="22"/>
  <c r="R35" i="22"/>
  <c r="R36" i="22"/>
  <c r="R37" i="22"/>
  <c r="R38" i="22"/>
  <c r="R39" i="22"/>
  <c r="R42" i="22"/>
  <c r="R43" i="22"/>
  <c r="R44" i="22"/>
  <c r="R45" i="22"/>
  <c r="R46" i="22"/>
  <c r="R47" i="22"/>
  <c r="R49" i="22"/>
  <c r="R50" i="22"/>
  <c r="R51" i="22"/>
  <c r="R52" i="22"/>
  <c r="R53" i="22"/>
  <c r="S7" i="22"/>
  <c r="S27" i="22"/>
  <c r="S41" i="22"/>
  <c r="S48" i="22"/>
  <c r="U7" i="22"/>
  <c r="U27" i="22"/>
  <c r="U41" i="22"/>
  <c r="U48" i="22"/>
  <c r="U66" i="22"/>
  <c r="U85" i="22"/>
  <c r="U84" i="22" s="1"/>
  <c r="U100" i="22"/>
  <c r="U99" i="22" s="1"/>
  <c r="U107" i="22"/>
  <c r="V8" i="22"/>
  <c r="V9" i="22"/>
  <c r="V10" i="22"/>
  <c r="V11" i="22"/>
  <c r="V12" i="22"/>
  <c r="V13" i="22"/>
  <c r="V14" i="22"/>
  <c r="V15" i="22"/>
  <c r="V16" i="22"/>
  <c r="V17" i="22"/>
  <c r="V18" i="22"/>
  <c r="V19" i="22"/>
  <c r="V20" i="22"/>
  <c r="V21" i="22"/>
  <c r="V22" i="22"/>
  <c r="V23" i="22"/>
  <c r="V24" i="22"/>
  <c r="V25" i="22"/>
  <c r="V28" i="22"/>
  <c r="V29" i="22"/>
  <c r="V30" i="22"/>
  <c r="V31" i="22"/>
  <c r="V32" i="22"/>
  <c r="V33" i="22"/>
  <c r="V34" i="22"/>
  <c r="V35" i="22"/>
  <c r="V36" i="22"/>
  <c r="V37" i="22"/>
  <c r="V38" i="22"/>
  <c r="V39" i="22"/>
  <c r="V42" i="22"/>
  <c r="V43" i="22"/>
  <c r="V44" i="22"/>
  <c r="V45" i="22"/>
  <c r="V46" i="22"/>
  <c r="V47" i="22"/>
  <c r="V49" i="22"/>
  <c r="V48" i="22" s="1"/>
  <c r="V50" i="22"/>
  <c r="V52" i="22"/>
  <c r="V53" i="22"/>
  <c r="W7" i="22"/>
  <c r="W27" i="22"/>
  <c r="W41" i="22"/>
  <c r="W48" i="22"/>
  <c r="Y7" i="22"/>
  <c r="Y27" i="22"/>
  <c r="Y41" i="22"/>
  <c r="Y48" i="22"/>
  <c r="Y66" i="22"/>
  <c r="Y85" i="22"/>
  <c r="Y100" i="22"/>
  <c r="Y107" i="22"/>
  <c r="Y99" i="22"/>
  <c r="Z8" i="22"/>
  <c r="Z9" i="22"/>
  <c r="Z10" i="22"/>
  <c r="Z11" i="22"/>
  <c r="Z12" i="22"/>
  <c r="Z13" i="22"/>
  <c r="Z14" i="22"/>
  <c r="Z15" i="22"/>
  <c r="Z16" i="22"/>
  <c r="Z17" i="22"/>
  <c r="Z18" i="22"/>
  <c r="Z19" i="22"/>
  <c r="Z20" i="22"/>
  <c r="Z21" i="22"/>
  <c r="Z22" i="22"/>
  <c r="Z23" i="22"/>
  <c r="Z24" i="22"/>
  <c r="Z25" i="22"/>
  <c r="Z28" i="22"/>
  <c r="Z29" i="22"/>
  <c r="Z30" i="22"/>
  <c r="Z31" i="22"/>
  <c r="Z32" i="22"/>
  <c r="Z33" i="22"/>
  <c r="Z34" i="22"/>
  <c r="Z35" i="22"/>
  <c r="Z36" i="22"/>
  <c r="Z37" i="22"/>
  <c r="Z38" i="22"/>
  <c r="Z39" i="22"/>
  <c r="Z42" i="22"/>
  <c r="Z43" i="22"/>
  <c r="Z44" i="22"/>
  <c r="Z45" i="22"/>
  <c r="Z46" i="22"/>
  <c r="Z47" i="22"/>
  <c r="Z49" i="22"/>
  <c r="Z48" i="22" s="1"/>
  <c r="Z50" i="22"/>
  <c r="Z52" i="22"/>
  <c r="Z53" i="22"/>
  <c r="AA7" i="22"/>
  <c r="AA27" i="22"/>
  <c r="AA41" i="22"/>
  <c r="AA48" i="22"/>
  <c r="AC7" i="22"/>
  <c r="AC27" i="22"/>
  <c r="AC26" i="22" s="1"/>
  <c r="AC41" i="22"/>
  <c r="AC40" i="22" s="1"/>
  <c r="AC48" i="22"/>
  <c r="AC66" i="22"/>
  <c r="AC85" i="22"/>
  <c r="AC100" i="22"/>
  <c r="AC107" i="22"/>
  <c r="AC99" i="22"/>
  <c r="AC84" i="22" s="1"/>
  <c r="AD8" i="22"/>
  <c r="AD9" i="22"/>
  <c r="AD10" i="22"/>
  <c r="AD11" i="22"/>
  <c r="AD12" i="22"/>
  <c r="AD13" i="22"/>
  <c r="AD14" i="22"/>
  <c r="AD15" i="22"/>
  <c r="AD16" i="22"/>
  <c r="AD17" i="22"/>
  <c r="AD18" i="22"/>
  <c r="AD19" i="22"/>
  <c r="AD20" i="22"/>
  <c r="AD21" i="22"/>
  <c r="AD22" i="22"/>
  <c r="AD23" i="22"/>
  <c r="AD24" i="22"/>
  <c r="AD25" i="22"/>
  <c r="AD28" i="22"/>
  <c r="AD29" i="22"/>
  <c r="AD30" i="22"/>
  <c r="AD31" i="22"/>
  <c r="AD32" i="22"/>
  <c r="AD33" i="22"/>
  <c r="AD34" i="22"/>
  <c r="AD35" i="22"/>
  <c r="AD36" i="22"/>
  <c r="AD37" i="22"/>
  <c r="AD38" i="22"/>
  <c r="AD39" i="22"/>
  <c r="AD42" i="22"/>
  <c r="AD43" i="22"/>
  <c r="AD44" i="22"/>
  <c r="AD45" i="22"/>
  <c r="AD46" i="22"/>
  <c r="AD47" i="22"/>
  <c r="AD49" i="22"/>
  <c r="AD50" i="22"/>
  <c r="AD51" i="22"/>
  <c r="AD52" i="22"/>
  <c r="AD53" i="22"/>
  <c r="AE7" i="22"/>
  <c r="AE27" i="22"/>
  <c r="AE41" i="22"/>
  <c r="AE48" i="22"/>
  <c r="AG7" i="22"/>
  <c r="AG27" i="22"/>
  <c r="AG41" i="22"/>
  <c r="AG48" i="22"/>
  <c r="AG66" i="22"/>
  <c r="AG85" i="22"/>
  <c r="AG100" i="22"/>
  <c r="AG107" i="22"/>
  <c r="AH8" i="22"/>
  <c r="AH9" i="22"/>
  <c r="AH10" i="22"/>
  <c r="AH11" i="22"/>
  <c r="AH12" i="22"/>
  <c r="AH13" i="22"/>
  <c r="AH14" i="22"/>
  <c r="AH15" i="22"/>
  <c r="AH16" i="22"/>
  <c r="AH17" i="22"/>
  <c r="AH18" i="22"/>
  <c r="AH19" i="22"/>
  <c r="AH20" i="22"/>
  <c r="AH21" i="22"/>
  <c r="AH22" i="22"/>
  <c r="AH23" i="22"/>
  <c r="AH24" i="22"/>
  <c r="AH25" i="22"/>
  <c r="AH28" i="22"/>
  <c r="AH29" i="22"/>
  <c r="AH30" i="22"/>
  <c r="AH31" i="22"/>
  <c r="AH32" i="22"/>
  <c r="AH33" i="22"/>
  <c r="AH34" i="22"/>
  <c r="AH35" i="22"/>
  <c r="AH36" i="22"/>
  <c r="AH37" i="22"/>
  <c r="AH38" i="22"/>
  <c r="AH39" i="22"/>
  <c r="AH42" i="22"/>
  <c r="AH43" i="22"/>
  <c r="AH44" i="22"/>
  <c r="AH45" i="22"/>
  <c r="AH46" i="22"/>
  <c r="AH47" i="22"/>
  <c r="AH49" i="22"/>
  <c r="AH50" i="22"/>
  <c r="AH51" i="22"/>
  <c r="AH52" i="22"/>
  <c r="AH53" i="22"/>
  <c r="AI27" i="22"/>
  <c r="AI26" i="22" s="1"/>
  <c r="AI41" i="22"/>
  <c r="AI48" i="22"/>
  <c r="AI40" i="22" s="1"/>
  <c r="AK7" i="22"/>
  <c r="AK27" i="22"/>
  <c r="AK26" i="22" s="1"/>
  <c r="AK41" i="22"/>
  <c r="AK40" i="22"/>
  <c r="AK48" i="22"/>
  <c r="AK66" i="22"/>
  <c r="AK65" i="22" s="1"/>
  <c r="AK85" i="22"/>
  <c r="AK84" i="22" s="1"/>
  <c r="AK100" i="22"/>
  <c r="AK99" i="22"/>
  <c r="AK107" i="22"/>
  <c r="AL8" i="22"/>
  <c r="AL9" i="22"/>
  <c r="AL10" i="22"/>
  <c r="AL11" i="22"/>
  <c r="AL12" i="22"/>
  <c r="AL13" i="22"/>
  <c r="AL14" i="22"/>
  <c r="AL15" i="22"/>
  <c r="AL16" i="22"/>
  <c r="AL17" i="22"/>
  <c r="AL18" i="22"/>
  <c r="AL19" i="22"/>
  <c r="AL20" i="22"/>
  <c r="AL21" i="22"/>
  <c r="AL22" i="22"/>
  <c r="AL23" i="22"/>
  <c r="AL24" i="22"/>
  <c r="AL25" i="22"/>
  <c r="AL28" i="22"/>
  <c r="AL29" i="22"/>
  <c r="AL30" i="22"/>
  <c r="AL31" i="22"/>
  <c r="AL32" i="22"/>
  <c r="AL33" i="22"/>
  <c r="AL34" i="22"/>
  <c r="AL35" i="22"/>
  <c r="AL36" i="22"/>
  <c r="AL37" i="22"/>
  <c r="AL38" i="22"/>
  <c r="AL39" i="22"/>
  <c r="AL42" i="22"/>
  <c r="AL43" i="22"/>
  <c r="AL44" i="22"/>
  <c r="AL45" i="22"/>
  <c r="AL46" i="22"/>
  <c r="AL47" i="22"/>
  <c r="AL49" i="22"/>
  <c r="AL50" i="22"/>
  <c r="AL52" i="22"/>
  <c r="AL53" i="22"/>
  <c r="AM19" i="22"/>
  <c r="AM27" i="22"/>
  <c r="AM41" i="22"/>
  <c r="AM48" i="22"/>
  <c r="AO7" i="22"/>
  <c r="AO27" i="22"/>
  <c r="AO41" i="22"/>
  <c r="AO48" i="22"/>
  <c r="AO66" i="22"/>
  <c r="AO85" i="22"/>
  <c r="AO84" i="22" s="1"/>
  <c r="AO65" i="22" s="1"/>
  <c r="AO100" i="22"/>
  <c r="AO99" i="22"/>
  <c r="AO107" i="22"/>
  <c r="AP8" i="22"/>
  <c r="AP9" i="22"/>
  <c r="AP10" i="22"/>
  <c r="AP11" i="22"/>
  <c r="AP12" i="22"/>
  <c r="AP13" i="22"/>
  <c r="AP14" i="22"/>
  <c r="AP15" i="22"/>
  <c r="AP16" i="22"/>
  <c r="AP17" i="22"/>
  <c r="AP18" i="22"/>
  <c r="AN19" i="22"/>
  <c r="AP20" i="22"/>
  <c r="AP21" i="22"/>
  <c r="AP22" i="22"/>
  <c r="AP23" i="22"/>
  <c r="AP24" i="22"/>
  <c r="AP25" i="22"/>
  <c r="AP28" i="22"/>
  <c r="AP29" i="22"/>
  <c r="AP30" i="22"/>
  <c r="AP31" i="22"/>
  <c r="AP32" i="22"/>
  <c r="AP33" i="22"/>
  <c r="AP34" i="22"/>
  <c r="AP35" i="22"/>
  <c r="AP36" i="22"/>
  <c r="AP37" i="22"/>
  <c r="AP38" i="22"/>
  <c r="AP39" i="22"/>
  <c r="AP42" i="22"/>
  <c r="AP43" i="22"/>
  <c r="AP44" i="22"/>
  <c r="AP45" i="22"/>
  <c r="AP46" i="22"/>
  <c r="AP47" i="22"/>
  <c r="AP49" i="22"/>
  <c r="AP50" i="22"/>
  <c r="AP52" i="22"/>
  <c r="AP53" i="22"/>
  <c r="Q19" i="10"/>
  <c r="AQ7" i="22"/>
  <c r="AQ37" i="22"/>
  <c r="AQ27" i="22" s="1"/>
  <c r="AQ26" i="22" s="1"/>
  <c r="AQ6" i="22" s="1"/>
  <c r="M124" i="22"/>
  <c r="O36" i="2" s="1"/>
  <c r="AQ48" i="22"/>
  <c r="AQ40" i="22"/>
  <c r="AS7" i="22"/>
  <c r="AS27" i="22"/>
  <c r="AS48" i="22"/>
  <c r="AS40" i="22"/>
  <c r="AS26" i="22"/>
  <c r="AS66" i="22"/>
  <c r="AS85" i="22"/>
  <c r="AS100" i="22"/>
  <c r="AS107" i="22"/>
  <c r="AT8" i="22"/>
  <c r="AT9" i="22"/>
  <c r="AT10" i="22"/>
  <c r="AT11" i="22"/>
  <c r="AT12" i="22"/>
  <c r="AT13" i="22"/>
  <c r="AT14" i="22"/>
  <c r="AT15" i="22"/>
  <c r="AT16" i="22"/>
  <c r="AT17" i="22"/>
  <c r="AT18" i="22"/>
  <c r="AT19" i="22"/>
  <c r="AT20" i="22"/>
  <c r="AT21" i="22"/>
  <c r="AT22" i="22"/>
  <c r="AT23" i="22"/>
  <c r="AT24" i="22"/>
  <c r="AT25" i="22"/>
  <c r="AT28" i="22"/>
  <c r="AT29" i="22"/>
  <c r="AT30" i="22"/>
  <c r="AT31" i="22"/>
  <c r="AT32" i="22"/>
  <c r="AT33" i="22"/>
  <c r="AT34" i="22"/>
  <c r="AT35" i="22"/>
  <c r="AT36" i="22"/>
  <c r="AR37" i="22"/>
  <c r="AT38" i="22"/>
  <c r="AT39" i="22"/>
  <c r="AT42" i="22"/>
  <c r="AT43" i="22"/>
  <c r="AT44" i="22"/>
  <c r="AT45" i="22"/>
  <c r="AT46" i="22"/>
  <c r="AT47" i="22"/>
  <c r="AT49" i="22"/>
  <c r="AT50" i="22"/>
  <c r="AT52" i="22"/>
  <c r="AT53" i="22"/>
  <c r="AU7" i="22"/>
  <c r="AU27" i="22"/>
  <c r="AU41" i="22"/>
  <c r="AU48" i="22"/>
  <c r="AW7" i="22"/>
  <c r="AW27" i="22"/>
  <c r="AW41" i="22"/>
  <c r="AW40" i="22"/>
  <c r="AW48" i="22"/>
  <c r="AW66" i="22"/>
  <c r="AW85" i="22"/>
  <c r="AW84" i="22" s="1"/>
  <c r="AW100" i="22"/>
  <c r="AW99" i="22"/>
  <c r="AW107" i="22"/>
  <c r="AX8" i="22"/>
  <c r="AX9" i="22"/>
  <c r="AX10" i="22"/>
  <c r="AX11" i="22"/>
  <c r="AX12" i="22"/>
  <c r="AX13" i="22"/>
  <c r="AX14" i="22"/>
  <c r="AX15" i="22"/>
  <c r="AX16" i="22"/>
  <c r="AX17" i="22"/>
  <c r="AX18" i="22"/>
  <c r="AX19" i="22"/>
  <c r="AX20" i="22"/>
  <c r="AX21" i="22"/>
  <c r="AX22" i="22"/>
  <c r="AX23" i="22"/>
  <c r="AX24" i="22"/>
  <c r="AX25" i="22"/>
  <c r="AX28" i="22"/>
  <c r="AX29" i="22"/>
  <c r="AX30" i="22"/>
  <c r="AX31" i="22"/>
  <c r="AX32" i="22"/>
  <c r="AX33" i="22"/>
  <c r="AX34" i="22"/>
  <c r="AX35" i="22"/>
  <c r="AX36" i="22"/>
  <c r="AX37" i="22"/>
  <c r="AX38" i="22"/>
  <c r="AX39" i="22"/>
  <c r="AX42" i="22"/>
  <c r="AX43" i="22"/>
  <c r="AX44" i="22"/>
  <c r="AX45" i="22"/>
  <c r="AX46" i="22"/>
  <c r="AX47" i="22"/>
  <c r="AX49" i="22"/>
  <c r="AX50" i="22"/>
  <c r="AX48" i="22"/>
  <c r="AX52" i="22"/>
  <c r="AX53" i="22"/>
  <c r="Q126" i="20"/>
  <c r="I362" i="49"/>
  <c r="R126" i="20"/>
  <c r="J362" i="49"/>
  <c r="S126" i="20"/>
  <c r="K362" i="49"/>
  <c r="T126" i="20"/>
  <c r="L362" i="49"/>
  <c r="U126" i="20"/>
  <c r="M362" i="49"/>
  <c r="V126" i="20"/>
  <c r="N362" i="49"/>
  <c r="W126" i="20"/>
  <c r="O362" i="49"/>
  <c r="X126" i="20"/>
  <c r="P362" i="49"/>
  <c r="Y126" i="20"/>
  <c r="Q362" i="49"/>
  <c r="Z126" i="20"/>
  <c r="R362" i="49"/>
  <c r="Q129" i="20"/>
  <c r="R129" i="20"/>
  <c r="S129" i="20"/>
  <c r="T129" i="20"/>
  <c r="L363" i="49"/>
  <c r="L356" i="48"/>
  <c r="U129" i="20"/>
  <c r="V129" i="20"/>
  <c r="N363" i="49"/>
  <c r="N356" i="48"/>
  <c r="W129" i="20"/>
  <c r="X129" i="20"/>
  <c r="P363" i="49"/>
  <c r="P356" i="48"/>
  <c r="Y129" i="20"/>
  <c r="Z129" i="20"/>
  <c r="Q128" i="20"/>
  <c r="R128" i="20"/>
  <c r="S128" i="20"/>
  <c r="T128" i="20"/>
  <c r="U128" i="20"/>
  <c r="V128" i="20"/>
  <c r="W128" i="20"/>
  <c r="X128" i="20"/>
  <c r="Y128" i="20"/>
  <c r="Z128" i="20"/>
  <c r="R364" i="49"/>
  <c r="R357" i="48"/>
  <c r="S363" i="48"/>
  <c r="AA363" i="48"/>
  <c r="S364" i="48"/>
  <c r="AA364" i="48"/>
  <c r="S365" i="48"/>
  <c r="AA365" i="48" s="1"/>
  <c r="S366" i="48"/>
  <c r="AA366" i="48"/>
  <c r="S370" i="48"/>
  <c r="AA370" i="48" s="1"/>
  <c r="S372" i="48"/>
  <c r="AA372" i="48"/>
  <c r="S373" i="48"/>
  <c r="AA373" i="48" s="1"/>
  <c r="S378" i="48"/>
  <c r="AA378" i="48"/>
  <c r="S383" i="48"/>
  <c r="AA383" i="48" s="1"/>
  <c r="S384" i="48"/>
  <c r="AA384" i="48"/>
  <c r="S385" i="48"/>
  <c r="AA385" i="48" s="1"/>
  <c r="P333" i="48"/>
  <c r="P341" i="48"/>
  <c r="AA388" i="48"/>
  <c r="E361" i="48"/>
  <c r="E360" i="48"/>
  <c r="E358" i="48"/>
  <c r="P101" i="42"/>
  <c r="O101" i="42"/>
  <c r="N101" i="42"/>
  <c r="M101" i="42"/>
  <c r="L101" i="42"/>
  <c r="K101" i="42"/>
  <c r="J101" i="42"/>
  <c r="I101" i="42"/>
  <c r="H101" i="42"/>
  <c r="G101" i="42"/>
  <c r="F101" i="42"/>
  <c r="E101" i="42"/>
  <c r="P100" i="42"/>
  <c r="O100" i="42"/>
  <c r="N100" i="42"/>
  <c r="M100" i="42"/>
  <c r="L100" i="42"/>
  <c r="K100" i="42"/>
  <c r="J100" i="42"/>
  <c r="I100" i="42"/>
  <c r="H100" i="42"/>
  <c r="G100" i="42"/>
  <c r="F100" i="42"/>
  <c r="E100" i="42"/>
  <c r="P99" i="42"/>
  <c r="O99" i="42"/>
  <c r="N99" i="42"/>
  <c r="M99" i="42"/>
  <c r="L99" i="42"/>
  <c r="K99" i="42"/>
  <c r="J99" i="42"/>
  <c r="I99" i="42"/>
  <c r="H99" i="42"/>
  <c r="G99" i="42"/>
  <c r="F99" i="42"/>
  <c r="E99" i="42"/>
  <c r="P98" i="42"/>
  <c r="O98" i="42"/>
  <c r="N98" i="42"/>
  <c r="M98" i="42"/>
  <c r="L98" i="42"/>
  <c r="K98" i="42"/>
  <c r="J98" i="42"/>
  <c r="I98" i="42"/>
  <c r="H98" i="42"/>
  <c r="G98" i="42"/>
  <c r="F98" i="42"/>
  <c r="E98" i="42"/>
  <c r="P96" i="42"/>
  <c r="O96" i="42"/>
  <c r="N96" i="42"/>
  <c r="M96" i="42"/>
  <c r="L96" i="42"/>
  <c r="K96" i="42"/>
  <c r="J96" i="42"/>
  <c r="I96" i="42"/>
  <c r="H96" i="42"/>
  <c r="G96" i="42"/>
  <c r="F96" i="42"/>
  <c r="E96" i="42"/>
  <c r="P95" i="42"/>
  <c r="O95" i="42"/>
  <c r="N95" i="42"/>
  <c r="M95" i="42"/>
  <c r="L95" i="42"/>
  <c r="K95" i="42"/>
  <c r="J95" i="42"/>
  <c r="I95" i="42"/>
  <c r="H95" i="42"/>
  <c r="G95" i="42"/>
  <c r="F95" i="42"/>
  <c r="E95" i="42"/>
  <c r="P92" i="42"/>
  <c r="O92" i="42"/>
  <c r="N92" i="42"/>
  <c r="M92" i="42"/>
  <c r="L92" i="42"/>
  <c r="K92" i="42"/>
  <c r="J92" i="42"/>
  <c r="I92" i="42"/>
  <c r="H92" i="42"/>
  <c r="G92" i="42"/>
  <c r="F92" i="42"/>
  <c r="E92" i="42"/>
  <c r="P91" i="42"/>
  <c r="O91" i="42"/>
  <c r="N91" i="42"/>
  <c r="M91" i="42"/>
  <c r="L91" i="42"/>
  <c r="K91" i="42"/>
  <c r="J91" i="42"/>
  <c r="I91" i="42"/>
  <c r="H91" i="42"/>
  <c r="G91" i="42"/>
  <c r="F91" i="42"/>
  <c r="E91" i="42"/>
  <c r="P90" i="42"/>
  <c r="O90" i="42"/>
  <c r="N90" i="42"/>
  <c r="M90" i="42"/>
  <c r="L90" i="42"/>
  <c r="K90" i="42"/>
  <c r="J90" i="42"/>
  <c r="I90" i="42"/>
  <c r="H90" i="42"/>
  <c r="G90" i="42"/>
  <c r="F90" i="42"/>
  <c r="E90" i="42"/>
  <c r="P88" i="42"/>
  <c r="O88" i="42"/>
  <c r="N88" i="42"/>
  <c r="M88" i="42"/>
  <c r="L88" i="42"/>
  <c r="K88" i="42"/>
  <c r="J88" i="42"/>
  <c r="I88" i="42"/>
  <c r="H88" i="42"/>
  <c r="G88" i="42"/>
  <c r="F88" i="42"/>
  <c r="E88" i="42"/>
  <c r="P87" i="42"/>
  <c r="O87" i="42"/>
  <c r="N87" i="42"/>
  <c r="M87" i="42"/>
  <c r="L87" i="42"/>
  <c r="K87" i="42"/>
  <c r="J87" i="42"/>
  <c r="I87" i="42"/>
  <c r="H87" i="42"/>
  <c r="G87" i="42"/>
  <c r="F87" i="42"/>
  <c r="E87" i="42"/>
  <c r="T84" i="42"/>
  <c r="S84" i="42"/>
  <c r="R84" i="42"/>
  <c r="Q84" i="42"/>
  <c r="U84" i="42"/>
  <c r="P83" i="42"/>
  <c r="O83" i="42"/>
  <c r="N83" i="42"/>
  <c r="M83" i="42"/>
  <c r="L83" i="42"/>
  <c r="K83" i="42"/>
  <c r="J83" i="42"/>
  <c r="I83" i="42"/>
  <c r="H83" i="42"/>
  <c r="G83" i="42"/>
  <c r="F83" i="42"/>
  <c r="E83" i="42"/>
  <c r="P82" i="42"/>
  <c r="O82" i="42"/>
  <c r="N82" i="42"/>
  <c r="M82" i="42"/>
  <c r="L82" i="42"/>
  <c r="K82" i="42"/>
  <c r="J82" i="42"/>
  <c r="I82" i="42"/>
  <c r="H82" i="42"/>
  <c r="G82" i="42"/>
  <c r="F82" i="42"/>
  <c r="E82" i="42"/>
  <c r="P81" i="42"/>
  <c r="O81" i="42"/>
  <c r="N81" i="42"/>
  <c r="M81" i="42"/>
  <c r="L81" i="42"/>
  <c r="K81" i="42"/>
  <c r="J81" i="42"/>
  <c r="I81" i="42"/>
  <c r="H81" i="42"/>
  <c r="G81" i="42"/>
  <c r="F81" i="42"/>
  <c r="E81" i="42"/>
  <c r="P80" i="42"/>
  <c r="O80" i="42"/>
  <c r="N80" i="42"/>
  <c r="M80" i="42"/>
  <c r="L80" i="42"/>
  <c r="K80" i="42"/>
  <c r="J80" i="42"/>
  <c r="I80" i="42"/>
  <c r="H80" i="42"/>
  <c r="G80" i="42"/>
  <c r="F80" i="42"/>
  <c r="E80" i="42"/>
  <c r="P79" i="42"/>
  <c r="O79" i="42"/>
  <c r="N79" i="42"/>
  <c r="M79" i="42"/>
  <c r="L79" i="42"/>
  <c r="K79" i="42"/>
  <c r="J79" i="42"/>
  <c r="I79" i="42"/>
  <c r="H79" i="42"/>
  <c r="G79" i="42"/>
  <c r="F79" i="42"/>
  <c r="E79" i="42"/>
  <c r="P78" i="42"/>
  <c r="O78" i="42"/>
  <c r="N78" i="42"/>
  <c r="M78" i="42"/>
  <c r="L78" i="42"/>
  <c r="K78" i="42"/>
  <c r="J78" i="42"/>
  <c r="I78" i="42"/>
  <c r="H78" i="42"/>
  <c r="G78" i="42"/>
  <c r="F78" i="42"/>
  <c r="E78" i="42"/>
  <c r="P77" i="42"/>
  <c r="O77" i="42"/>
  <c r="N77" i="42"/>
  <c r="M77" i="42"/>
  <c r="M76" i="42" s="1"/>
  <c r="L77" i="42"/>
  <c r="K77" i="42"/>
  <c r="J77" i="42"/>
  <c r="I77" i="42"/>
  <c r="I76" i="42"/>
  <c r="H77" i="42"/>
  <c r="G77" i="42"/>
  <c r="F77" i="42"/>
  <c r="E77" i="42"/>
  <c r="N76" i="42"/>
  <c r="J76" i="42"/>
  <c r="F76" i="42"/>
  <c r="P75" i="42"/>
  <c r="O75" i="42"/>
  <c r="N75" i="42"/>
  <c r="M75" i="42"/>
  <c r="L75" i="42"/>
  <c r="K75" i="42"/>
  <c r="J75" i="42"/>
  <c r="I75" i="42"/>
  <c r="H75" i="42"/>
  <c r="G75" i="42"/>
  <c r="F75" i="42"/>
  <c r="E75" i="42"/>
  <c r="P74" i="42"/>
  <c r="O74" i="42"/>
  <c r="N74" i="42"/>
  <c r="M74" i="42"/>
  <c r="L74" i="42"/>
  <c r="K74" i="42"/>
  <c r="J74" i="42"/>
  <c r="I74" i="42"/>
  <c r="H74" i="42"/>
  <c r="G74" i="42"/>
  <c r="F74" i="42"/>
  <c r="E74" i="42"/>
  <c r="P73" i="42"/>
  <c r="O73" i="42"/>
  <c r="N73" i="42"/>
  <c r="M73" i="42"/>
  <c r="L73" i="42"/>
  <c r="K73" i="42"/>
  <c r="J73" i="42"/>
  <c r="I73" i="42"/>
  <c r="H73" i="42"/>
  <c r="G73" i="42"/>
  <c r="F73" i="42"/>
  <c r="E73" i="42"/>
  <c r="P72" i="42"/>
  <c r="O72" i="42"/>
  <c r="N72" i="42"/>
  <c r="M72" i="42"/>
  <c r="L72" i="42"/>
  <c r="K72" i="42"/>
  <c r="J72" i="42"/>
  <c r="I72" i="42"/>
  <c r="H72" i="42"/>
  <c r="G72" i="42"/>
  <c r="F72" i="42"/>
  <c r="E72" i="42"/>
  <c r="P71" i="42"/>
  <c r="O71" i="42"/>
  <c r="N71" i="42"/>
  <c r="M71" i="42"/>
  <c r="L71" i="42"/>
  <c r="K71" i="42"/>
  <c r="J71" i="42"/>
  <c r="I71" i="42"/>
  <c r="H71" i="42"/>
  <c r="G71" i="42"/>
  <c r="F71" i="42"/>
  <c r="E71" i="42"/>
  <c r="P70" i="42"/>
  <c r="O70" i="42"/>
  <c r="N70" i="42"/>
  <c r="M70" i="42"/>
  <c r="L70" i="42"/>
  <c r="K70" i="42"/>
  <c r="J70" i="42"/>
  <c r="I70" i="42"/>
  <c r="H70" i="42"/>
  <c r="G70" i="42"/>
  <c r="F70" i="42"/>
  <c r="E70" i="42"/>
  <c r="T66" i="42"/>
  <c r="S66" i="42"/>
  <c r="R66" i="42"/>
  <c r="Q66" i="42"/>
  <c r="P63" i="42"/>
  <c r="O63" i="42"/>
  <c r="N63" i="42"/>
  <c r="M63" i="42"/>
  <c r="L63" i="42"/>
  <c r="K63" i="42"/>
  <c r="J63" i="42"/>
  <c r="I63" i="42"/>
  <c r="H63" i="42"/>
  <c r="G63" i="42"/>
  <c r="F63" i="42"/>
  <c r="E63" i="42"/>
  <c r="P62" i="42"/>
  <c r="O62" i="42"/>
  <c r="N62" i="42"/>
  <c r="M62" i="42"/>
  <c r="L62" i="42"/>
  <c r="K62" i="42"/>
  <c r="J62" i="42"/>
  <c r="I62" i="42"/>
  <c r="H62" i="42"/>
  <c r="G62" i="42"/>
  <c r="F62" i="42"/>
  <c r="E62" i="42"/>
  <c r="P61" i="42"/>
  <c r="O61" i="42"/>
  <c r="N61" i="42"/>
  <c r="M61" i="42"/>
  <c r="L61" i="42"/>
  <c r="K61" i="42"/>
  <c r="J61" i="42"/>
  <c r="I61" i="42"/>
  <c r="H61" i="42"/>
  <c r="G61" i="42"/>
  <c r="F61" i="42"/>
  <c r="E61" i="42"/>
  <c r="T52" i="42"/>
  <c r="S52" i="42"/>
  <c r="R52" i="42"/>
  <c r="Q52" i="42"/>
  <c r="P49" i="42"/>
  <c r="O49" i="42"/>
  <c r="N49" i="42"/>
  <c r="M49" i="42"/>
  <c r="L49" i="42"/>
  <c r="K49" i="42"/>
  <c r="J49" i="42"/>
  <c r="I49" i="42"/>
  <c r="H49" i="42"/>
  <c r="G49" i="42"/>
  <c r="F49" i="42"/>
  <c r="E49" i="42"/>
  <c r="P47" i="42"/>
  <c r="O47" i="42"/>
  <c r="N47" i="42"/>
  <c r="M47" i="42"/>
  <c r="L47" i="42"/>
  <c r="K47" i="42"/>
  <c r="J47" i="42"/>
  <c r="I47" i="42"/>
  <c r="H47" i="42"/>
  <c r="G47" i="42"/>
  <c r="F47" i="42"/>
  <c r="E47" i="42"/>
  <c r="P46" i="42"/>
  <c r="O46" i="42"/>
  <c r="N46" i="42"/>
  <c r="M46" i="42"/>
  <c r="L46" i="42"/>
  <c r="K46" i="42"/>
  <c r="J46" i="42"/>
  <c r="I46" i="42"/>
  <c r="H46" i="42"/>
  <c r="G46" i="42"/>
  <c r="F46" i="42"/>
  <c r="E46" i="42"/>
  <c r="R46" i="42" s="1"/>
  <c r="P45" i="42"/>
  <c r="O45" i="42"/>
  <c r="O44" i="42" s="1"/>
  <c r="N45" i="42"/>
  <c r="M45" i="42"/>
  <c r="M44" i="42"/>
  <c r="L45" i="42"/>
  <c r="K45" i="42"/>
  <c r="J45" i="42"/>
  <c r="J44" i="42" s="1"/>
  <c r="I45" i="42"/>
  <c r="I44" i="42" s="1"/>
  <c r="H45" i="42"/>
  <c r="G45" i="42"/>
  <c r="F45" i="42"/>
  <c r="E45" i="42"/>
  <c r="P39" i="42"/>
  <c r="O39" i="42"/>
  <c r="N39" i="42"/>
  <c r="M39" i="42"/>
  <c r="L39" i="42"/>
  <c r="K39" i="42"/>
  <c r="J39" i="42"/>
  <c r="I39" i="42"/>
  <c r="H39" i="42"/>
  <c r="G39" i="42"/>
  <c r="G37" i="42" s="1"/>
  <c r="F39" i="42"/>
  <c r="E39" i="42"/>
  <c r="P38" i="42"/>
  <c r="O38" i="42"/>
  <c r="O37" i="42" s="1"/>
  <c r="N38" i="42"/>
  <c r="N37" i="42" s="1"/>
  <c r="M38" i="42"/>
  <c r="M37" i="42"/>
  <c r="L38" i="42"/>
  <c r="L37" i="42" s="1"/>
  <c r="K38" i="42"/>
  <c r="J38" i="42"/>
  <c r="I38" i="42"/>
  <c r="I37" i="42" s="1"/>
  <c r="H38" i="42"/>
  <c r="G38" i="42"/>
  <c r="F38" i="42"/>
  <c r="E38" i="42"/>
  <c r="P37" i="42"/>
  <c r="H37" i="42"/>
  <c r="P35" i="42"/>
  <c r="O35" i="42"/>
  <c r="N35" i="42"/>
  <c r="M35" i="42"/>
  <c r="L35" i="42"/>
  <c r="K35" i="42"/>
  <c r="J35" i="42"/>
  <c r="I35" i="42"/>
  <c r="H35" i="42"/>
  <c r="G35" i="42"/>
  <c r="F35" i="42"/>
  <c r="E35" i="42"/>
  <c r="T32" i="42"/>
  <c r="S32" i="42"/>
  <c r="R32" i="42"/>
  <c r="Q32" i="42"/>
  <c r="P10" i="42"/>
  <c r="O10" i="42"/>
  <c r="N10" i="42"/>
  <c r="M10" i="42"/>
  <c r="L10" i="42"/>
  <c r="K10" i="42"/>
  <c r="J10" i="42"/>
  <c r="I10" i="42"/>
  <c r="H10" i="42"/>
  <c r="G10" i="42"/>
  <c r="F10" i="42"/>
  <c r="E10" i="42"/>
  <c r="Q106" i="41"/>
  <c r="Q105" i="41"/>
  <c r="Q104" i="41"/>
  <c r="Q103" i="41"/>
  <c r="Q101" i="41"/>
  <c r="Q100" i="41"/>
  <c r="Q99" i="41"/>
  <c r="Q96" i="41"/>
  <c r="Q95" i="41"/>
  <c r="Q94" i="41"/>
  <c r="Q92" i="41"/>
  <c r="Q91" i="41"/>
  <c r="P88" i="41"/>
  <c r="O88" i="41"/>
  <c r="N88" i="41"/>
  <c r="M88" i="41"/>
  <c r="L88" i="41"/>
  <c r="K88" i="41"/>
  <c r="J88" i="41"/>
  <c r="I88" i="41"/>
  <c r="H88" i="41"/>
  <c r="G88" i="41"/>
  <c r="F88" i="41"/>
  <c r="E88" i="41"/>
  <c r="P87" i="41"/>
  <c r="O87" i="41"/>
  <c r="N87" i="41"/>
  <c r="M87" i="41"/>
  <c r="L87" i="41"/>
  <c r="K87" i="41"/>
  <c r="J87" i="41"/>
  <c r="I87" i="41"/>
  <c r="H87" i="41"/>
  <c r="G87" i="41"/>
  <c r="F87" i="41"/>
  <c r="E87" i="41"/>
  <c r="P86" i="41"/>
  <c r="O86" i="41"/>
  <c r="N86" i="41"/>
  <c r="M86" i="41"/>
  <c r="L86" i="41"/>
  <c r="K86" i="41"/>
  <c r="J86" i="41"/>
  <c r="I86" i="41"/>
  <c r="H86" i="41"/>
  <c r="G86" i="41"/>
  <c r="F86" i="41"/>
  <c r="E86" i="41"/>
  <c r="Q86" i="41" s="1"/>
  <c r="P84" i="41"/>
  <c r="O84" i="41"/>
  <c r="N84" i="41"/>
  <c r="M84" i="41"/>
  <c r="L84" i="41"/>
  <c r="K84" i="41"/>
  <c r="J84" i="41"/>
  <c r="I84" i="41"/>
  <c r="H84" i="41"/>
  <c r="G84" i="41"/>
  <c r="F84" i="41"/>
  <c r="E84" i="41"/>
  <c r="P83" i="41"/>
  <c r="O83" i="41"/>
  <c r="N83" i="41"/>
  <c r="M83" i="41"/>
  <c r="L83" i="41"/>
  <c r="K83" i="41"/>
  <c r="J83" i="41"/>
  <c r="I83" i="41"/>
  <c r="H83" i="41"/>
  <c r="G83" i="41"/>
  <c r="F83" i="41"/>
  <c r="E83" i="41"/>
  <c r="Q83" i="41" s="1"/>
  <c r="P82" i="41"/>
  <c r="O82" i="41"/>
  <c r="N82" i="41"/>
  <c r="M82" i="41"/>
  <c r="L82" i="41"/>
  <c r="K82" i="41"/>
  <c r="J82" i="41"/>
  <c r="I82" i="41"/>
  <c r="H82" i="41"/>
  <c r="G82" i="41"/>
  <c r="F82" i="41"/>
  <c r="E82" i="41"/>
  <c r="Q80" i="41"/>
  <c r="Q79" i="41"/>
  <c r="Q78" i="41"/>
  <c r="Q77" i="41"/>
  <c r="Q76" i="41"/>
  <c r="Q75" i="41"/>
  <c r="Q74" i="41"/>
  <c r="Q73" i="41"/>
  <c r="P72" i="41"/>
  <c r="O72" i="41"/>
  <c r="N72" i="41"/>
  <c r="M72" i="41"/>
  <c r="L72" i="41"/>
  <c r="K72" i="41"/>
  <c r="J72" i="41"/>
  <c r="I72" i="41"/>
  <c r="H72" i="41"/>
  <c r="G72" i="41"/>
  <c r="F72" i="41"/>
  <c r="E72" i="41"/>
  <c r="Q71" i="41"/>
  <c r="Q70" i="41"/>
  <c r="Q69" i="41"/>
  <c r="Q68" i="41"/>
  <c r="Q67" i="41"/>
  <c r="Q66" i="41"/>
  <c r="P63" i="41"/>
  <c r="O63" i="41"/>
  <c r="N63" i="41"/>
  <c r="M63" i="41"/>
  <c r="L63" i="41"/>
  <c r="K63" i="41"/>
  <c r="J63" i="41"/>
  <c r="I63" i="41"/>
  <c r="H63" i="41"/>
  <c r="G63" i="41"/>
  <c r="F63" i="41"/>
  <c r="E63" i="41"/>
  <c r="P62" i="41"/>
  <c r="O62" i="41"/>
  <c r="N62" i="41"/>
  <c r="M62" i="41"/>
  <c r="L62" i="41"/>
  <c r="K62" i="41"/>
  <c r="J62" i="41"/>
  <c r="I62" i="41"/>
  <c r="H62" i="41"/>
  <c r="G62" i="41"/>
  <c r="F62" i="41"/>
  <c r="E62" i="41"/>
  <c r="P61" i="41"/>
  <c r="O61" i="41"/>
  <c r="N61" i="41"/>
  <c r="M61" i="41"/>
  <c r="L61" i="41"/>
  <c r="K61" i="41"/>
  <c r="J61" i="41"/>
  <c r="I61" i="41"/>
  <c r="H61" i="41"/>
  <c r="G61" i="41"/>
  <c r="F61" i="41"/>
  <c r="E61" i="41"/>
  <c r="P60" i="41"/>
  <c r="O60" i="41"/>
  <c r="N60" i="41"/>
  <c r="M60" i="41"/>
  <c r="L60" i="41"/>
  <c r="K60" i="41"/>
  <c r="J60" i="41"/>
  <c r="I60" i="41"/>
  <c r="H60" i="41"/>
  <c r="G60" i="41"/>
  <c r="F60" i="41"/>
  <c r="E60" i="41"/>
  <c r="P59" i="41"/>
  <c r="O59" i="41"/>
  <c r="N59" i="41"/>
  <c r="M59" i="41"/>
  <c r="L59" i="41"/>
  <c r="K59" i="41"/>
  <c r="J59" i="41"/>
  <c r="I59" i="41"/>
  <c r="H59" i="41"/>
  <c r="G59" i="41"/>
  <c r="Q59" i="41" s="1"/>
  <c r="F59" i="41"/>
  <c r="E59" i="41"/>
  <c r="P58" i="41"/>
  <c r="O58" i="41"/>
  <c r="N58" i="41"/>
  <c r="M58" i="41"/>
  <c r="L58" i="41"/>
  <c r="K58" i="41"/>
  <c r="J58" i="41"/>
  <c r="I58" i="41"/>
  <c r="H58" i="41"/>
  <c r="G58" i="41"/>
  <c r="F58" i="41"/>
  <c r="E58" i="41"/>
  <c r="Q55" i="41"/>
  <c r="Q54" i="41"/>
  <c r="Q53" i="41"/>
  <c r="Q52" i="41"/>
  <c r="Q51" i="41"/>
  <c r="Q50" i="41"/>
  <c r="D48" i="41"/>
  <c r="D47" i="41"/>
  <c r="C48" i="41"/>
  <c r="Q46" i="41"/>
  <c r="Q45" i="41"/>
  <c r="P44" i="41"/>
  <c r="O44" i="41"/>
  <c r="N44" i="41"/>
  <c r="M44" i="41"/>
  <c r="L44" i="41"/>
  <c r="K44" i="41"/>
  <c r="J44" i="41"/>
  <c r="I44" i="41"/>
  <c r="H44" i="41"/>
  <c r="G44" i="41"/>
  <c r="F44" i="41"/>
  <c r="E44" i="41"/>
  <c r="Q43" i="41"/>
  <c r="Q42" i="41"/>
  <c r="P41" i="41"/>
  <c r="O41" i="41"/>
  <c r="N41" i="41"/>
  <c r="M41" i="41"/>
  <c r="L41" i="41"/>
  <c r="K41" i="41"/>
  <c r="J41" i="41"/>
  <c r="I41" i="41"/>
  <c r="H41" i="41"/>
  <c r="G41" i="41"/>
  <c r="F41" i="41"/>
  <c r="E41" i="41"/>
  <c r="Q40" i="41"/>
  <c r="Q39" i="41"/>
  <c r="Q38" i="41"/>
  <c r="P37" i="41"/>
  <c r="O37" i="41"/>
  <c r="N37" i="41"/>
  <c r="M37" i="41"/>
  <c r="L37" i="41"/>
  <c r="K37" i="41"/>
  <c r="J37" i="41"/>
  <c r="I37" i="41"/>
  <c r="H37" i="41"/>
  <c r="G37" i="41"/>
  <c r="F37" i="41"/>
  <c r="E37" i="41"/>
  <c r="Q36" i="41"/>
  <c r="Q35" i="41"/>
  <c r="Q34" i="41"/>
  <c r="P33" i="41"/>
  <c r="O33" i="41"/>
  <c r="N33" i="41"/>
  <c r="M33" i="41"/>
  <c r="L33" i="41"/>
  <c r="K33" i="41"/>
  <c r="J33" i="41"/>
  <c r="I33" i="41"/>
  <c r="H33" i="41"/>
  <c r="G33" i="41"/>
  <c r="F33" i="41"/>
  <c r="E33" i="41"/>
  <c r="Q32" i="41"/>
  <c r="Q31" i="41"/>
  <c r="Q30" i="41"/>
  <c r="P29" i="41"/>
  <c r="O29" i="41"/>
  <c r="N29" i="41"/>
  <c r="M29" i="41"/>
  <c r="L29" i="41"/>
  <c r="K29" i="41"/>
  <c r="J29" i="41"/>
  <c r="I29" i="41"/>
  <c r="H29" i="41"/>
  <c r="G29" i="41"/>
  <c r="F29" i="41"/>
  <c r="Q29" i="41"/>
  <c r="E29" i="41"/>
  <c r="Q28" i="41"/>
  <c r="Q27" i="41"/>
  <c r="P26" i="41"/>
  <c r="O26" i="41"/>
  <c r="N26" i="41"/>
  <c r="M26" i="41"/>
  <c r="L26" i="41"/>
  <c r="K26" i="41"/>
  <c r="J26" i="41"/>
  <c r="I26" i="41"/>
  <c r="H26" i="41"/>
  <c r="G26" i="41"/>
  <c r="F26" i="41"/>
  <c r="E26" i="41"/>
  <c r="Q25" i="41"/>
  <c r="Q24" i="41"/>
  <c r="P23" i="41"/>
  <c r="O23" i="41"/>
  <c r="N23" i="41"/>
  <c r="M23" i="41"/>
  <c r="L23" i="41"/>
  <c r="K23" i="41"/>
  <c r="J23" i="41"/>
  <c r="I23" i="41"/>
  <c r="H23" i="41"/>
  <c r="G23" i="41"/>
  <c r="F23" i="41"/>
  <c r="E23" i="41"/>
  <c r="Q22" i="41"/>
  <c r="Q18" i="41"/>
  <c r="P17" i="41"/>
  <c r="O17" i="41"/>
  <c r="N17" i="41"/>
  <c r="M17" i="41"/>
  <c r="L17" i="41"/>
  <c r="K17" i="41"/>
  <c r="J17" i="41"/>
  <c r="I17" i="41"/>
  <c r="H17" i="41"/>
  <c r="G17" i="41"/>
  <c r="F17" i="41"/>
  <c r="E17" i="41"/>
  <c r="P16" i="41"/>
  <c r="P15" i="41" s="1"/>
  <c r="O16" i="41"/>
  <c r="O15" i="41" s="1"/>
  <c r="N16" i="41"/>
  <c r="L16" i="41"/>
  <c r="K16" i="41"/>
  <c r="J16" i="41"/>
  <c r="I16" i="41"/>
  <c r="H16" i="41"/>
  <c r="G16" i="41"/>
  <c r="G15" i="41" s="1"/>
  <c r="F16" i="41"/>
  <c r="E16" i="41"/>
  <c r="Q14" i="41"/>
  <c r="P12" i="41"/>
  <c r="O12" i="41"/>
  <c r="N12" i="41"/>
  <c r="M12" i="41"/>
  <c r="L12" i="41"/>
  <c r="K12" i="41"/>
  <c r="J12" i="41"/>
  <c r="I12" i="41"/>
  <c r="G12" i="41"/>
  <c r="F12" i="41"/>
  <c r="E12" i="41"/>
  <c r="P10" i="41"/>
  <c r="O10" i="41"/>
  <c r="N10" i="41"/>
  <c r="M10" i="41"/>
  <c r="L10" i="41"/>
  <c r="K10" i="41"/>
  <c r="J10" i="41"/>
  <c r="I10" i="41"/>
  <c r="H10" i="41"/>
  <c r="G10" i="41"/>
  <c r="F10" i="41"/>
  <c r="E10" i="41"/>
  <c r="Q6" i="41"/>
  <c r="Q29" i="40"/>
  <c r="P29" i="40"/>
  <c r="O29" i="40"/>
  <c r="N29" i="40"/>
  <c r="M29" i="40"/>
  <c r="L29" i="40"/>
  <c r="K29" i="40"/>
  <c r="J29" i="40"/>
  <c r="I29" i="40"/>
  <c r="H29" i="40"/>
  <c r="G29" i="40"/>
  <c r="F29" i="40"/>
  <c r="E29" i="40"/>
  <c r="Q26" i="40"/>
  <c r="P26" i="40"/>
  <c r="O26" i="40"/>
  <c r="O19" i="40"/>
  <c r="N26" i="40"/>
  <c r="M26" i="40"/>
  <c r="L26" i="40"/>
  <c r="K26" i="40"/>
  <c r="J26" i="40"/>
  <c r="I26" i="40"/>
  <c r="H26" i="40"/>
  <c r="G26" i="40"/>
  <c r="F26" i="40"/>
  <c r="E26" i="40"/>
  <c r="E19" i="40" s="1"/>
  <c r="Q23" i="40"/>
  <c r="P23" i="40"/>
  <c r="O23" i="40"/>
  <c r="N23" i="40"/>
  <c r="M23" i="40"/>
  <c r="L23" i="40"/>
  <c r="K23" i="40"/>
  <c r="J23" i="40"/>
  <c r="I23" i="40"/>
  <c r="H23" i="40"/>
  <c r="H19" i="40"/>
  <c r="G23" i="40"/>
  <c r="F23" i="40"/>
  <c r="E23" i="40"/>
  <c r="Q20" i="40"/>
  <c r="Q19" i="40" s="1"/>
  <c r="P20" i="40"/>
  <c r="O20" i="40"/>
  <c r="N20" i="40"/>
  <c r="N19" i="40" s="1"/>
  <c r="M20" i="40"/>
  <c r="M19" i="40" s="1"/>
  <c r="L20" i="40"/>
  <c r="L19" i="40" s="1"/>
  <c r="K20" i="40"/>
  <c r="J20" i="40"/>
  <c r="I20" i="40"/>
  <c r="I19" i="40"/>
  <c r="H20" i="40"/>
  <c r="G20" i="40"/>
  <c r="G19" i="40" s="1"/>
  <c r="F20" i="40"/>
  <c r="E20" i="40"/>
  <c r="Q16" i="40"/>
  <c r="P16" i="40"/>
  <c r="O16" i="40"/>
  <c r="N16" i="40"/>
  <c r="M16" i="40"/>
  <c r="L16" i="40"/>
  <c r="K16" i="40"/>
  <c r="J16" i="40"/>
  <c r="I16" i="40"/>
  <c r="H16" i="40"/>
  <c r="G16" i="40"/>
  <c r="F16" i="40"/>
  <c r="E16" i="40"/>
  <c r="Q7" i="40"/>
  <c r="P7" i="40"/>
  <c r="O7" i="40"/>
  <c r="N7" i="40"/>
  <c r="M7" i="40"/>
  <c r="L7" i="40"/>
  <c r="K7" i="40"/>
  <c r="J7" i="40"/>
  <c r="I7" i="40"/>
  <c r="H7" i="40"/>
  <c r="G7" i="40"/>
  <c r="F7" i="40"/>
  <c r="E7" i="40"/>
  <c r="Q74" i="39"/>
  <c r="Q70" i="39"/>
  <c r="Q67" i="39"/>
  <c r="Q64" i="39"/>
  <c r="Q63" i="39"/>
  <c r="Q57" i="39"/>
  <c r="Q48" i="39"/>
  <c r="Q47" i="39"/>
  <c r="Q46" i="39"/>
  <c r="P45" i="39"/>
  <c r="P39" i="39" s="1"/>
  <c r="O45" i="39"/>
  <c r="N45" i="39"/>
  <c r="N39" i="39"/>
  <c r="M45" i="39"/>
  <c r="L45" i="39"/>
  <c r="K45" i="39"/>
  <c r="K39" i="39"/>
  <c r="J45" i="39"/>
  <c r="I45" i="39"/>
  <c r="H45" i="39"/>
  <c r="G45" i="39"/>
  <c r="G39" i="39" s="1"/>
  <c r="F45" i="39"/>
  <c r="E45" i="39"/>
  <c r="Q44" i="39"/>
  <c r="Q43" i="39"/>
  <c r="Q42" i="39"/>
  <c r="Q41" i="39"/>
  <c r="P40" i="39"/>
  <c r="O40" i="39"/>
  <c r="N40" i="39"/>
  <c r="M40" i="39"/>
  <c r="M16" i="42"/>
  <c r="L40" i="39"/>
  <c r="L16" i="42" s="1"/>
  <c r="K40" i="39"/>
  <c r="K16" i="42"/>
  <c r="J40" i="39"/>
  <c r="J16" i="42" s="1"/>
  <c r="I40" i="39"/>
  <c r="I39" i="39"/>
  <c r="H40" i="39"/>
  <c r="G40" i="39"/>
  <c r="F40" i="39"/>
  <c r="E40" i="39"/>
  <c r="L39" i="39"/>
  <c r="Q36" i="39"/>
  <c r="Q35" i="39"/>
  <c r="Q34" i="39"/>
  <c r="Q30" i="39"/>
  <c r="Q28" i="39"/>
  <c r="Q26" i="39"/>
  <c r="Q25" i="39"/>
  <c r="Q23" i="39"/>
  <c r="Q21" i="39"/>
  <c r="Q17" i="39"/>
  <c r="Q14" i="39"/>
  <c r="Q13" i="39"/>
  <c r="Q11" i="39"/>
  <c r="N30" i="30"/>
  <c r="M30" i="30"/>
  <c r="L30" i="30"/>
  <c r="K30" i="30"/>
  <c r="J30" i="30"/>
  <c r="I30" i="30"/>
  <c r="H30" i="30"/>
  <c r="G30" i="30"/>
  <c r="F30" i="30"/>
  <c r="E30" i="30"/>
  <c r="D30" i="30"/>
  <c r="C30" i="30"/>
  <c r="B30" i="30"/>
  <c r="Z28" i="30"/>
  <c r="Y28" i="30"/>
  <c r="X28" i="30"/>
  <c r="W28" i="30"/>
  <c r="V28" i="30"/>
  <c r="U28" i="30"/>
  <c r="T28" i="30"/>
  <c r="S28" i="30"/>
  <c r="R28" i="30"/>
  <c r="Q28" i="30"/>
  <c r="P28" i="30"/>
  <c r="O28" i="30"/>
  <c r="Z27" i="30"/>
  <c r="Y27" i="30"/>
  <c r="X27" i="30"/>
  <c r="W27" i="30"/>
  <c r="V27" i="30"/>
  <c r="U27" i="30"/>
  <c r="T27" i="30"/>
  <c r="S27" i="30"/>
  <c r="R27" i="30"/>
  <c r="Q27" i="30"/>
  <c r="P27" i="30"/>
  <c r="O27" i="30"/>
  <c r="Z26" i="30"/>
  <c r="Y26" i="30"/>
  <c r="X26" i="30"/>
  <c r="W26" i="30"/>
  <c r="V26" i="30"/>
  <c r="U26" i="30"/>
  <c r="T26" i="30"/>
  <c r="S26" i="30"/>
  <c r="R26" i="30"/>
  <c r="Q26" i="30"/>
  <c r="P26" i="30"/>
  <c r="O26" i="30"/>
  <c r="Z25" i="30"/>
  <c r="Y25" i="30"/>
  <c r="X25" i="30"/>
  <c r="W25" i="30"/>
  <c r="V25" i="30"/>
  <c r="U25" i="30"/>
  <c r="T25" i="30"/>
  <c r="S25" i="30"/>
  <c r="R25" i="30"/>
  <c r="Q25" i="30"/>
  <c r="P25" i="30"/>
  <c r="O25" i="30"/>
  <c r="Z24" i="30"/>
  <c r="Y24" i="30"/>
  <c r="X24" i="30"/>
  <c r="W24" i="30"/>
  <c r="V24" i="30"/>
  <c r="U24" i="30"/>
  <c r="T24" i="30"/>
  <c r="S24" i="30"/>
  <c r="R24" i="30"/>
  <c r="Q24" i="30"/>
  <c r="P24" i="30"/>
  <c r="O24" i="30"/>
  <c r="Z23" i="30"/>
  <c r="Y23" i="30"/>
  <c r="X23" i="30"/>
  <c r="W23" i="30"/>
  <c r="V23" i="30"/>
  <c r="U23" i="30"/>
  <c r="T23" i="30"/>
  <c r="S23" i="30"/>
  <c r="R23" i="30"/>
  <c r="Q23" i="30"/>
  <c r="P23" i="30"/>
  <c r="O23" i="30"/>
  <c r="Z22" i="30"/>
  <c r="Y22" i="30"/>
  <c r="X22" i="30"/>
  <c r="W22" i="30"/>
  <c r="V22" i="30"/>
  <c r="U22" i="30"/>
  <c r="T22" i="30"/>
  <c r="S22" i="30"/>
  <c r="R22" i="30"/>
  <c r="Q22" i="30"/>
  <c r="P22" i="30"/>
  <c r="O22" i="30"/>
  <c r="Z21" i="30"/>
  <c r="Y21" i="30"/>
  <c r="X21" i="30"/>
  <c r="W21" i="30"/>
  <c r="V21" i="30"/>
  <c r="U21" i="30"/>
  <c r="T21" i="30"/>
  <c r="S21" i="30"/>
  <c r="R21" i="30"/>
  <c r="Q21" i="30"/>
  <c r="P21" i="30"/>
  <c r="O21" i="30"/>
  <c r="Z20" i="30"/>
  <c r="Y20" i="30"/>
  <c r="X20" i="30"/>
  <c r="W20" i="30"/>
  <c r="V20" i="30"/>
  <c r="U20" i="30"/>
  <c r="T20" i="30"/>
  <c r="S20" i="30"/>
  <c r="R20" i="30"/>
  <c r="Q20" i="30"/>
  <c r="P20" i="30"/>
  <c r="O20" i="30"/>
  <c r="Y5" i="30"/>
  <c r="Y13" i="30"/>
  <c r="U5" i="30"/>
  <c r="U13" i="30"/>
  <c r="U18" i="30" s="1"/>
  <c r="T5" i="30"/>
  <c r="T13" i="30"/>
  <c r="T18" i="30" s="1"/>
  <c r="Z15" i="30"/>
  <c r="Y15" i="30"/>
  <c r="X15" i="30"/>
  <c r="W15" i="30"/>
  <c r="V15" i="30"/>
  <c r="U15" i="30"/>
  <c r="T15" i="30"/>
  <c r="S15" i="30"/>
  <c r="R15" i="30"/>
  <c r="Q15" i="30"/>
  <c r="P15" i="30"/>
  <c r="O15" i="30"/>
  <c r="Z14" i="30"/>
  <c r="Y14" i="30"/>
  <c r="X14" i="30"/>
  <c r="W14" i="30"/>
  <c r="V14" i="30"/>
  <c r="U14" i="30"/>
  <c r="T14" i="30"/>
  <c r="S14" i="30"/>
  <c r="R14" i="30"/>
  <c r="Q14" i="30"/>
  <c r="P14" i="30"/>
  <c r="O14" i="30"/>
  <c r="Z13" i="30"/>
  <c r="X13" i="30"/>
  <c r="W13" i="30"/>
  <c r="W18" i="30"/>
  <c r="V13" i="30"/>
  <c r="S13" i="30"/>
  <c r="R13" i="30"/>
  <c r="Q13" i="30"/>
  <c r="P13" i="30"/>
  <c r="O13" i="30"/>
  <c r="Z12" i="30"/>
  <c r="Y12" i="30"/>
  <c r="X12" i="30"/>
  <c r="W12" i="30"/>
  <c r="V12" i="30"/>
  <c r="U12" i="30"/>
  <c r="T12" i="30"/>
  <c r="S12" i="30"/>
  <c r="R12" i="30"/>
  <c r="Q12" i="30"/>
  <c r="P12" i="30"/>
  <c r="O12" i="30"/>
  <c r="Z11" i="30"/>
  <c r="Y11" i="30"/>
  <c r="X11" i="30"/>
  <c r="W11" i="30"/>
  <c r="V11" i="30"/>
  <c r="U11" i="30"/>
  <c r="T11" i="30"/>
  <c r="S11" i="30"/>
  <c r="R11" i="30"/>
  <c r="Q11" i="30"/>
  <c r="P11" i="30"/>
  <c r="O11" i="30"/>
  <c r="Z10" i="30"/>
  <c r="Y10" i="30"/>
  <c r="X10" i="30"/>
  <c r="W10" i="30"/>
  <c r="V10" i="30"/>
  <c r="U10" i="30"/>
  <c r="T10" i="30"/>
  <c r="S10" i="30"/>
  <c r="R10" i="30"/>
  <c r="Q10" i="30"/>
  <c r="P10" i="30"/>
  <c r="O10" i="30"/>
  <c r="Z9" i="30"/>
  <c r="Y9" i="30"/>
  <c r="X9" i="30"/>
  <c r="W9" i="30"/>
  <c r="V9" i="30"/>
  <c r="U9" i="30"/>
  <c r="T9" i="30"/>
  <c r="S9" i="30"/>
  <c r="R9" i="30"/>
  <c r="Q9" i="30"/>
  <c r="P9" i="30"/>
  <c r="O9" i="30"/>
  <c r="Z8" i="30"/>
  <c r="Y8" i="30"/>
  <c r="X8" i="30"/>
  <c r="W8" i="30"/>
  <c r="V8" i="30"/>
  <c r="U8" i="30"/>
  <c r="T8" i="30"/>
  <c r="S8" i="30"/>
  <c r="R8" i="30"/>
  <c r="Q8" i="30"/>
  <c r="P8" i="30"/>
  <c r="O8" i="30"/>
  <c r="Z7" i="30"/>
  <c r="Y7" i="30"/>
  <c r="X7" i="30"/>
  <c r="W7" i="30"/>
  <c r="V7" i="30"/>
  <c r="U7" i="30"/>
  <c r="T7" i="30"/>
  <c r="S7" i="30"/>
  <c r="R7" i="30"/>
  <c r="Q7" i="30"/>
  <c r="P7" i="30"/>
  <c r="O7" i="30"/>
  <c r="Z6" i="30"/>
  <c r="Y6" i="30"/>
  <c r="X6" i="30"/>
  <c r="W6" i="30"/>
  <c r="V6" i="30"/>
  <c r="U6" i="30"/>
  <c r="T6" i="30"/>
  <c r="S6" i="30"/>
  <c r="R6" i="30"/>
  <c r="Q6" i="30"/>
  <c r="P6" i="30"/>
  <c r="O6" i="30"/>
  <c r="Z5" i="30"/>
  <c r="X5" i="30"/>
  <c r="X18" i="30"/>
  <c r="W5" i="30"/>
  <c r="V5" i="30"/>
  <c r="S5" i="30"/>
  <c r="R5" i="30"/>
  <c r="R18" i="30" s="1"/>
  <c r="Q5" i="30"/>
  <c r="P5" i="30"/>
  <c r="O5" i="30"/>
  <c r="O18" i="30" s="1"/>
  <c r="W23" i="33"/>
  <c r="W24" i="33"/>
  <c r="W25" i="33"/>
  <c r="W26" i="33"/>
  <c r="W27" i="33"/>
  <c r="W28" i="33"/>
  <c r="V23" i="33"/>
  <c r="V24" i="33"/>
  <c r="V25" i="33"/>
  <c r="V26" i="33"/>
  <c r="V27" i="33"/>
  <c r="V28" i="33"/>
  <c r="U23" i="33"/>
  <c r="U24" i="33"/>
  <c r="U25" i="33"/>
  <c r="U26" i="33"/>
  <c r="U27" i="33"/>
  <c r="U28" i="33"/>
  <c r="O23" i="33"/>
  <c r="O24" i="33"/>
  <c r="O25" i="33"/>
  <c r="O26" i="33"/>
  <c r="O27" i="33"/>
  <c r="O28" i="33"/>
  <c r="N30" i="33"/>
  <c r="M30" i="33"/>
  <c r="L30" i="33"/>
  <c r="K30" i="33"/>
  <c r="J30" i="33"/>
  <c r="I30" i="33"/>
  <c r="H30" i="33"/>
  <c r="G30" i="33"/>
  <c r="F30" i="33"/>
  <c r="E30" i="33"/>
  <c r="D30" i="33"/>
  <c r="C30" i="33"/>
  <c r="B30" i="33"/>
  <c r="B31" i="33" s="1"/>
  <c r="Z23" i="33"/>
  <c r="Z24" i="33"/>
  <c r="Z25" i="33"/>
  <c r="Z26" i="33"/>
  <c r="Z27" i="33"/>
  <c r="Z28" i="33"/>
  <c r="Z5" i="33"/>
  <c r="Z18" i="33" s="1"/>
  <c r="Z13" i="33"/>
  <c r="Y28" i="33"/>
  <c r="Y30" i="33" s="1"/>
  <c r="X28" i="33"/>
  <c r="T28" i="33"/>
  <c r="S28" i="33"/>
  <c r="R28" i="33"/>
  <c r="Q28" i="33"/>
  <c r="P28" i="33"/>
  <c r="Y27" i="33"/>
  <c r="X27" i="33"/>
  <c r="T27" i="33"/>
  <c r="S27" i="33"/>
  <c r="R27" i="33"/>
  <c r="Q27" i="33"/>
  <c r="P27" i="33"/>
  <c r="Y26" i="33"/>
  <c r="X26" i="33"/>
  <c r="T26" i="33"/>
  <c r="S26" i="33"/>
  <c r="R26" i="33"/>
  <c r="Q26" i="33"/>
  <c r="P26" i="33"/>
  <c r="Y25" i="33"/>
  <c r="X25" i="33"/>
  <c r="T25" i="33"/>
  <c r="S25" i="33"/>
  <c r="R25" i="33"/>
  <c r="Q25" i="33"/>
  <c r="P25" i="33"/>
  <c r="Y24" i="33"/>
  <c r="X24" i="33"/>
  <c r="T24" i="33"/>
  <c r="S24" i="33"/>
  <c r="R24" i="33"/>
  <c r="Q24" i="33"/>
  <c r="P24" i="33"/>
  <c r="P30" i="33" s="1"/>
  <c r="Y23" i="33"/>
  <c r="X23" i="33"/>
  <c r="T23" i="33"/>
  <c r="S23" i="33"/>
  <c r="S30" i="33" s="1"/>
  <c r="R23" i="33"/>
  <c r="Q23" i="33"/>
  <c r="P23" i="33"/>
  <c r="Z22" i="33"/>
  <c r="Y22" i="33"/>
  <c r="X22" i="33"/>
  <c r="W22" i="33"/>
  <c r="V22" i="33"/>
  <c r="U22" i="33"/>
  <c r="T22" i="33"/>
  <c r="S22" i="33"/>
  <c r="R22" i="33"/>
  <c r="Q22" i="33"/>
  <c r="P22" i="33"/>
  <c r="O22" i="33"/>
  <c r="Z21" i="33"/>
  <c r="Y21" i="33"/>
  <c r="X21" i="33"/>
  <c r="W21" i="33"/>
  <c r="V21" i="33"/>
  <c r="U21" i="33"/>
  <c r="T21" i="33"/>
  <c r="S21" i="33"/>
  <c r="R21" i="33"/>
  <c r="Q21" i="33"/>
  <c r="P21" i="33"/>
  <c r="O21" i="33"/>
  <c r="Z20" i="33"/>
  <c r="Y20" i="33"/>
  <c r="X20" i="33"/>
  <c r="W20" i="33"/>
  <c r="V20" i="33"/>
  <c r="U20" i="33"/>
  <c r="T20" i="33"/>
  <c r="S20" i="33"/>
  <c r="R20" i="33"/>
  <c r="Q20" i="33"/>
  <c r="P20" i="33"/>
  <c r="O20" i="33"/>
  <c r="Y5" i="33"/>
  <c r="Y18" i="33" s="1"/>
  <c r="Y13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X13" i="33"/>
  <c r="W13" i="33"/>
  <c r="V13" i="33"/>
  <c r="U13" i="33"/>
  <c r="U18" i="33"/>
  <c r="T13" i="33"/>
  <c r="S13" i="33"/>
  <c r="R13" i="33"/>
  <c r="Q13" i="33"/>
  <c r="P13" i="33"/>
  <c r="O13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Z9" i="33"/>
  <c r="Y9" i="33"/>
  <c r="X9" i="33"/>
  <c r="W9" i="33"/>
  <c r="V9" i="33"/>
  <c r="U9" i="33"/>
  <c r="T9" i="33"/>
  <c r="S9" i="33"/>
  <c r="R9" i="33"/>
  <c r="Q9" i="33"/>
  <c r="P9" i="33"/>
  <c r="O9" i="33"/>
  <c r="Z8" i="33"/>
  <c r="Y8" i="33"/>
  <c r="X8" i="33"/>
  <c r="W8" i="33"/>
  <c r="V8" i="33"/>
  <c r="U8" i="33"/>
  <c r="T8" i="33"/>
  <c r="S8" i="33"/>
  <c r="R8" i="33"/>
  <c r="Q8" i="33"/>
  <c r="P8" i="33"/>
  <c r="O8" i="33"/>
  <c r="Z7" i="33"/>
  <c r="Y7" i="33"/>
  <c r="X7" i="33"/>
  <c r="W7" i="33"/>
  <c r="V7" i="33"/>
  <c r="U7" i="33"/>
  <c r="T7" i="33"/>
  <c r="S7" i="33"/>
  <c r="R7" i="33"/>
  <c r="Q7" i="33"/>
  <c r="P7" i="33"/>
  <c r="O7" i="33"/>
  <c r="Z6" i="33"/>
  <c r="Y6" i="33"/>
  <c r="X6" i="33"/>
  <c r="W6" i="33"/>
  <c r="V6" i="33"/>
  <c r="U6" i="33"/>
  <c r="T6" i="33"/>
  <c r="S6" i="33"/>
  <c r="R6" i="33"/>
  <c r="Q6" i="33"/>
  <c r="P6" i="33"/>
  <c r="O6" i="33"/>
  <c r="X5" i="33"/>
  <c r="W5" i="33"/>
  <c r="W18" i="33" s="1"/>
  <c r="V5" i="33"/>
  <c r="U5" i="33"/>
  <c r="T5" i="33"/>
  <c r="S5" i="33"/>
  <c r="S18" i="33" s="1"/>
  <c r="R5" i="33"/>
  <c r="Q5" i="33"/>
  <c r="Q18" i="33" s="1"/>
  <c r="P5" i="33"/>
  <c r="O5" i="33"/>
  <c r="O18" i="33"/>
  <c r="B30" i="29"/>
  <c r="B31" i="29" s="1"/>
  <c r="Y23" i="29"/>
  <c r="Y24" i="29"/>
  <c r="Y25" i="29"/>
  <c r="Y26" i="29"/>
  <c r="Y27" i="29"/>
  <c r="Y28" i="29"/>
  <c r="Y30" i="29"/>
  <c r="W23" i="29"/>
  <c r="W24" i="29"/>
  <c r="W25" i="29"/>
  <c r="W26" i="29"/>
  <c r="W27" i="29"/>
  <c r="W28" i="29"/>
  <c r="V23" i="29"/>
  <c r="V24" i="29"/>
  <c r="V25" i="29"/>
  <c r="V26" i="29"/>
  <c r="V27" i="29"/>
  <c r="V28" i="29"/>
  <c r="S23" i="29"/>
  <c r="S24" i="29"/>
  <c r="S25" i="29"/>
  <c r="S26" i="29"/>
  <c r="S27" i="29"/>
  <c r="S28" i="29"/>
  <c r="O23" i="29"/>
  <c r="O24" i="29"/>
  <c r="O25" i="29"/>
  <c r="O26" i="29"/>
  <c r="O27" i="29"/>
  <c r="O28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8" i="29"/>
  <c r="X28" i="29"/>
  <c r="U28" i="29"/>
  <c r="T28" i="29"/>
  <c r="R28" i="29"/>
  <c r="Q28" i="29"/>
  <c r="P28" i="29"/>
  <c r="Z27" i="29"/>
  <c r="X27" i="29"/>
  <c r="U27" i="29"/>
  <c r="T27" i="29"/>
  <c r="R27" i="29"/>
  <c r="Q27" i="29"/>
  <c r="P27" i="29"/>
  <c r="Z26" i="29"/>
  <c r="X26" i="29"/>
  <c r="U26" i="29"/>
  <c r="T26" i="29"/>
  <c r="R26" i="29"/>
  <c r="Q26" i="29"/>
  <c r="P26" i="29"/>
  <c r="Z25" i="29"/>
  <c r="X25" i="29"/>
  <c r="U25" i="29"/>
  <c r="T25" i="29"/>
  <c r="R25" i="29"/>
  <c r="Q25" i="29"/>
  <c r="P25" i="29"/>
  <c r="Z24" i="29"/>
  <c r="X24" i="29"/>
  <c r="U24" i="29"/>
  <c r="T24" i="29"/>
  <c r="R24" i="29"/>
  <c r="Q24" i="29"/>
  <c r="P24" i="29"/>
  <c r="Z23" i="29"/>
  <c r="X23" i="29"/>
  <c r="U23" i="29"/>
  <c r="T23" i="29"/>
  <c r="R23" i="29"/>
  <c r="Q23" i="29"/>
  <c r="P23" i="29"/>
  <c r="Z22" i="29"/>
  <c r="Y22" i="29"/>
  <c r="X22" i="29"/>
  <c r="W22" i="29"/>
  <c r="V22" i="29"/>
  <c r="U22" i="29"/>
  <c r="T22" i="29"/>
  <c r="S22" i="29"/>
  <c r="R22" i="29"/>
  <c r="Q22" i="29"/>
  <c r="P22" i="29"/>
  <c r="O22" i="29"/>
  <c r="Z21" i="29"/>
  <c r="Y21" i="29"/>
  <c r="X21" i="29"/>
  <c r="W21" i="29"/>
  <c r="V21" i="29"/>
  <c r="U21" i="29"/>
  <c r="T21" i="29"/>
  <c r="S21" i="29"/>
  <c r="R21" i="29"/>
  <c r="Q21" i="29"/>
  <c r="P21" i="29"/>
  <c r="O21" i="29"/>
  <c r="Z20" i="29"/>
  <c r="Y20" i="29"/>
  <c r="X20" i="29"/>
  <c r="W20" i="29"/>
  <c r="V20" i="29"/>
  <c r="U20" i="29"/>
  <c r="T20" i="29"/>
  <c r="S20" i="29"/>
  <c r="R20" i="29"/>
  <c r="Q20" i="29"/>
  <c r="P20" i="29"/>
  <c r="O20" i="29"/>
  <c r="Z15" i="29"/>
  <c r="Y15" i="29"/>
  <c r="X15" i="29"/>
  <c r="W15" i="29"/>
  <c r="V15" i="29"/>
  <c r="U15" i="29"/>
  <c r="T15" i="29"/>
  <c r="S15" i="29"/>
  <c r="R15" i="29"/>
  <c r="Q15" i="29"/>
  <c r="P15" i="29"/>
  <c r="O15" i="29"/>
  <c r="Z14" i="29"/>
  <c r="Y14" i="29"/>
  <c r="X14" i="29"/>
  <c r="W14" i="29"/>
  <c r="V14" i="29"/>
  <c r="U14" i="29"/>
  <c r="T14" i="29"/>
  <c r="S14" i="29"/>
  <c r="R14" i="29"/>
  <c r="Q14" i="29"/>
  <c r="P14" i="29"/>
  <c r="O14" i="29"/>
  <c r="Z13" i="29"/>
  <c r="Y13" i="29"/>
  <c r="X13" i="29"/>
  <c r="W13" i="29"/>
  <c r="V13" i="29"/>
  <c r="U13" i="29"/>
  <c r="T13" i="29"/>
  <c r="S13" i="29"/>
  <c r="R13" i="29"/>
  <c r="Q13" i="29"/>
  <c r="P13" i="29"/>
  <c r="O13" i="29"/>
  <c r="Z12" i="29"/>
  <c r="Y12" i="29"/>
  <c r="X12" i="29"/>
  <c r="W12" i="29"/>
  <c r="V12" i="29"/>
  <c r="U12" i="29"/>
  <c r="T12" i="29"/>
  <c r="S12" i="29"/>
  <c r="R12" i="29"/>
  <c r="Q12" i="29"/>
  <c r="P12" i="29"/>
  <c r="O12" i="29"/>
  <c r="Z11" i="29"/>
  <c r="Y11" i="29"/>
  <c r="X11" i="29"/>
  <c r="W11" i="29"/>
  <c r="V11" i="29"/>
  <c r="U11" i="29"/>
  <c r="T11" i="29"/>
  <c r="S11" i="29"/>
  <c r="R11" i="29"/>
  <c r="Q11" i="29"/>
  <c r="P11" i="29"/>
  <c r="O11" i="29"/>
  <c r="Z10" i="29"/>
  <c r="Y10" i="29"/>
  <c r="X10" i="29"/>
  <c r="W10" i="29"/>
  <c r="V10" i="29"/>
  <c r="U10" i="29"/>
  <c r="T10" i="29"/>
  <c r="S10" i="29"/>
  <c r="R10" i="29"/>
  <c r="Q10" i="29"/>
  <c r="P10" i="29"/>
  <c r="O10" i="29"/>
  <c r="Z9" i="29"/>
  <c r="Y9" i="29"/>
  <c r="X9" i="29"/>
  <c r="W9" i="29"/>
  <c r="V9" i="29"/>
  <c r="U9" i="29"/>
  <c r="T9" i="29"/>
  <c r="S9" i="29"/>
  <c r="R9" i="29"/>
  <c r="Q9" i="29"/>
  <c r="P9" i="29"/>
  <c r="O9" i="29"/>
  <c r="Z8" i="29"/>
  <c r="Y8" i="29"/>
  <c r="X8" i="29"/>
  <c r="W8" i="29"/>
  <c r="V8" i="29"/>
  <c r="U8" i="29"/>
  <c r="T8" i="29"/>
  <c r="S8" i="29"/>
  <c r="R8" i="29"/>
  <c r="Q8" i="29"/>
  <c r="P8" i="29"/>
  <c r="O8" i="29"/>
  <c r="Z7" i="29"/>
  <c r="Y7" i="29"/>
  <c r="X7" i="29"/>
  <c r="W7" i="29"/>
  <c r="V7" i="29"/>
  <c r="U7" i="29"/>
  <c r="T7" i="29"/>
  <c r="S7" i="29"/>
  <c r="R7" i="29"/>
  <c r="Q7" i="29"/>
  <c r="P7" i="29"/>
  <c r="O7" i="29"/>
  <c r="Z6" i="29"/>
  <c r="Y6" i="29"/>
  <c r="X6" i="29"/>
  <c r="W6" i="29"/>
  <c r="V6" i="29"/>
  <c r="U6" i="29"/>
  <c r="T6" i="29"/>
  <c r="S6" i="29"/>
  <c r="R6" i="29"/>
  <c r="Q6" i="29"/>
  <c r="P6" i="29"/>
  <c r="O6" i="29"/>
  <c r="B5" i="29"/>
  <c r="T23" i="28"/>
  <c r="T24" i="28"/>
  <c r="T25" i="28"/>
  <c r="T26" i="28"/>
  <c r="T30" i="28" s="1"/>
  <c r="T27" i="28"/>
  <c r="T28" i="28"/>
  <c r="S23" i="28"/>
  <c r="S24" i="28"/>
  <c r="S25" i="28"/>
  <c r="S26" i="28"/>
  <c r="S27" i="28"/>
  <c r="S28" i="28"/>
  <c r="N30" i="28"/>
  <c r="M30" i="28"/>
  <c r="L30" i="28"/>
  <c r="K30" i="28"/>
  <c r="J30" i="28"/>
  <c r="I30" i="28"/>
  <c r="H30" i="28"/>
  <c r="G30" i="28"/>
  <c r="F30" i="28"/>
  <c r="E30" i="28"/>
  <c r="D30" i="28"/>
  <c r="C30" i="28"/>
  <c r="B30" i="28"/>
  <c r="B31" i="28" s="1"/>
  <c r="Z28" i="28"/>
  <c r="Y28" i="28"/>
  <c r="X28" i="28"/>
  <c r="W28" i="28"/>
  <c r="V28" i="28"/>
  <c r="U28" i="28"/>
  <c r="R28" i="28"/>
  <c r="Q28" i="28"/>
  <c r="P28" i="28"/>
  <c r="O28" i="28"/>
  <c r="Z27" i="28"/>
  <c r="Y27" i="28"/>
  <c r="X27" i="28"/>
  <c r="W27" i="28"/>
  <c r="V27" i="28"/>
  <c r="U27" i="28"/>
  <c r="R27" i="28"/>
  <c r="Q27" i="28"/>
  <c r="P27" i="28"/>
  <c r="O27" i="28"/>
  <c r="Z26" i="28"/>
  <c r="Y26" i="28"/>
  <c r="X26" i="28"/>
  <c r="W26" i="28"/>
  <c r="V26" i="28"/>
  <c r="U26" i="28"/>
  <c r="R26" i="28"/>
  <c r="Q26" i="28"/>
  <c r="P26" i="28"/>
  <c r="O26" i="28"/>
  <c r="Z25" i="28"/>
  <c r="Y25" i="28"/>
  <c r="X25" i="28"/>
  <c r="W25" i="28"/>
  <c r="V25" i="28"/>
  <c r="U25" i="28"/>
  <c r="R25" i="28"/>
  <c r="Q25" i="28"/>
  <c r="P25" i="28"/>
  <c r="O25" i="28"/>
  <c r="Z24" i="28"/>
  <c r="Z30" i="28"/>
  <c r="Y24" i="28"/>
  <c r="X24" i="28"/>
  <c r="W24" i="28"/>
  <c r="V24" i="28"/>
  <c r="U24" i="28"/>
  <c r="R24" i="28"/>
  <c r="Q24" i="28"/>
  <c r="P24" i="28"/>
  <c r="O24" i="28"/>
  <c r="Z23" i="28"/>
  <c r="Y23" i="28"/>
  <c r="X23" i="28"/>
  <c r="X30" i="28" s="1"/>
  <c r="W23" i="28"/>
  <c r="V23" i="28"/>
  <c r="U23" i="28"/>
  <c r="R23" i="28"/>
  <c r="R30" i="28" s="1"/>
  <c r="Q23" i="28"/>
  <c r="P23" i="28"/>
  <c r="P30" i="28" s="1"/>
  <c r="O23" i="28"/>
  <c r="Z22" i="28"/>
  <c r="Y22" i="28"/>
  <c r="X22" i="28"/>
  <c r="W22" i="28"/>
  <c r="V22" i="28"/>
  <c r="U22" i="28"/>
  <c r="T22" i="28"/>
  <c r="S22" i="28"/>
  <c r="R22" i="28"/>
  <c r="Q22" i="28"/>
  <c r="P22" i="28"/>
  <c r="O22" i="28"/>
  <c r="Z21" i="28"/>
  <c r="Y21" i="28"/>
  <c r="X21" i="28"/>
  <c r="W21" i="28"/>
  <c r="V21" i="28"/>
  <c r="U21" i="28"/>
  <c r="T21" i="28"/>
  <c r="S21" i="28"/>
  <c r="R21" i="28"/>
  <c r="Q21" i="28"/>
  <c r="P21" i="28"/>
  <c r="O21" i="28"/>
  <c r="Z20" i="28"/>
  <c r="Y20" i="28"/>
  <c r="X20" i="28"/>
  <c r="W20" i="28"/>
  <c r="V20" i="28"/>
  <c r="U20" i="28"/>
  <c r="T20" i="28"/>
  <c r="S20" i="28"/>
  <c r="R20" i="28"/>
  <c r="Q20" i="28"/>
  <c r="P20" i="28"/>
  <c r="B20" i="28"/>
  <c r="O20" i="28"/>
  <c r="Z15" i="28"/>
  <c r="Y15" i="28"/>
  <c r="X15" i="28"/>
  <c r="W15" i="28"/>
  <c r="V15" i="28"/>
  <c r="U15" i="28"/>
  <c r="T15" i="28"/>
  <c r="S15" i="28"/>
  <c r="R15" i="28"/>
  <c r="Q15" i="28"/>
  <c r="P15" i="28"/>
  <c r="O15" i="28"/>
  <c r="Z14" i="28"/>
  <c r="Y14" i="28"/>
  <c r="X14" i="28"/>
  <c r="W14" i="28"/>
  <c r="V14" i="28"/>
  <c r="U14" i="28"/>
  <c r="T14" i="28"/>
  <c r="S14" i="28"/>
  <c r="R14" i="28"/>
  <c r="Q14" i="28"/>
  <c r="P14" i="28"/>
  <c r="O14" i="28"/>
  <c r="Z13" i="28"/>
  <c r="Y13" i="28"/>
  <c r="X13" i="28"/>
  <c r="W13" i="28"/>
  <c r="V13" i="28"/>
  <c r="U13" i="28"/>
  <c r="T13" i="28"/>
  <c r="S13" i="28"/>
  <c r="R13" i="28"/>
  <c r="Q13" i="28"/>
  <c r="P13" i="28"/>
  <c r="O13" i="28"/>
  <c r="Z12" i="28"/>
  <c r="Y12" i="28"/>
  <c r="X12" i="28"/>
  <c r="W12" i="28"/>
  <c r="V12" i="28"/>
  <c r="U12" i="28"/>
  <c r="T12" i="28"/>
  <c r="S12" i="28"/>
  <c r="R12" i="28"/>
  <c r="Q12" i="28"/>
  <c r="P12" i="28"/>
  <c r="O12" i="28"/>
  <c r="Z11" i="28"/>
  <c r="Y11" i="28"/>
  <c r="X11" i="28"/>
  <c r="W11" i="28"/>
  <c r="V11" i="28"/>
  <c r="U11" i="28"/>
  <c r="T11" i="28"/>
  <c r="S11" i="28"/>
  <c r="R11" i="28"/>
  <c r="Q11" i="28"/>
  <c r="P11" i="28"/>
  <c r="O11" i="28"/>
  <c r="Z10" i="28"/>
  <c r="Y10" i="28"/>
  <c r="X10" i="28"/>
  <c r="W10" i="28"/>
  <c r="V10" i="28"/>
  <c r="U10" i="28"/>
  <c r="T10" i="28"/>
  <c r="S10" i="28"/>
  <c r="R10" i="28"/>
  <c r="Q10" i="28"/>
  <c r="P10" i="28"/>
  <c r="O10" i="28"/>
  <c r="Z9" i="28"/>
  <c r="Y9" i="28"/>
  <c r="X9" i="28"/>
  <c r="W9" i="28"/>
  <c r="V9" i="28"/>
  <c r="U9" i="28"/>
  <c r="T9" i="28"/>
  <c r="S9" i="28"/>
  <c r="R9" i="28"/>
  <c r="Q9" i="28"/>
  <c r="P9" i="28"/>
  <c r="O9" i="28"/>
  <c r="Z8" i="28"/>
  <c r="Y8" i="28"/>
  <c r="X8" i="28"/>
  <c r="W8" i="28"/>
  <c r="V8" i="28"/>
  <c r="U8" i="28"/>
  <c r="T8" i="28"/>
  <c r="S8" i="28"/>
  <c r="R8" i="28"/>
  <c r="Q8" i="28"/>
  <c r="P8" i="28"/>
  <c r="O8" i="28"/>
  <c r="Z7" i="28"/>
  <c r="Y7" i="28"/>
  <c r="X7" i="28"/>
  <c r="W7" i="28"/>
  <c r="V7" i="28"/>
  <c r="U7" i="28"/>
  <c r="T7" i="28"/>
  <c r="S7" i="28"/>
  <c r="R7" i="28"/>
  <c r="Q7" i="28"/>
  <c r="P7" i="28"/>
  <c r="O7" i="28"/>
  <c r="Z6" i="28"/>
  <c r="Y6" i="28"/>
  <c r="X6" i="28"/>
  <c r="W6" i="28"/>
  <c r="V6" i="28"/>
  <c r="U6" i="28"/>
  <c r="T6" i="28"/>
  <c r="S6" i="28"/>
  <c r="R6" i="28"/>
  <c r="Q6" i="28"/>
  <c r="P6" i="28"/>
  <c r="O6" i="28"/>
  <c r="Z5" i="28"/>
  <c r="Z18" i="28" s="1"/>
  <c r="Y5" i="28"/>
  <c r="X5" i="28"/>
  <c r="W5" i="28"/>
  <c r="W18" i="28" s="1"/>
  <c r="V5" i="28"/>
  <c r="U5" i="28"/>
  <c r="U18" i="28" s="1"/>
  <c r="T5" i="28"/>
  <c r="S5" i="28"/>
  <c r="S18" i="28" s="1"/>
  <c r="R5" i="28"/>
  <c r="R18" i="28"/>
  <c r="Q5" i="28"/>
  <c r="P5" i="28"/>
  <c r="O5" i="28"/>
  <c r="O18" i="28"/>
  <c r="Z29" i="24"/>
  <c r="Y29" i="24"/>
  <c r="X29" i="24"/>
  <c r="W29" i="24"/>
  <c r="V29" i="24"/>
  <c r="U29" i="24"/>
  <c r="T29" i="24"/>
  <c r="S29" i="24"/>
  <c r="R29" i="24"/>
  <c r="Q29" i="24"/>
  <c r="P29" i="24"/>
  <c r="O29" i="24"/>
  <c r="Z28" i="24"/>
  <c r="Y28" i="24"/>
  <c r="X28" i="24"/>
  <c r="W28" i="24"/>
  <c r="V28" i="24"/>
  <c r="U28" i="24"/>
  <c r="T28" i="24"/>
  <c r="S28" i="24"/>
  <c r="R28" i="24"/>
  <c r="Q28" i="24"/>
  <c r="P28" i="24"/>
  <c r="O28" i="24"/>
  <c r="Z27" i="24"/>
  <c r="Y27" i="24"/>
  <c r="X27" i="24"/>
  <c r="W27" i="24"/>
  <c r="V27" i="24"/>
  <c r="U27" i="24"/>
  <c r="T27" i="24"/>
  <c r="S27" i="24"/>
  <c r="R27" i="24"/>
  <c r="Q27" i="24"/>
  <c r="P27" i="24"/>
  <c r="O27" i="24"/>
  <c r="Z26" i="24"/>
  <c r="Y26" i="24"/>
  <c r="X26" i="24"/>
  <c r="W26" i="24"/>
  <c r="V26" i="24"/>
  <c r="U26" i="24"/>
  <c r="T26" i="24"/>
  <c r="S26" i="24"/>
  <c r="R26" i="24"/>
  <c r="Q26" i="24"/>
  <c r="P26" i="24"/>
  <c r="O26" i="24"/>
  <c r="Z25" i="24"/>
  <c r="Y25" i="24"/>
  <c r="X25" i="24"/>
  <c r="W25" i="24"/>
  <c r="V25" i="24"/>
  <c r="U25" i="24"/>
  <c r="T25" i="24"/>
  <c r="S25" i="24"/>
  <c r="R25" i="24"/>
  <c r="Q25" i="24"/>
  <c r="P25" i="24"/>
  <c r="O25" i="24"/>
  <c r="Z24" i="24"/>
  <c r="Y24" i="24"/>
  <c r="X24" i="24"/>
  <c r="W24" i="24"/>
  <c r="V24" i="24"/>
  <c r="U24" i="24"/>
  <c r="T24" i="24"/>
  <c r="S24" i="24"/>
  <c r="R24" i="24"/>
  <c r="Q24" i="24"/>
  <c r="P24" i="24"/>
  <c r="O24" i="24"/>
  <c r="Z23" i="24"/>
  <c r="Y23" i="24"/>
  <c r="X23" i="24"/>
  <c r="W23" i="24"/>
  <c r="V23" i="24"/>
  <c r="U23" i="24"/>
  <c r="T23" i="24"/>
  <c r="S23" i="24"/>
  <c r="R23" i="24"/>
  <c r="Q23" i="24"/>
  <c r="P23" i="24"/>
  <c r="O23" i="24"/>
  <c r="Z22" i="24"/>
  <c r="Y22" i="24"/>
  <c r="X22" i="24"/>
  <c r="W22" i="24"/>
  <c r="V22" i="24"/>
  <c r="U22" i="24"/>
  <c r="T22" i="24"/>
  <c r="S22" i="24"/>
  <c r="R22" i="24"/>
  <c r="Q22" i="24"/>
  <c r="P22" i="24"/>
  <c r="O22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Z5" i="24"/>
  <c r="Z19" i="24"/>
  <c r="Z14" i="24"/>
  <c r="D19" i="24"/>
  <c r="Z16" i="24"/>
  <c r="Y16" i="24"/>
  <c r="X16" i="24"/>
  <c r="W16" i="24"/>
  <c r="V16" i="24"/>
  <c r="U16" i="24"/>
  <c r="T16" i="24"/>
  <c r="S16" i="24"/>
  <c r="R16" i="24"/>
  <c r="Q16" i="24"/>
  <c r="P16" i="24"/>
  <c r="O16" i="24"/>
  <c r="Z15" i="24"/>
  <c r="Y15" i="24"/>
  <c r="X15" i="24"/>
  <c r="W15" i="24"/>
  <c r="V15" i="24"/>
  <c r="U15" i="24"/>
  <c r="T15" i="24"/>
  <c r="S15" i="24"/>
  <c r="R15" i="24"/>
  <c r="Q15" i="24"/>
  <c r="P15" i="24"/>
  <c r="O15" i="24"/>
  <c r="Y14" i="24"/>
  <c r="X14" i="24"/>
  <c r="W14" i="24"/>
  <c r="V14" i="24"/>
  <c r="U14" i="24"/>
  <c r="T14" i="24"/>
  <c r="S14" i="24"/>
  <c r="R14" i="24"/>
  <c r="Q14" i="24"/>
  <c r="Q19" i="24" s="1"/>
  <c r="P14" i="24"/>
  <c r="O14" i="24"/>
  <c r="Z13" i="24"/>
  <c r="Y13" i="24"/>
  <c r="X13" i="24"/>
  <c r="W13" i="24"/>
  <c r="V13" i="24"/>
  <c r="U13" i="24"/>
  <c r="T13" i="24"/>
  <c r="S13" i="24"/>
  <c r="R13" i="24"/>
  <c r="Q13" i="24"/>
  <c r="P13" i="24"/>
  <c r="O13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Z11" i="24"/>
  <c r="Y11" i="24"/>
  <c r="X11" i="24"/>
  <c r="W11" i="24"/>
  <c r="V11" i="24"/>
  <c r="U11" i="24"/>
  <c r="T11" i="24"/>
  <c r="S11" i="24"/>
  <c r="R11" i="24"/>
  <c r="Q11" i="24"/>
  <c r="P11" i="24"/>
  <c r="O11" i="24"/>
  <c r="Z10" i="24"/>
  <c r="Y10" i="24"/>
  <c r="X10" i="24"/>
  <c r="W10" i="24"/>
  <c r="V10" i="24"/>
  <c r="U10" i="24"/>
  <c r="T10" i="24"/>
  <c r="S10" i="24"/>
  <c r="R10" i="24"/>
  <c r="Q10" i="24"/>
  <c r="P10" i="24"/>
  <c r="O10" i="24"/>
  <c r="O9" i="24"/>
  <c r="Z8" i="24"/>
  <c r="Y8" i="24"/>
  <c r="X8" i="24"/>
  <c r="W8" i="24"/>
  <c r="V8" i="24"/>
  <c r="U8" i="24"/>
  <c r="T8" i="24"/>
  <c r="S8" i="24"/>
  <c r="R8" i="24"/>
  <c r="Q8" i="24"/>
  <c r="P8" i="24"/>
  <c r="O8" i="24"/>
  <c r="Z7" i="24"/>
  <c r="Y7" i="24"/>
  <c r="X7" i="24"/>
  <c r="W7" i="24"/>
  <c r="V7" i="24"/>
  <c r="U7" i="24"/>
  <c r="T7" i="24"/>
  <c r="S7" i="24"/>
  <c r="R7" i="24"/>
  <c r="Q7" i="24"/>
  <c r="P7" i="24"/>
  <c r="O7" i="24"/>
  <c r="Z6" i="24"/>
  <c r="Y6" i="24"/>
  <c r="X6" i="24"/>
  <c r="W6" i="24"/>
  <c r="V6" i="24"/>
  <c r="U6" i="24"/>
  <c r="T6" i="24"/>
  <c r="S6" i="24"/>
  <c r="R6" i="24"/>
  <c r="Q6" i="24"/>
  <c r="P6" i="24"/>
  <c r="O6" i="24"/>
  <c r="Q5" i="24"/>
  <c r="K19" i="24"/>
  <c r="J19" i="24"/>
  <c r="H19" i="24"/>
  <c r="G19" i="24"/>
  <c r="E19" i="24"/>
  <c r="C19" i="24"/>
  <c r="B5" i="24"/>
  <c r="B19" i="24"/>
  <c r="O103" i="21"/>
  <c r="N103" i="21"/>
  <c r="M103" i="21"/>
  <c r="L103" i="21"/>
  <c r="K103" i="21"/>
  <c r="J103" i="21"/>
  <c r="H103" i="21"/>
  <c r="G103" i="21"/>
  <c r="F103" i="21"/>
  <c r="E103" i="21"/>
  <c r="D103" i="21"/>
  <c r="C103" i="21"/>
  <c r="O102" i="21"/>
  <c r="N102" i="21"/>
  <c r="M102" i="21"/>
  <c r="L102" i="21"/>
  <c r="K102" i="21"/>
  <c r="J102" i="21"/>
  <c r="I102" i="21"/>
  <c r="H102" i="21"/>
  <c r="G102" i="21"/>
  <c r="F102" i="21"/>
  <c r="E102" i="21"/>
  <c r="D102" i="21"/>
  <c r="O101" i="21"/>
  <c r="N101" i="21"/>
  <c r="M101" i="21"/>
  <c r="L101" i="21"/>
  <c r="K101" i="21"/>
  <c r="J101" i="21"/>
  <c r="I101" i="21"/>
  <c r="H101" i="21"/>
  <c r="G101" i="21"/>
  <c r="F101" i="21"/>
  <c r="E101" i="21"/>
  <c r="D101" i="21"/>
  <c r="C101" i="21"/>
  <c r="O100" i="21"/>
  <c r="N100" i="21"/>
  <c r="M100" i="21"/>
  <c r="L100" i="21"/>
  <c r="K100" i="21"/>
  <c r="J100" i="21"/>
  <c r="I100" i="21"/>
  <c r="H100" i="21"/>
  <c r="G100" i="21"/>
  <c r="F100" i="21"/>
  <c r="E100" i="21"/>
  <c r="D100" i="21"/>
  <c r="C100" i="21"/>
  <c r="O99" i="21"/>
  <c r="N99" i="21"/>
  <c r="M99" i="21"/>
  <c r="L99" i="21"/>
  <c r="K99" i="21"/>
  <c r="J99" i="21"/>
  <c r="I99" i="21"/>
  <c r="H99" i="21"/>
  <c r="G99" i="21"/>
  <c r="F99" i="21"/>
  <c r="E99" i="21"/>
  <c r="D99" i="21"/>
  <c r="C99" i="21"/>
  <c r="O98" i="21"/>
  <c r="N98" i="21"/>
  <c r="M98" i="21"/>
  <c r="L98" i="21"/>
  <c r="K98" i="21"/>
  <c r="J98" i="21"/>
  <c r="I98" i="21"/>
  <c r="H98" i="21"/>
  <c r="G98" i="21"/>
  <c r="F98" i="21"/>
  <c r="E98" i="21"/>
  <c r="D98" i="21"/>
  <c r="C98" i="21"/>
  <c r="O97" i="21"/>
  <c r="N97" i="21"/>
  <c r="M97" i="21"/>
  <c r="L97" i="21"/>
  <c r="K97" i="21"/>
  <c r="J97" i="21"/>
  <c r="I97" i="21"/>
  <c r="H97" i="21"/>
  <c r="G97" i="21"/>
  <c r="F97" i="21"/>
  <c r="E97" i="21"/>
  <c r="D97" i="21"/>
  <c r="C97" i="21"/>
  <c r="O96" i="21"/>
  <c r="N96" i="21"/>
  <c r="M96" i="21"/>
  <c r="L96" i="21"/>
  <c r="K96" i="21"/>
  <c r="J96" i="21"/>
  <c r="I96" i="21"/>
  <c r="H96" i="21"/>
  <c r="G96" i="21"/>
  <c r="F96" i="21"/>
  <c r="E96" i="21"/>
  <c r="D96" i="21"/>
  <c r="C96" i="21"/>
  <c r="O95" i="21"/>
  <c r="N95" i="21"/>
  <c r="M95" i="21"/>
  <c r="L95" i="21"/>
  <c r="K95" i="21"/>
  <c r="J95" i="21"/>
  <c r="I95" i="21"/>
  <c r="H95" i="21"/>
  <c r="G95" i="21"/>
  <c r="F95" i="21"/>
  <c r="E95" i="21"/>
  <c r="D95" i="21"/>
  <c r="C95" i="21"/>
  <c r="O94" i="21"/>
  <c r="N94" i="21"/>
  <c r="M94" i="21"/>
  <c r="L94" i="21"/>
  <c r="K94" i="21"/>
  <c r="J94" i="21"/>
  <c r="I94" i="21"/>
  <c r="H94" i="21"/>
  <c r="G94" i="21"/>
  <c r="F94" i="21"/>
  <c r="E94" i="21"/>
  <c r="D94" i="21"/>
  <c r="C94" i="21"/>
  <c r="O93" i="21"/>
  <c r="N93" i="21"/>
  <c r="M93" i="21"/>
  <c r="L93" i="21"/>
  <c r="K93" i="21"/>
  <c r="J93" i="21"/>
  <c r="I93" i="21"/>
  <c r="H93" i="21"/>
  <c r="G93" i="21"/>
  <c r="F93" i="21"/>
  <c r="E93" i="21"/>
  <c r="D93" i="21"/>
  <c r="C93" i="21"/>
  <c r="C36" i="21"/>
  <c r="C92" i="21" s="1"/>
  <c r="O91" i="21"/>
  <c r="N91" i="21"/>
  <c r="M91" i="21"/>
  <c r="L91" i="21"/>
  <c r="K91" i="21"/>
  <c r="J91" i="21"/>
  <c r="I91" i="21"/>
  <c r="H91" i="21"/>
  <c r="G91" i="21"/>
  <c r="F91" i="21"/>
  <c r="E91" i="21"/>
  <c r="D91" i="21"/>
  <c r="O90" i="21"/>
  <c r="N90" i="21"/>
  <c r="M90" i="21"/>
  <c r="L90" i="21"/>
  <c r="K90" i="21"/>
  <c r="J90" i="21"/>
  <c r="I90" i="21"/>
  <c r="H90" i="21"/>
  <c r="G90" i="21"/>
  <c r="F90" i="21"/>
  <c r="E90" i="21"/>
  <c r="D90" i="21"/>
  <c r="C90" i="21"/>
  <c r="O89" i="21"/>
  <c r="N89" i="21"/>
  <c r="M89" i="21"/>
  <c r="L89" i="21"/>
  <c r="K89" i="21"/>
  <c r="J89" i="21"/>
  <c r="I89" i="21"/>
  <c r="H89" i="21"/>
  <c r="G89" i="21"/>
  <c r="F89" i="21"/>
  <c r="E89" i="21"/>
  <c r="D89" i="21"/>
  <c r="O88" i="21"/>
  <c r="N88" i="21"/>
  <c r="M88" i="21"/>
  <c r="L88" i="21"/>
  <c r="K88" i="21"/>
  <c r="J88" i="21"/>
  <c r="I88" i="21"/>
  <c r="H88" i="21"/>
  <c r="G88" i="21"/>
  <c r="F88" i="21"/>
  <c r="E88" i="21"/>
  <c r="D88" i="21"/>
  <c r="C88" i="21"/>
  <c r="O87" i="21"/>
  <c r="N87" i="21"/>
  <c r="M87" i="21"/>
  <c r="L87" i="21"/>
  <c r="K87" i="21"/>
  <c r="J87" i="21"/>
  <c r="I87" i="21"/>
  <c r="H87" i="21"/>
  <c r="G87" i="21"/>
  <c r="F87" i="21"/>
  <c r="E87" i="21"/>
  <c r="D87" i="21"/>
  <c r="C87" i="21"/>
  <c r="O86" i="21"/>
  <c r="N86" i="21"/>
  <c r="M86" i="21"/>
  <c r="L86" i="21"/>
  <c r="K86" i="21"/>
  <c r="J86" i="21"/>
  <c r="I86" i="21"/>
  <c r="H86" i="21"/>
  <c r="G86" i="21"/>
  <c r="D86" i="21"/>
  <c r="C86" i="21"/>
  <c r="O85" i="21"/>
  <c r="N85" i="21"/>
  <c r="M85" i="21"/>
  <c r="L85" i="21"/>
  <c r="K85" i="21"/>
  <c r="J85" i="21"/>
  <c r="I85" i="21"/>
  <c r="H85" i="21"/>
  <c r="G85" i="21"/>
  <c r="F85" i="21"/>
  <c r="E85" i="21"/>
  <c r="D85" i="21"/>
  <c r="C85" i="21"/>
  <c r="N84" i="21"/>
  <c r="M84" i="21"/>
  <c r="L84" i="21"/>
  <c r="K84" i="21"/>
  <c r="J84" i="21"/>
  <c r="I84" i="21"/>
  <c r="H84" i="21"/>
  <c r="F84" i="21"/>
  <c r="E84" i="21"/>
  <c r="D84" i="21"/>
  <c r="C84" i="21"/>
  <c r="C23" i="21"/>
  <c r="F83" i="21" s="1"/>
  <c r="N82" i="21"/>
  <c r="M82" i="21"/>
  <c r="K82" i="21"/>
  <c r="J82" i="21"/>
  <c r="I82" i="21"/>
  <c r="H82" i="21"/>
  <c r="D82" i="21"/>
  <c r="C82" i="21"/>
  <c r="C21" i="21"/>
  <c r="N80" i="21"/>
  <c r="M80" i="21"/>
  <c r="L80" i="21"/>
  <c r="K80" i="21"/>
  <c r="J80" i="21"/>
  <c r="I80" i="21"/>
  <c r="H80" i="21"/>
  <c r="F80" i="21"/>
  <c r="E80" i="21"/>
  <c r="D80" i="21"/>
  <c r="C80" i="21"/>
  <c r="O79" i="21"/>
  <c r="N79" i="21"/>
  <c r="M79" i="21"/>
  <c r="L79" i="21"/>
  <c r="K79" i="21"/>
  <c r="J79" i="21"/>
  <c r="I79" i="21"/>
  <c r="H79" i="21"/>
  <c r="G79" i="21"/>
  <c r="F79" i="21"/>
  <c r="E79" i="21"/>
  <c r="D79" i="21"/>
  <c r="C79" i="21"/>
  <c r="O78" i="21"/>
  <c r="N78" i="21"/>
  <c r="M78" i="21"/>
  <c r="L78" i="21"/>
  <c r="K78" i="21"/>
  <c r="J78" i="21"/>
  <c r="I78" i="21"/>
  <c r="H78" i="21"/>
  <c r="G78" i="21"/>
  <c r="F78" i="21"/>
  <c r="E78" i="21"/>
  <c r="D78" i="21"/>
  <c r="C78" i="21"/>
  <c r="O77" i="21"/>
  <c r="N77" i="21"/>
  <c r="M77" i="21"/>
  <c r="L77" i="21"/>
  <c r="K77" i="21"/>
  <c r="J77" i="21"/>
  <c r="I77" i="21"/>
  <c r="H77" i="21"/>
  <c r="G77" i="21"/>
  <c r="F77" i="21"/>
  <c r="E77" i="21"/>
  <c r="D77" i="21"/>
  <c r="C77" i="21"/>
  <c r="C16" i="21"/>
  <c r="O75" i="21"/>
  <c r="N75" i="21"/>
  <c r="M75" i="21"/>
  <c r="L75" i="21"/>
  <c r="K75" i="21"/>
  <c r="I75" i="21"/>
  <c r="H75" i="21"/>
  <c r="G75" i="21"/>
  <c r="F75" i="21"/>
  <c r="E75" i="21"/>
  <c r="D75" i="21"/>
  <c r="C75" i="21"/>
  <c r="O74" i="21"/>
  <c r="N74" i="21"/>
  <c r="M74" i="21"/>
  <c r="L74" i="21"/>
  <c r="K74" i="21"/>
  <c r="I74" i="21"/>
  <c r="H74" i="21"/>
  <c r="F74" i="21"/>
  <c r="E74" i="21"/>
  <c r="D74" i="21"/>
  <c r="C74" i="21"/>
  <c r="G73" i="21"/>
  <c r="C73" i="21"/>
  <c r="O72" i="21"/>
  <c r="N72" i="21"/>
  <c r="M72" i="21"/>
  <c r="L72" i="21"/>
  <c r="K72" i="21"/>
  <c r="J72" i="21"/>
  <c r="I72" i="21"/>
  <c r="H72" i="21"/>
  <c r="F72" i="21"/>
  <c r="E72" i="21"/>
  <c r="D72" i="21"/>
  <c r="C72" i="21"/>
  <c r="N70" i="21"/>
  <c r="M70" i="21"/>
  <c r="L70" i="21"/>
  <c r="K70" i="21"/>
  <c r="H70" i="21"/>
  <c r="D70" i="21"/>
  <c r="C70" i="21"/>
  <c r="N69" i="21"/>
  <c r="M69" i="21"/>
  <c r="H69" i="21"/>
  <c r="D69" i="21"/>
  <c r="C69" i="21"/>
  <c r="N68" i="21"/>
  <c r="M68" i="21"/>
  <c r="K68" i="21"/>
  <c r="I68" i="21"/>
  <c r="H68" i="21"/>
  <c r="D68" i="21"/>
  <c r="C68" i="21"/>
  <c r="W48" i="21"/>
  <c r="V48" i="21"/>
  <c r="U48" i="21"/>
  <c r="T48" i="21"/>
  <c r="S48" i="21"/>
  <c r="R48" i="21"/>
  <c r="Q48" i="21"/>
  <c r="P48" i="21"/>
  <c r="Y47" i="21"/>
  <c r="V47" i="21"/>
  <c r="U47" i="21"/>
  <c r="T47" i="21"/>
  <c r="S47" i="21"/>
  <c r="R47" i="21"/>
  <c r="Q47" i="21"/>
  <c r="P47" i="21"/>
  <c r="W46" i="21"/>
  <c r="V46" i="21"/>
  <c r="U46" i="21"/>
  <c r="T46" i="21"/>
  <c r="S46" i="21"/>
  <c r="R46" i="21"/>
  <c r="Q46" i="21"/>
  <c r="Y45" i="21"/>
  <c r="V45" i="21"/>
  <c r="U45" i="21"/>
  <c r="T45" i="21"/>
  <c r="S45" i="21"/>
  <c r="R45" i="21"/>
  <c r="P45" i="21"/>
  <c r="AB45" i="21"/>
  <c r="W39" i="21"/>
  <c r="V39" i="21"/>
  <c r="U39" i="21"/>
  <c r="T39" i="21"/>
  <c r="S39" i="21"/>
  <c r="R39" i="21"/>
  <c r="Q39" i="21"/>
  <c r="P39" i="21"/>
  <c r="Y37" i="21"/>
  <c r="N36" i="21"/>
  <c r="M36" i="21"/>
  <c r="W26" i="21"/>
  <c r="W27" i="21"/>
  <c r="W28" i="21"/>
  <c r="W29" i="21"/>
  <c r="W30" i="21"/>
  <c r="W31" i="21"/>
  <c r="W32" i="21"/>
  <c r="W33" i="21"/>
  <c r="W34" i="21"/>
  <c r="W38" i="21" s="1"/>
  <c r="L36" i="21"/>
  <c r="K36" i="21"/>
  <c r="J36" i="21"/>
  <c r="Z34" i="21"/>
  <c r="Z38" i="21" s="1"/>
  <c r="Y34" i="21"/>
  <c r="X34" i="21"/>
  <c r="V34" i="21"/>
  <c r="U34" i="21"/>
  <c r="U38" i="21" s="1"/>
  <c r="T34" i="21"/>
  <c r="S34" i="21"/>
  <c r="R34" i="21"/>
  <c r="Q34" i="21"/>
  <c r="Q38" i="21" s="1"/>
  <c r="P34" i="21"/>
  <c r="AA33" i="21"/>
  <c r="Z33" i="21"/>
  <c r="Y33" i="21"/>
  <c r="X33" i="21"/>
  <c r="V33" i="21"/>
  <c r="U33" i="21"/>
  <c r="T33" i="21"/>
  <c r="S33" i="21"/>
  <c r="R33" i="21"/>
  <c r="Q33" i="21"/>
  <c r="P33" i="21"/>
  <c r="AB33" i="21" s="1"/>
  <c r="AA32" i="21"/>
  <c r="Z32" i="21"/>
  <c r="Y32" i="21"/>
  <c r="X32" i="21"/>
  <c r="V32" i="21"/>
  <c r="U32" i="21"/>
  <c r="T32" i="21"/>
  <c r="S32" i="21"/>
  <c r="R32" i="21"/>
  <c r="Q32" i="21"/>
  <c r="P32" i="21"/>
  <c r="P36" i="21" s="1"/>
  <c r="AA31" i="21"/>
  <c r="Z31" i="21"/>
  <c r="Y31" i="21"/>
  <c r="X31" i="21"/>
  <c r="V31" i="21"/>
  <c r="U31" i="21"/>
  <c r="T31" i="21"/>
  <c r="S31" i="21"/>
  <c r="R31" i="21"/>
  <c r="Q31" i="21"/>
  <c r="P31" i="21"/>
  <c r="AA30" i="21"/>
  <c r="Z30" i="21"/>
  <c r="Y30" i="21"/>
  <c r="X30" i="21"/>
  <c r="V30" i="21"/>
  <c r="U30" i="21"/>
  <c r="T30" i="21"/>
  <c r="S30" i="21"/>
  <c r="R30" i="21"/>
  <c r="Q30" i="21"/>
  <c r="P30" i="21"/>
  <c r="AA29" i="21"/>
  <c r="Z29" i="21"/>
  <c r="Y29" i="21"/>
  <c r="X29" i="21"/>
  <c r="V29" i="21"/>
  <c r="U29" i="21"/>
  <c r="T29" i="21"/>
  <c r="S29" i="21"/>
  <c r="R29" i="21"/>
  <c r="Q29" i="21"/>
  <c r="P29" i="21"/>
  <c r="AB29" i="21"/>
  <c r="AA28" i="21"/>
  <c r="Z28" i="21"/>
  <c r="Y28" i="21"/>
  <c r="V28" i="21"/>
  <c r="R28" i="21"/>
  <c r="Q26" i="21"/>
  <c r="T322" i="49"/>
  <c r="Q27" i="21"/>
  <c r="AA27" i="21"/>
  <c r="Z27" i="21"/>
  <c r="Y27" i="21"/>
  <c r="X27" i="21"/>
  <c r="V27" i="21"/>
  <c r="U27" i="21"/>
  <c r="T27" i="21"/>
  <c r="S27" i="21"/>
  <c r="R27" i="21"/>
  <c r="P27" i="21"/>
  <c r="AA26" i="21"/>
  <c r="Z26" i="21"/>
  <c r="Y26" i="21"/>
  <c r="X26" i="21"/>
  <c r="V26" i="21"/>
  <c r="U26" i="21"/>
  <c r="T26" i="21"/>
  <c r="S26" i="21"/>
  <c r="R26" i="21"/>
  <c r="P26" i="21"/>
  <c r="AB26" i="21"/>
  <c r="AA25" i="21"/>
  <c r="Z25" i="21"/>
  <c r="Y25" i="21"/>
  <c r="X25" i="21"/>
  <c r="W25" i="21"/>
  <c r="V25" i="21"/>
  <c r="U25" i="21"/>
  <c r="T25" i="21"/>
  <c r="S25" i="21"/>
  <c r="R25" i="21"/>
  <c r="Q25" i="21"/>
  <c r="P25" i="21"/>
  <c r="AA24" i="21"/>
  <c r="Z24" i="21"/>
  <c r="Y24" i="21"/>
  <c r="U24" i="21"/>
  <c r="T24" i="21"/>
  <c r="R24" i="21"/>
  <c r="Q24" i="21"/>
  <c r="P24" i="21"/>
  <c r="X24" i="21"/>
  <c r="X23" i="21"/>
  <c r="N83" i="21"/>
  <c r="K83" i="21"/>
  <c r="R23" i="21"/>
  <c r="D83" i="21"/>
  <c r="C83" i="21"/>
  <c r="Z22" i="21"/>
  <c r="Y22" i="21"/>
  <c r="U22" i="21"/>
  <c r="Q22" i="21"/>
  <c r="P22" i="21"/>
  <c r="X22" i="21"/>
  <c r="Z20" i="21"/>
  <c r="Y20" i="21"/>
  <c r="X20" i="21"/>
  <c r="W20" i="21"/>
  <c r="V20" i="21"/>
  <c r="U20" i="21"/>
  <c r="R20" i="21"/>
  <c r="Q20" i="21"/>
  <c r="P20" i="21"/>
  <c r="AA19" i="21"/>
  <c r="Z19" i="21"/>
  <c r="Y19" i="21"/>
  <c r="X19" i="21"/>
  <c r="W19" i="21"/>
  <c r="V19" i="21"/>
  <c r="U19" i="21"/>
  <c r="T19" i="21"/>
  <c r="S19" i="21"/>
  <c r="R19" i="21"/>
  <c r="Q19" i="21"/>
  <c r="P19" i="21"/>
  <c r="AA18" i="21"/>
  <c r="Z18" i="21"/>
  <c r="Y18" i="21"/>
  <c r="X18" i="21"/>
  <c r="W18" i="21"/>
  <c r="V18" i="21"/>
  <c r="U18" i="21"/>
  <c r="T18" i="21"/>
  <c r="S18" i="21"/>
  <c r="R18" i="21"/>
  <c r="Q18" i="21"/>
  <c r="P18" i="21"/>
  <c r="AA17" i="21"/>
  <c r="Z17" i="21"/>
  <c r="Y17" i="21"/>
  <c r="X17" i="21"/>
  <c r="W17" i="21"/>
  <c r="V17" i="21"/>
  <c r="T17" i="21"/>
  <c r="S17" i="21"/>
  <c r="R17" i="21"/>
  <c r="Q17" i="21"/>
  <c r="P17" i="21"/>
  <c r="Z16" i="21"/>
  <c r="Y16" i="21"/>
  <c r="V16" i="21"/>
  <c r="U16" i="21"/>
  <c r="AA15" i="21"/>
  <c r="Z15" i="21"/>
  <c r="Y15" i="21"/>
  <c r="X15" i="21"/>
  <c r="V15" i="21"/>
  <c r="U15" i="21"/>
  <c r="T15" i="21"/>
  <c r="S15" i="21"/>
  <c r="R15" i="21"/>
  <c r="Q15" i="21"/>
  <c r="P15" i="21"/>
  <c r="AA14" i="21"/>
  <c r="Z14" i="21"/>
  <c r="Y14" i="21"/>
  <c r="X14" i="21"/>
  <c r="U14" i="21"/>
  <c r="T14" i="21"/>
  <c r="S14" i="21"/>
  <c r="R14" i="21"/>
  <c r="Q14" i="21"/>
  <c r="P14" i="21"/>
  <c r="AA12" i="21"/>
  <c r="Z12" i="21"/>
  <c r="Y12" i="21"/>
  <c r="W12" i="21"/>
  <c r="V12" i="21"/>
  <c r="U12" i="21"/>
  <c r="R12" i="21"/>
  <c r="Q12" i="21"/>
  <c r="P12" i="21"/>
  <c r="X12" i="21"/>
  <c r="C11" i="21"/>
  <c r="C7" i="21"/>
  <c r="N67" i="21" s="1"/>
  <c r="Z10" i="21"/>
  <c r="Q10" i="21"/>
  <c r="P10" i="21"/>
  <c r="X10" i="21"/>
  <c r="U10" i="21"/>
  <c r="Z9" i="21"/>
  <c r="U9" i="21"/>
  <c r="R9" i="21"/>
  <c r="Q9" i="21"/>
  <c r="P9" i="21"/>
  <c r="V9" i="21"/>
  <c r="AA8" i="21"/>
  <c r="Z8" i="21"/>
  <c r="W8" i="21"/>
  <c r="U8" i="21"/>
  <c r="P8" i="21"/>
  <c r="X8" i="21"/>
  <c r="V8" i="21"/>
  <c r="Q8" i="21"/>
  <c r="A132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O126" i="22"/>
  <c r="R113" i="22"/>
  <c r="N113" i="22"/>
  <c r="J113" i="22"/>
  <c r="BB112" i="22"/>
  <c r="AX112" i="22"/>
  <c r="AT112" i="22"/>
  <c r="AP112" i="22"/>
  <c r="AL112" i="22"/>
  <c r="AH112" i="22"/>
  <c r="AD112" i="22"/>
  <c r="Z112" i="22"/>
  <c r="V112" i="22"/>
  <c r="R112" i="22"/>
  <c r="N112" i="22"/>
  <c r="J112" i="22"/>
  <c r="BB111" i="22"/>
  <c r="AX111" i="22"/>
  <c r="AT111" i="22"/>
  <c r="AP111" i="22"/>
  <c r="AL111" i="22"/>
  <c r="AH111" i="22"/>
  <c r="AD111" i="22"/>
  <c r="Z111" i="22"/>
  <c r="V111" i="22"/>
  <c r="R111" i="22"/>
  <c r="N111" i="22"/>
  <c r="J111" i="22"/>
  <c r="BB110" i="22"/>
  <c r="AX110" i="22"/>
  <c r="AT110" i="22"/>
  <c r="AP110" i="22"/>
  <c r="AL110" i="22"/>
  <c r="AH110" i="22"/>
  <c r="AD110" i="22"/>
  <c r="Z110" i="22"/>
  <c r="V110" i="22"/>
  <c r="R110" i="22"/>
  <c r="N110" i="22"/>
  <c r="J110" i="22"/>
  <c r="BB109" i="22"/>
  <c r="AX109" i="22"/>
  <c r="AT109" i="22"/>
  <c r="AP109" i="22"/>
  <c r="AL109" i="22"/>
  <c r="AH109" i="22"/>
  <c r="AD109" i="22"/>
  <c r="Z109" i="22"/>
  <c r="V109" i="22"/>
  <c r="R109" i="22"/>
  <c r="N109" i="22"/>
  <c r="J109" i="22"/>
  <c r="BB108" i="22"/>
  <c r="AX108" i="22"/>
  <c r="AT108" i="22"/>
  <c r="AP108" i="22"/>
  <c r="AL108" i="22"/>
  <c r="AH108" i="22"/>
  <c r="AD108" i="22"/>
  <c r="Z108" i="22"/>
  <c r="V108" i="22"/>
  <c r="R108" i="22"/>
  <c r="N108" i="22"/>
  <c r="J108" i="22"/>
  <c r="BA107" i="22"/>
  <c r="AZ107" i="22"/>
  <c r="AY107" i="22"/>
  <c r="AR99" i="22"/>
  <c r="AJ107" i="22"/>
  <c r="AL107" i="22"/>
  <c r="D107" i="22"/>
  <c r="B107" i="22"/>
  <c r="BB106" i="22"/>
  <c r="AX106" i="22"/>
  <c r="AT106" i="22"/>
  <c r="AP106" i="22"/>
  <c r="AL106" i="22"/>
  <c r="AH106" i="22"/>
  <c r="AD106" i="22"/>
  <c r="Z106" i="22"/>
  <c r="V106" i="22"/>
  <c r="R106" i="22"/>
  <c r="N106" i="22"/>
  <c r="J106" i="22"/>
  <c r="BB105" i="22"/>
  <c r="AX105" i="22"/>
  <c r="AT105" i="22"/>
  <c r="AP105" i="22"/>
  <c r="AL105" i="22"/>
  <c r="AH105" i="22"/>
  <c r="AD105" i="22"/>
  <c r="Z105" i="22"/>
  <c r="V105" i="22"/>
  <c r="R105" i="22"/>
  <c r="N105" i="22"/>
  <c r="J105" i="22"/>
  <c r="BB104" i="22"/>
  <c r="AX104" i="22"/>
  <c r="AT104" i="22"/>
  <c r="AP104" i="22"/>
  <c r="AL104" i="22"/>
  <c r="AH104" i="22"/>
  <c r="AD104" i="22"/>
  <c r="Z104" i="22"/>
  <c r="V104" i="22"/>
  <c r="R104" i="22"/>
  <c r="N104" i="22"/>
  <c r="J104" i="22"/>
  <c r="BB103" i="22"/>
  <c r="AX103" i="22"/>
  <c r="AT103" i="22"/>
  <c r="AP103" i="22"/>
  <c r="AL103" i="22"/>
  <c r="AH103" i="22"/>
  <c r="AD103" i="22"/>
  <c r="Z103" i="22"/>
  <c r="V103" i="22"/>
  <c r="R103" i="22"/>
  <c r="N103" i="22"/>
  <c r="J103" i="22"/>
  <c r="BB102" i="22"/>
  <c r="AX102" i="22"/>
  <c r="AT102" i="22"/>
  <c r="AP102" i="22"/>
  <c r="AL102" i="22"/>
  <c r="AH102" i="22"/>
  <c r="AD102" i="22"/>
  <c r="Z102" i="22"/>
  <c r="V102" i="22"/>
  <c r="R102" i="22"/>
  <c r="N102" i="22"/>
  <c r="J102" i="22"/>
  <c r="BB101" i="22"/>
  <c r="AX101" i="22"/>
  <c r="AT101" i="22"/>
  <c r="AP101" i="22"/>
  <c r="AL101" i="22"/>
  <c r="AH101" i="22"/>
  <c r="AD101" i="22"/>
  <c r="Z101" i="22"/>
  <c r="V101" i="22"/>
  <c r="R101" i="22"/>
  <c r="N101" i="22"/>
  <c r="J101" i="22"/>
  <c r="BA100" i="22"/>
  <c r="BA99" i="22"/>
  <c r="AZ100" i="22"/>
  <c r="AY100" i="22"/>
  <c r="AN99" i="22"/>
  <c r="AJ100" i="22"/>
  <c r="AL100" i="22"/>
  <c r="AL99" i="22" s="1"/>
  <c r="X99" i="22"/>
  <c r="L85" i="22"/>
  <c r="L84" i="22"/>
  <c r="H99" i="22"/>
  <c r="D100" i="22"/>
  <c r="AV99" i="22"/>
  <c r="AJ99" i="22"/>
  <c r="AF99" i="22"/>
  <c r="T99" i="22"/>
  <c r="P99" i="22"/>
  <c r="D99" i="22"/>
  <c r="BB98" i="22"/>
  <c r="AX98" i="22"/>
  <c r="AT98" i="22"/>
  <c r="AP98" i="22"/>
  <c r="AL98" i="22"/>
  <c r="AH98" i="22"/>
  <c r="AD98" i="22"/>
  <c r="Z98" i="22"/>
  <c r="V98" i="22"/>
  <c r="R98" i="22"/>
  <c r="N98" i="22"/>
  <c r="J98" i="22"/>
  <c r="F98" i="22"/>
  <c r="BB97" i="22"/>
  <c r="AL97" i="22"/>
  <c r="BB96" i="22"/>
  <c r="AL96" i="22"/>
  <c r="BB95" i="22"/>
  <c r="AL95" i="22"/>
  <c r="BB94" i="22"/>
  <c r="AL94" i="22"/>
  <c r="BB93" i="22"/>
  <c r="AL93" i="22"/>
  <c r="BB92" i="22"/>
  <c r="AL92" i="22"/>
  <c r="BB91" i="22"/>
  <c r="AL91" i="22"/>
  <c r="BB90" i="22"/>
  <c r="AL90" i="22"/>
  <c r="BB89" i="22"/>
  <c r="AL89" i="22"/>
  <c r="BB88" i="22"/>
  <c r="AL88" i="22"/>
  <c r="BB87" i="22"/>
  <c r="AL87" i="22"/>
  <c r="BB86" i="22"/>
  <c r="AL86" i="22"/>
  <c r="AL85" i="22"/>
  <c r="BA85" i="22"/>
  <c r="BA84" i="22" s="1"/>
  <c r="BA65" i="22" s="1"/>
  <c r="Q128" i="22" s="1"/>
  <c r="AZ85" i="22"/>
  <c r="AY85" i="22"/>
  <c r="AV85" i="22"/>
  <c r="AV84" i="22" s="1"/>
  <c r="AR85" i="22"/>
  <c r="AN85" i="22"/>
  <c r="AN84" i="22" s="1"/>
  <c r="AN65" i="22" s="1"/>
  <c r="AJ85" i="22"/>
  <c r="AF85" i="22"/>
  <c r="AB85" i="22"/>
  <c r="X85" i="22"/>
  <c r="X84" i="22"/>
  <c r="X65" i="22" s="1"/>
  <c r="T85" i="22"/>
  <c r="P85" i="22"/>
  <c r="H85" i="22"/>
  <c r="H84" i="22"/>
  <c r="D85" i="22"/>
  <c r="D84" i="22" s="1"/>
  <c r="D65" i="22" s="1"/>
  <c r="E333" i="49" s="1"/>
  <c r="BB83" i="22"/>
  <c r="AL83" i="22"/>
  <c r="BB82" i="22"/>
  <c r="AL82" i="22"/>
  <c r="BB81" i="22"/>
  <c r="AL81" i="22"/>
  <c r="BB80" i="22"/>
  <c r="AL80" i="22"/>
  <c r="BB79" i="22"/>
  <c r="AL79" i="22"/>
  <c r="BB78" i="22"/>
  <c r="AL78" i="22"/>
  <c r="BB77" i="22"/>
  <c r="AL77" i="22"/>
  <c r="BB76" i="22"/>
  <c r="AL76" i="22"/>
  <c r="BB75" i="22"/>
  <c r="AL75" i="22"/>
  <c r="BB74" i="22"/>
  <c r="AL74" i="22"/>
  <c r="BB73" i="22"/>
  <c r="AL73" i="22"/>
  <c r="BB72" i="22"/>
  <c r="AL72" i="22"/>
  <c r="BB71" i="22"/>
  <c r="AL71" i="22"/>
  <c r="BB70" i="22"/>
  <c r="BB66" i="22" s="1"/>
  <c r="AL70" i="22"/>
  <c r="BB69" i="22"/>
  <c r="AL69" i="22"/>
  <c r="AB66" i="22"/>
  <c r="D66" i="22"/>
  <c r="BB68" i="22"/>
  <c r="AL68" i="22"/>
  <c r="BB67" i="22"/>
  <c r="AN66" i="22"/>
  <c r="AL67" i="22"/>
  <c r="BA66" i="22"/>
  <c r="AZ66" i="22"/>
  <c r="AY66" i="22"/>
  <c r="AV66" i="22"/>
  <c r="AR66" i="22"/>
  <c r="AJ66" i="22"/>
  <c r="AF66" i="22"/>
  <c r="X66" i="22"/>
  <c r="T66" i="22"/>
  <c r="P66" i="22"/>
  <c r="P65" i="22" s="1"/>
  <c r="L66" i="22"/>
  <c r="H66" i="22"/>
  <c r="B66" i="22"/>
  <c r="B65" i="22" s="1"/>
  <c r="N64" i="22"/>
  <c r="BB53" i="22"/>
  <c r="BB52" i="22"/>
  <c r="BB50" i="22"/>
  <c r="BB48" i="22"/>
  <c r="BB49" i="22"/>
  <c r="BA48" i="22"/>
  <c r="AZ48" i="22"/>
  <c r="AZ41" i="22"/>
  <c r="AZ40" i="22" s="1"/>
  <c r="AZ27" i="22"/>
  <c r="AZ7" i="22"/>
  <c r="AY48" i="22"/>
  <c r="AV48" i="22"/>
  <c r="AR48" i="22"/>
  <c r="AR40" i="22" s="1"/>
  <c r="AN48" i="22"/>
  <c r="AJ48" i="22"/>
  <c r="AF48" i="22"/>
  <c r="AF40" i="22" s="1"/>
  <c r="AF26" i="22"/>
  <c r="AB48" i="22"/>
  <c r="X48" i="22"/>
  <c r="T48" i="22"/>
  <c r="T40" i="22" s="1"/>
  <c r="L48" i="22"/>
  <c r="H48" i="22"/>
  <c r="D48" i="22"/>
  <c r="BB47" i="22"/>
  <c r="BB46" i="22"/>
  <c r="BB45" i="22"/>
  <c r="BB44" i="22"/>
  <c r="BB43" i="22"/>
  <c r="BB42" i="22"/>
  <c r="BA41" i="22"/>
  <c r="BA40" i="22"/>
  <c r="AY41" i="22"/>
  <c r="AV41" i="22"/>
  <c r="AV40" i="22" s="1"/>
  <c r="AV26" i="22" s="1"/>
  <c r="AN41" i="22"/>
  <c r="AN40" i="22" s="1"/>
  <c r="AN27" i="22"/>
  <c r="AJ41" i="22"/>
  <c r="AJ40" i="22"/>
  <c r="AJ27" i="22"/>
  <c r="AJ26" i="22" s="1"/>
  <c r="AF41" i="22"/>
  <c r="AF27" i="22"/>
  <c r="AB41" i="22"/>
  <c r="AB40" i="22"/>
  <c r="X41" i="22"/>
  <c r="X40" i="22"/>
  <c r="X27" i="22"/>
  <c r="X26" i="22"/>
  <c r="X6" i="22" s="1"/>
  <c r="T41" i="22"/>
  <c r="T27" i="22"/>
  <c r="P41" i="22"/>
  <c r="P40" i="22" s="1"/>
  <c r="P27" i="22"/>
  <c r="L41" i="22"/>
  <c r="L40" i="22" s="1"/>
  <c r="H41" i="22"/>
  <c r="H40" i="22" s="1"/>
  <c r="H27" i="22"/>
  <c r="H26" i="22" s="1"/>
  <c r="H6" i="22" s="1"/>
  <c r="H7" i="22"/>
  <c r="D41" i="22"/>
  <c r="D40" i="22" s="1"/>
  <c r="D27" i="22"/>
  <c r="AV27" i="22"/>
  <c r="AV7" i="22"/>
  <c r="BB39" i="22"/>
  <c r="BB38" i="22"/>
  <c r="BB37" i="22"/>
  <c r="AR27" i="22"/>
  <c r="BB36" i="22"/>
  <c r="BB35" i="22"/>
  <c r="BB34" i="22"/>
  <c r="BB33" i="22"/>
  <c r="BB32" i="22"/>
  <c r="BB31" i="22"/>
  <c r="BB30" i="22"/>
  <c r="BB29" i="22"/>
  <c r="BB28" i="22"/>
  <c r="BA27" i="22"/>
  <c r="AY27" i="22"/>
  <c r="AB27" i="22"/>
  <c r="L27" i="22"/>
  <c r="BB25" i="22"/>
  <c r="BB24" i="22"/>
  <c r="BB23" i="22"/>
  <c r="BB22" i="22"/>
  <c r="BB21" i="22"/>
  <c r="BB20" i="22"/>
  <c r="BB19" i="22"/>
  <c r="BB18" i="22"/>
  <c r="BB17" i="22"/>
  <c r="BB16" i="22"/>
  <c r="BB15" i="22"/>
  <c r="BB14" i="22"/>
  <c r="BB13" i="22"/>
  <c r="BB12" i="22"/>
  <c r="BB11" i="22"/>
  <c r="BB10" i="22"/>
  <c r="BB9" i="22"/>
  <c r="BB8" i="22"/>
  <c r="BA7" i="22"/>
  <c r="AY7" i="22"/>
  <c r="AR7" i="22"/>
  <c r="AN7" i="22"/>
  <c r="AJ7" i="22"/>
  <c r="AF7" i="22"/>
  <c r="AB7" i="22"/>
  <c r="X7" i="22"/>
  <c r="T7" i="22"/>
  <c r="P7" i="22"/>
  <c r="L7" i="22"/>
  <c r="D7" i="22"/>
  <c r="B7" i="22"/>
  <c r="B6" i="22"/>
  <c r="N5" i="22"/>
  <c r="N86" i="6"/>
  <c r="M86" i="6"/>
  <c r="L86" i="6"/>
  <c r="K86" i="6"/>
  <c r="J86" i="6"/>
  <c r="I86" i="6"/>
  <c r="H86" i="6"/>
  <c r="G86" i="6"/>
  <c r="F86" i="6"/>
  <c r="E86" i="6"/>
  <c r="D86" i="6"/>
  <c r="C86" i="6"/>
  <c r="O9" i="6"/>
  <c r="O17" i="6"/>
  <c r="N85" i="6"/>
  <c r="M85" i="6"/>
  <c r="L85" i="6"/>
  <c r="K85" i="6"/>
  <c r="J85" i="6"/>
  <c r="I85" i="6"/>
  <c r="H85" i="6"/>
  <c r="G85" i="6"/>
  <c r="F85" i="6"/>
  <c r="E85" i="6"/>
  <c r="D85" i="6"/>
  <c r="C85" i="6"/>
  <c r="N84" i="6"/>
  <c r="M84" i="6"/>
  <c r="L84" i="6"/>
  <c r="K84" i="6"/>
  <c r="J84" i="6"/>
  <c r="I84" i="6"/>
  <c r="H84" i="6"/>
  <c r="G84" i="6"/>
  <c r="F84" i="6"/>
  <c r="E84" i="6"/>
  <c r="D84" i="6"/>
  <c r="C84" i="6"/>
  <c r="N83" i="6"/>
  <c r="M83" i="6"/>
  <c r="L83" i="6"/>
  <c r="K83" i="6"/>
  <c r="J83" i="6"/>
  <c r="I83" i="6"/>
  <c r="H83" i="6"/>
  <c r="G83" i="6"/>
  <c r="F83" i="6"/>
  <c r="E83" i="6"/>
  <c r="D83" i="6"/>
  <c r="C83" i="6"/>
  <c r="O6" i="6"/>
  <c r="O13" i="6"/>
  <c r="N82" i="6"/>
  <c r="M82" i="6"/>
  <c r="M80" i="6"/>
  <c r="L82" i="6"/>
  <c r="K82" i="6"/>
  <c r="J82" i="6"/>
  <c r="I82" i="6"/>
  <c r="I80" i="6"/>
  <c r="H82" i="6"/>
  <c r="G82" i="6"/>
  <c r="F82" i="6"/>
  <c r="E82" i="6"/>
  <c r="E80" i="6" s="1"/>
  <c r="D82" i="6"/>
  <c r="C82" i="6"/>
  <c r="O5" i="6"/>
  <c r="O12" i="6"/>
  <c r="N81" i="6"/>
  <c r="M81" i="6"/>
  <c r="L81" i="6"/>
  <c r="L80" i="6" s="1"/>
  <c r="K81" i="6"/>
  <c r="J81" i="6"/>
  <c r="I81" i="6"/>
  <c r="H81" i="6"/>
  <c r="G81" i="6"/>
  <c r="F81" i="6"/>
  <c r="E81" i="6"/>
  <c r="D81" i="6"/>
  <c r="C81" i="6"/>
  <c r="H80" i="6"/>
  <c r="B80" i="6"/>
  <c r="S76" i="6"/>
  <c r="T76" i="6" s="1"/>
  <c r="S75" i="6"/>
  <c r="T75" i="6" s="1"/>
  <c r="O72" i="6"/>
  <c r="O71" i="6"/>
  <c r="O70" i="6"/>
  <c r="O69" i="6"/>
  <c r="O68" i="6"/>
  <c r="O67" i="6"/>
  <c r="O66" i="6"/>
  <c r="O65" i="6"/>
  <c r="N59" i="6"/>
  <c r="M59" i="6"/>
  <c r="L59" i="6"/>
  <c r="K59" i="6"/>
  <c r="J59" i="6"/>
  <c r="I59" i="6"/>
  <c r="H59" i="6"/>
  <c r="G59" i="6"/>
  <c r="F59" i="6"/>
  <c r="E59" i="6"/>
  <c r="D59" i="6"/>
  <c r="C59" i="6"/>
  <c r="O58" i="6"/>
  <c r="O57" i="6"/>
  <c r="O56" i="6"/>
  <c r="O55" i="6"/>
  <c r="O54" i="6"/>
  <c r="O53" i="6"/>
  <c r="O52" i="6"/>
  <c r="O51" i="6"/>
  <c r="O34" i="6"/>
  <c r="O33" i="6"/>
  <c r="O26" i="6"/>
  <c r="O25" i="6"/>
  <c r="O23" i="6"/>
  <c r="O22" i="6"/>
  <c r="O20" i="6"/>
  <c r="O19" i="6"/>
  <c r="O18" i="6"/>
  <c r="O16" i="6"/>
  <c r="O15" i="6"/>
  <c r="O14" i="6"/>
  <c r="O10" i="6"/>
  <c r="O8" i="6"/>
  <c r="O84" i="6"/>
  <c r="O7" i="6"/>
  <c r="N4" i="6"/>
  <c r="M4" i="6"/>
  <c r="L4" i="6"/>
  <c r="N373" i="16"/>
  <c r="N369" i="16" s="1"/>
  <c r="K4" i="6"/>
  <c r="M373" i="16" s="1"/>
  <c r="M369" i="16" s="1"/>
  <c r="J4" i="6"/>
  <c r="I4" i="6"/>
  <c r="H4" i="6"/>
  <c r="J373" i="16"/>
  <c r="J369" i="16" s="1"/>
  <c r="G4" i="6"/>
  <c r="I373" i="16"/>
  <c r="I369" i="16" s="1"/>
  <c r="F4" i="6"/>
  <c r="E4" i="6"/>
  <c r="D4" i="6"/>
  <c r="F373" i="16" s="1"/>
  <c r="F369" i="16" s="1"/>
  <c r="C4" i="6"/>
  <c r="B4" i="6"/>
  <c r="F1" i="6"/>
  <c r="H87" i="10"/>
  <c r="I87" i="10"/>
  <c r="G87" i="10"/>
  <c r="H86" i="10"/>
  <c r="G86" i="10"/>
  <c r="H85" i="10"/>
  <c r="G85" i="10"/>
  <c r="F85" i="10"/>
  <c r="E85" i="10"/>
  <c r="D85" i="10"/>
  <c r="H84" i="10"/>
  <c r="G84" i="10"/>
  <c r="F84" i="10"/>
  <c r="E84" i="10"/>
  <c r="D84" i="10"/>
  <c r="H83" i="10"/>
  <c r="G83" i="10"/>
  <c r="F83" i="10"/>
  <c r="E83" i="10"/>
  <c r="D83" i="10"/>
  <c r="F82" i="10"/>
  <c r="E82" i="10"/>
  <c r="D82" i="10"/>
  <c r="F81" i="10"/>
  <c r="E81" i="10"/>
  <c r="D81" i="10"/>
  <c r="F80" i="10"/>
  <c r="E80" i="10"/>
  <c r="F79" i="10"/>
  <c r="E79" i="10"/>
  <c r="D79" i="10"/>
  <c r="F78" i="10"/>
  <c r="E78" i="10"/>
  <c r="D78" i="10"/>
  <c r="F77" i="10"/>
  <c r="E77" i="10"/>
  <c r="D77" i="10"/>
  <c r="R76" i="10"/>
  <c r="S76" i="10"/>
  <c r="Q76" i="10"/>
  <c r="P76" i="10"/>
  <c r="O76" i="10"/>
  <c r="N76" i="10"/>
  <c r="M76" i="10"/>
  <c r="L76" i="10"/>
  <c r="K76" i="10"/>
  <c r="J76" i="10"/>
  <c r="I76" i="10"/>
  <c r="H76" i="10"/>
  <c r="G76" i="10"/>
  <c r="F76" i="10"/>
  <c r="E76" i="10"/>
  <c r="D76" i="10"/>
  <c r="F75" i="10"/>
  <c r="E75" i="10"/>
  <c r="D75" i="10"/>
  <c r="F74" i="10"/>
  <c r="E74" i="10"/>
  <c r="D74" i="10"/>
  <c r="F73" i="10"/>
  <c r="E73" i="10"/>
  <c r="D73" i="10"/>
  <c r="G72" i="10"/>
  <c r="F71" i="10"/>
  <c r="G71" i="10" s="1"/>
  <c r="E71" i="10"/>
  <c r="D71" i="10"/>
  <c r="G70" i="10"/>
  <c r="R63" i="10"/>
  <c r="Q63" i="10"/>
  <c r="P63" i="10"/>
  <c r="O63" i="10"/>
  <c r="N63" i="10"/>
  <c r="M63" i="10"/>
  <c r="L63" i="10"/>
  <c r="K63" i="10"/>
  <c r="J63" i="10"/>
  <c r="J67" i="10"/>
  <c r="I63" i="10"/>
  <c r="H63" i="10"/>
  <c r="G63" i="10"/>
  <c r="G67" i="10"/>
  <c r="F63" i="10"/>
  <c r="E63" i="10"/>
  <c r="D63" i="10"/>
  <c r="R62" i="10"/>
  <c r="R61" i="10"/>
  <c r="S61" i="10"/>
  <c r="Q62" i="10"/>
  <c r="Q61" i="10" s="1"/>
  <c r="P62" i="10"/>
  <c r="P61" i="10"/>
  <c r="O62" i="10"/>
  <c r="O61" i="10" s="1"/>
  <c r="N62" i="10"/>
  <c r="N67" i="10" s="1"/>
  <c r="N61" i="10"/>
  <c r="M62" i="10"/>
  <c r="M61" i="10" s="1"/>
  <c r="L62" i="10"/>
  <c r="K62" i="10"/>
  <c r="K61" i="10"/>
  <c r="J62" i="10"/>
  <c r="J61" i="10"/>
  <c r="I62" i="10"/>
  <c r="I61" i="10" s="1"/>
  <c r="H62" i="10"/>
  <c r="G62" i="10"/>
  <c r="G61" i="10"/>
  <c r="R60" i="10"/>
  <c r="F62" i="10"/>
  <c r="E62" i="10"/>
  <c r="D62" i="10"/>
  <c r="Q60" i="10"/>
  <c r="Q59" i="10"/>
  <c r="P60" i="10"/>
  <c r="P59" i="10"/>
  <c r="O60" i="10"/>
  <c r="O59" i="10" s="1"/>
  <c r="N60" i="10"/>
  <c r="N59" i="10"/>
  <c r="M60" i="10"/>
  <c r="M59" i="10" s="1"/>
  <c r="L60" i="10"/>
  <c r="K60" i="10"/>
  <c r="K59" i="10"/>
  <c r="J60" i="10"/>
  <c r="J59" i="10"/>
  <c r="I60" i="10"/>
  <c r="I59" i="10"/>
  <c r="H60" i="10"/>
  <c r="H59" i="10"/>
  <c r="G60" i="10"/>
  <c r="G59" i="10"/>
  <c r="F60" i="10"/>
  <c r="F59" i="10"/>
  <c r="E60" i="10"/>
  <c r="E59" i="10"/>
  <c r="D60" i="10"/>
  <c r="L59" i="10"/>
  <c r="D59" i="10"/>
  <c r="E10" i="10"/>
  <c r="E9" i="10" s="1"/>
  <c r="E12" i="10"/>
  <c r="E21" i="10"/>
  <c r="E20" i="10"/>
  <c r="S47" i="10"/>
  <c r="S46" i="10"/>
  <c r="S45" i="10"/>
  <c r="S44" i="10"/>
  <c r="S43" i="10"/>
  <c r="G82" i="10"/>
  <c r="D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Y29" i="10"/>
  <c r="S29" i="10"/>
  <c r="F28" i="10"/>
  <c r="F21" i="10" s="1"/>
  <c r="F20" i="10"/>
  <c r="S27" i="10"/>
  <c r="S26" i="10"/>
  <c r="S25" i="10"/>
  <c r="S24" i="10"/>
  <c r="S23" i="10"/>
  <c r="F22" i="10"/>
  <c r="D21" i="10"/>
  <c r="S14" i="10"/>
  <c r="S13" i="10"/>
  <c r="F12" i="10"/>
  <c r="D12" i="10"/>
  <c r="S11" i="10"/>
  <c r="F10" i="10"/>
  <c r="F9" i="10" s="1"/>
  <c r="F48" i="10" s="1"/>
  <c r="D10" i="10"/>
  <c r="D9" i="10" s="1"/>
  <c r="D19" i="10" s="1"/>
  <c r="D4" i="10"/>
  <c r="V88" i="11"/>
  <c r="V87" i="11"/>
  <c r="V86" i="11"/>
  <c r="W86" i="11"/>
  <c r="V84" i="11"/>
  <c r="W84" i="11"/>
  <c r="V83" i="11"/>
  <c r="V82" i="11"/>
  <c r="V81" i="11"/>
  <c r="V80" i="11"/>
  <c r="W80" i="11" s="1"/>
  <c r="V79" i="11"/>
  <c r="V78" i="11"/>
  <c r="W78" i="11"/>
  <c r="V77" i="11"/>
  <c r="V76" i="11"/>
  <c r="W76" i="11" s="1"/>
  <c r="V75" i="11"/>
  <c r="V74" i="11"/>
  <c r="W74" i="11"/>
  <c r="V73" i="11"/>
  <c r="W73" i="11"/>
  <c r="V72" i="11"/>
  <c r="V71" i="11"/>
  <c r="V70" i="11"/>
  <c r="I69" i="11"/>
  <c r="V69" i="11" s="1"/>
  <c r="H69" i="11"/>
  <c r="G69" i="11"/>
  <c r="F69" i="11"/>
  <c r="E69" i="11"/>
  <c r="V67" i="11"/>
  <c r="V66" i="11"/>
  <c r="V65" i="11"/>
  <c r="V63" i="11"/>
  <c r="V62" i="11"/>
  <c r="V61" i="11"/>
  <c r="V60" i="11"/>
  <c r="V59" i="11"/>
  <c r="V58" i="11"/>
  <c r="V57" i="11"/>
  <c r="V56" i="11"/>
  <c r="V55" i="11"/>
  <c r="V54" i="11"/>
  <c r="V53" i="11"/>
  <c r="V52" i="11"/>
  <c r="V51" i="11"/>
  <c r="V50" i="11"/>
  <c r="V49" i="11"/>
  <c r="V48" i="11"/>
  <c r="V47" i="11"/>
  <c r="V46" i="11"/>
  <c r="V45" i="11"/>
  <c r="W45" i="11" s="1"/>
  <c r="V44" i="11"/>
  <c r="W44" i="11" s="1"/>
  <c r="V43" i="11"/>
  <c r="W43" i="11" s="1"/>
  <c r="V42" i="11"/>
  <c r="W42" i="11" s="1"/>
  <c r="V41" i="11"/>
  <c r="V40" i="11"/>
  <c r="V39" i="11"/>
  <c r="W39" i="11" s="1"/>
  <c r="V38" i="11"/>
  <c r="V37" i="11"/>
  <c r="W37" i="11"/>
  <c r="V36" i="11"/>
  <c r="V35" i="11"/>
  <c r="V34" i="11"/>
  <c r="J55" i="39"/>
  <c r="I55" i="39"/>
  <c r="H55" i="39"/>
  <c r="P84" i="22"/>
  <c r="W79" i="11"/>
  <c r="R67" i="10"/>
  <c r="P67" i="10"/>
  <c r="P58" i="10" s="1"/>
  <c r="O24" i="6"/>
  <c r="T10" i="21"/>
  <c r="G70" i="21"/>
  <c r="F70" i="21"/>
  <c r="E70" i="21"/>
  <c r="S10" i="21"/>
  <c r="M83" i="21"/>
  <c r="Y23" i="21"/>
  <c r="S18" i="30"/>
  <c r="Q18" i="30"/>
  <c r="P18" i="30"/>
  <c r="Y8" i="21"/>
  <c r="F69" i="21"/>
  <c r="E69" i="21"/>
  <c r="R10" i="21"/>
  <c r="S12" i="21"/>
  <c r="T12" i="21"/>
  <c r="K73" i="21"/>
  <c r="J73" i="21"/>
  <c r="W13" i="21"/>
  <c r="R16" i="21"/>
  <c r="Q16" i="21"/>
  <c r="Q21" i="21"/>
  <c r="U23" i="21"/>
  <c r="S24" i="21"/>
  <c r="F73" i="21"/>
  <c r="E16" i="42"/>
  <c r="E39" i="39"/>
  <c r="I16" i="42"/>
  <c r="G16" i="42"/>
  <c r="F16" i="42"/>
  <c r="Q44" i="41"/>
  <c r="AY99" i="22"/>
  <c r="J69" i="21"/>
  <c r="I69" i="21"/>
  <c r="I73" i="21"/>
  <c r="H73" i="21"/>
  <c r="V13" i="21"/>
  <c r="Q23" i="21"/>
  <c r="K71" i="21"/>
  <c r="I83" i="21"/>
  <c r="W77" i="11"/>
  <c r="BB41" i="22"/>
  <c r="BB40" i="22" s="1"/>
  <c r="W15" i="21"/>
  <c r="AA16" i="21"/>
  <c r="S20" i="21"/>
  <c r="Z21" i="21"/>
  <c r="Z23" i="21"/>
  <c r="W36" i="11"/>
  <c r="W75" i="11"/>
  <c r="W40" i="11"/>
  <c r="W81" i="11"/>
  <c r="S10" i="10"/>
  <c r="S12" i="10"/>
  <c r="H71" i="21"/>
  <c r="T11" i="21"/>
  <c r="U13" i="21"/>
  <c r="T20" i="21"/>
  <c r="W22" i="21"/>
  <c r="V22" i="21"/>
  <c r="H83" i="21"/>
  <c r="P23" i="21"/>
  <c r="V14" i="21"/>
  <c r="AB27" i="21"/>
  <c r="G80" i="21"/>
  <c r="P5" i="24"/>
  <c r="P19" i="24" s="1"/>
  <c r="O5" i="24"/>
  <c r="O19" i="24" s="1"/>
  <c r="Y18" i="28"/>
  <c r="X18" i="28"/>
  <c r="W9" i="21"/>
  <c r="Y10" i="21"/>
  <c r="P16" i="21"/>
  <c r="S16" i="21"/>
  <c r="T16" i="21"/>
  <c r="W16" i="21"/>
  <c r="X16" i="21"/>
  <c r="T13" i="21"/>
  <c r="E83" i="21"/>
  <c r="AB47" i="21"/>
  <c r="L68" i="21"/>
  <c r="N73" i="21"/>
  <c r="G74" i="21"/>
  <c r="E82" i="21"/>
  <c r="L19" i="24"/>
  <c r="Y5" i="24"/>
  <c r="X5" i="24"/>
  <c r="X19" i="24" s="1"/>
  <c r="W5" i="24"/>
  <c r="W19" i="24" s="1"/>
  <c r="T5" i="24"/>
  <c r="T19" i="24" s="1"/>
  <c r="N19" i="24"/>
  <c r="M19" i="24"/>
  <c r="AB30" i="21"/>
  <c r="AB31" i="21"/>
  <c r="G72" i="21"/>
  <c r="Q18" i="28"/>
  <c r="P18" i="28"/>
  <c r="V18" i="28"/>
  <c r="T18" i="28"/>
  <c r="M39" i="39"/>
  <c r="F86" i="21"/>
  <c r="E86" i="21"/>
  <c r="J74" i="21"/>
  <c r="J75" i="21"/>
  <c r="G84" i="21"/>
  <c r="F19" i="40"/>
  <c r="J19" i="40"/>
  <c r="C47" i="41"/>
  <c r="V18" i="30"/>
  <c r="J68" i="21"/>
  <c r="L82" i="21"/>
  <c r="C89" i="21"/>
  <c r="W5" i="29"/>
  <c r="V5" i="29"/>
  <c r="U5" i="29"/>
  <c r="U18" i="29" s="1"/>
  <c r="T5" i="29"/>
  <c r="T18" i="29" s="1"/>
  <c r="S5" i="29"/>
  <c r="R5" i="29"/>
  <c r="R18" i="29" s="1"/>
  <c r="Q5" i="29"/>
  <c r="Q18" i="29" s="1"/>
  <c r="V18" i="29"/>
  <c r="Z18" i="30"/>
  <c r="M55" i="39"/>
  <c r="L55" i="39"/>
  <c r="K55" i="39"/>
  <c r="P28" i="21"/>
  <c r="F36" i="21"/>
  <c r="F92" i="21"/>
  <c r="G45" i="2"/>
  <c r="F55" i="39"/>
  <c r="E55" i="39"/>
  <c r="I33" i="11"/>
  <c r="I32" i="11" s="1"/>
  <c r="H33" i="11"/>
  <c r="G33" i="11"/>
  <c r="G32" i="11" s="1"/>
  <c r="F33" i="11"/>
  <c r="F32" i="11" s="1"/>
  <c r="E33" i="11"/>
  <c r="E32" i="11" s="1"/>
  <c r="O45" i="2"/>
  <c r="K45" i="2"/>
  <c r="H45" i="2"/>
  <c r="V31" i="11"/>
  <c r="V30" i="11"/>
  <c r="W30" i="11" s="1"/>
  <c r="V29" i="11"/>
  <c r="V28" i="11"/>
  <c r="W28" i="11" s="1"/>
  <c r="V27" i="11"/>
  <c r="V26" i="11"/>
  <c r="W26" i="11"/>
  <c r="V25" i="11"/>
  <c r="V24" i="11"/>
  <c r="W24" i="11" s="1"/>
  <c r="I23" i="11"/>
  <c r="H23" i="11"/>
  <c r="G23" i="11"/>
  <c r="G6" i="11" s="1"/>
  <c r="F23" i="11"/>
  <c r="F6" i="11"/>
  <c r="E23" i="11"/>
  <c r="E6" i="11" s="1"/>
  <c r="V22" i="11"/>
  <c r="V21" i="11"/>
  <c r="V20" i="11"/>
  <c r="V19" i="11"/>
  <c r="V18" i="11"/>
  <c r="V17" i="11"/>
  <c r="W17" i="11"/>
  <c r="V16" i="11"/>
  <c r="W16" i="11" s="1"/>
  <c r="V15" i="11"/>
  <c r="V14" i="11"/>
  <c r="V13" i="11"/>
  <c r="W13" i="11" s="1"/>
  <c r="V12" i="11"/>
  <c r="W12" i="11"/>
  <c r="V11" i="11"/>
  <c r="W11" i="11" s="1"/>
  <c r="V10" i="11"/>
  <c r="W10" i="11"/>
  <c r="V9" i="11"/>
  <c r="W9" i="11" s="1"/>
  <c r="V8" i="11"/>
  <c r="W8" i="11"/>
  <c r="I7" i="11"/>
  <c r="H7" i="11"/>
  <c r="Q55" i="2"/>
  <c r="Q54" i="2"/>
  <c r="B54" i="2"/>
  <c r="B52" i="2"/>
  <c r="Q48" i="2"/>
  <c r="M45" i="2"/>
  <c r="D44" i="2"/>
  <c r="C44" i="2"/>
  <c r="C38" i="2" s="1"/>
  <c r="M16" i="41"/>
  <c r="Q40" i="2"/>
  <c r="D39" i="2"/>
  <c r="D38" i="2"/>
  <c r="C39" i="2"/>
  <c r="Q37" i="2"/>
  <c r="P35" i="2"/>
  <c r="P52" i="2"/>
  <c r="P53" i="2" s="1"/>
  <c r="O35" i="2"/>
  <c r="O34" i="2" s="1"/>
  <c r="N35" i="2"/>
  <c r="M35" i="2"/>
  <c r="L35" i="2"/>
  <c r="K35" i="2"/>
  <c r="K52" i="2"/>
  <c r="J35" i="2"/>
  <c r="I35" i="2"/>
  <c r="H35" i="2"/>
  <c r="H52" i="2"/>
  <c r="G35" i="2"/>
  <c r="F35" i="2"/>
  <c r="F52" i="2" s="1"/>
  <c r="E35" i="2"/>
  <c r="D34" i="2"/>
  <c r="C34" i="2"/>
  <c r="Q33" i="2"/>
  <c r="Q32" i="2"/>
  <c r="Q31" i="2"/>
  <c r="Q30" i="2"/>
  <c r="Q29" i="2"/>
  <c r="Q28" i="2"/>
  <c r="AF84" i="22"/>
  <c r="AF65" i="22" s="1"/>
  <c r="G5" i="11"/>
  <c r="M73" i="21"/>
  <c r="L73" i="21"/>
  <c r="Y13" i="21"/>
  <c r="Q13" i="21"/>
  <c r="S23" i="21"/>
  <c r="G83" i="21"/>
  <c r="O36" i="40"/>
  <c r="O35" i="40"/>
  <c r="F45" i="2"/>
  <c r="L69" i="21"/>
  <c r="K69" i="21"/>
  <c r="Y9" i="21"/>
  <c r="X9" i="21"/>
  <c r="T23" i="21"/>
  <c r="S13" i="21"/>
  <c r="J48" i="10"/>
  <c r="J70" i="21"/>
  <c r="I70" i="21"/>
  <c r="W10" i="21"/>
  <c r="V10" i="21"/>
  <c r="Q42" i="2"/>
  <c r="X13" i="21"/>
  <c r="Z13" i="21"/>
  <c r="H35" i="21"/>
  <c r="R8" i="21"/>
  <c r="U11" i="21"/>
  <c r="D67" i="10"/>
  <c r="G55" i="39"/>
  <c r="V7" i="11"/>
  <c r="F36" i="40"/>
  <c r="D27" i="2"/>
  <c r="C27" i="2"/>
  <c r="Q21" i="2"/>
  <c r="P36" i="40"/>
  <c r="P35" i="40" s="1"/>
  <c r="K36" i="40"/>
  <c r="K35" i="40" s="1"/>
  <c r="D20" i="2"/>
  <c r="C20" i="2"/>
  <c r="Q14" i="2"/>
  <c r="O10" i="40"/>
  <c r="O34" i="42"/>
  <c r="M10" i="40"/>
  <c r="M34" i="42" s="1"/>
  <c r="L10" i="40"/>
  <c r="L34" i="42"/>
  <c r="K10" i="40"/>
  <c r="K34" i="42" s="1"/>
  <c r="J10" i="40"/>
  <c r="J34" i="42"/>
  <c r="I10" i="40"/>
  <c r="I34" i="42" s="1"/>
  <c r="G10" i="40"/>
  <c r="G34" i="42"/>
  <c r="D13" i="2"/>
  <c r="C13" i="2"/>
  <c r="Q11" i="2"/>
  <c r="Q9" i="2"/>
  <c r="Q8" i="2"/>
  <c r="Q7" i="2"/>
  <c r="Q6" i="40" s="1"/>
  <c r="Q5" i="40" s="1"/>
  <c r="N6" i="40"/>
  <c r="E52" i="2"/>
  <c r="D7" i="2"/>
  <c r="C7" i="2"/>
  <c r="J14" i="40"/>
  <c r="H14" i="40"/>
  <c r="D3" i="2"/>
  <c r="C3" i="2"/>
  <c r="G68" i="21"/>
  <c r="F68" i="21"/>
  <c r="E68" i="21"/>
  <c r="S8" i="21"/>
  <c r="T8" i="21"/>
  <c r="C71" i="21"/>
  <c r="P6" i="40"/>
  <c r="P5" i="40"/>
  <c r="H36" i="40"/>
  <c r="M6" i="40"/>
  <c r="F71" i="21"/>
  <c r="S11" i="21"/>
  <c r="E36" i="40"/>
  <c r="E35" i="40" s="1"/>
  <c r="N71" i="21"/>
  <c r="Z11" i="21"/>
  <c r="K5" i="11"/>
  <c r="H10" i="40"/>
  <c r="H34" i="42" s="1"/>
  <c r="L5" i="11"/>
  <c r="G366" i="16"/>
  <c r="G365" i="16" s="1"/>
  <c r="S63" i="10"/>
  <c r="L6" i="40"/>
  <c r="L147" i="20"/>
  <c r="K147" i="20"/>
  <c r="K148" i="20" s="1"/>
  <c r="J147" i="20"/>
  <c r="I147" i="20"/>
  <c r="H147" i="20"/>
  <c r="H152" i="20"/>
  <c r="I152" i="20"/>
  <c r="G147" i="20"/>
  <c r="F147" i="20"/>
  <c r="G152" i="20"/>
  <c r="E147" i="20"/>
  <c r="D147" i="20"/>
  <c r="C147" i="20"/>
  <c r="K146" i="20"/>
  <c r="J146" i="20"/>
  <c r="I146" i="20"/>
  <c r="B147" i="20"/>
  <c r="L146" i="20"/>
  <c r="H146" i="20"/>
  <c r="G146" i="20"/>
  <c r="G148" i="20" s="1"/>
  <c r="F146" i="20"/>
  <c r="E146" i="20"/>
  <c r="E148" i="20" s="1"/>
  <c r="E150" i="20" s="1"/>
  <c r="E155" i="20" s="1"/>
  <c r="D146" i="20"/>
  <c r="C146" i="20"/>
  <c r="D148" i="20"/>
  <c r="B146" i="20"/>
  <c r="B148" i="20" s="1"/>
  <c r="N142" i="20"/>
  <c r="M142" i="20"/>
  <c r="L142" i="20"/>
  <c r="K142" i="20"/>
  <c r="J142" i="20"/>
  <c r="I142" i="20"/>
  <c r="H142" i="20"/>
  <c r="G142" i="20"/>
  <c r="F142" i="20"/>
  <c r="E142" i="20"/>
  <c r="D142" i="20"/>
  <c r="C142" i="20"/>
  <c r="B142" i="20"/>
  <c r="N140" i="20"/>
  <c r="M140" i="20"/>
  <c r="L140" i="20"/>
  <c r="K140" i="20"/>
  <c r="J140" i="20"/>
  <c r="I140" i="20"/>
  <c r="H140" i="20"/>
  <c r="G140" i="20"/>
  <c r="F140" i="20"/>
  <c r="E140" i="20"/>
  <c r="D140" i="20"/>
  <c r="C140" i="20"/>
  <c r="B134" i="20"/>
  <c r="Z125" i="20"/>
  <c r="Y125" i="20"/>
  <c r="X125" i="20"/>
  <c r="W125" i="20"/>
  <c r="V125" i="20"/>
  <c r="U125" i="20"/>
  <c r="T125" i="20"/>
  <c r="S125" i="20"/>
  <c r="R125" i="20"/>
  <c r="Q125" i="20"/>
  <c r="P125" i="20"/>
  <c r="O125" i="20"/>
  <c r="Z124" i="20"/>
  <c r="Y124" i="20"/>
  <c r="X124" i="20"/>
  <c r="W124" i="20"/>
  <c r="V124" i="20"/>
  <c r="U124" i="20"/>
  <c r="T124" i="20"/>
  <c r="S124" i="20"/>
  <c r="R124" i="20"/>
  <c r="Q124" i="20"/>
  <c r="P124" i="20"/>
  <c r="O124" i="20"/>
  <c r="Z123" i="20"/>
  <c r="Y123" i="20"/>
  <c r="X123" i="20"/>
  <c r="W123" i="20"/>
  <c r="V123" i="20"/>
  <c r="U123" i="20"/>
  <c r="T123" i="20"/>
  <c r="S123" i="20"/>
  <c r="R123" i="20"/>
  <c r="Q123" i="20"/>
  <c r="P123" i="20"/>
  <c r="O123" i="20"/>
  <c r="Z122" i="20"/>
  <c r="Y122" i="20"/>
  <c r="X122" i="20"/>
  <c r="W122" i="20"/>
  <c r="V122" i="20"/>
  <c r="U122" i="20"/>
  <c r="T122" i="20"/>
  <c r="S122" i="20"/>
  <c r="R122" i="20"/>
  <c r="Q122" i="20"/>
  <c r="P122" i="20"/>
  <c r="O122" i="20"/>
  <c r="Z121" i="20"/>
  <c r="Y121" i="20"/>
  <c r="X121" i="20"/>
  <c r="W121" i="20"/>
  <c r="V121" i="20"/>
  <c r="U121" i="20"/>
  <c r="T121" i="20"/>
  <c r="S121" i="20"/>
  <c r="R121" i="20"/>
  <c r="Q121" i="20"/>
  <c r="P121" i="20"/>
  <c r="O121" i="20"/>
  <c r="Z120" i="20"/>
  <c r="Y120" i="20"/>
  <c r="X120" i="20"/>
  <c r="W120" i="20"/>
  <c r="V120" i="20"/>
  <c r="U120" i="20"/>
  <c r="T120" i="20"/>
  <c r="S120" i="20"/>
  <c r="R120" i="20"/>
  <c r="Q120" i="20"/>
  <c r="P120" i="20"/>
  <c r="O120" i="20"/>
  <c r="Z119" i="20"/>
  <c r="Y119" i="20"/>
  <c r="X119" i="20"/>
  <c r="W119" i="20"/>
  <c r="V119" i="20"/>
  <c r="U119" i="20"/>
  <c r="T119" i="20"/>
  <c r="S119" i="20"/>
  <c r="R119" i="20"/>
  <c r="Q119" i="20"/>
  <c r="P119" i="20"/>
  <c r="O119" i="20"/>
  <c r="Z117" i="20"/>
  <c r="Y117" i="20"/>
  <c r="X117" i="20"/>
  <c r="W117" i="20"/>
  <c r="V117" i="20"/>
  <c r="U117" i="20"/>
  <c r="T117" i="20"/>
  <c r="S117" i="20"/>
  <c r="R117" i="20"/>
  <c r="Q117" i="20"/>
  <c r="P117" i="20"/>
  <c r="O117" i="20"/>
  <c r="Z116" i="20"/>
  <c r="Y116" i="20"/>
  <c r="X116" i="20"/>
  <c r="W116" i="20"/>
  <c r="V116" i="20"/>
  <c r="U116" i="20"/>
  <c r="T116" i="20"/>
  <c r="S116" i="20"/>
  <c r="R116" i="20"/>
  <c r="Q116" i="20"/>
  <c r="P116" i="20"/>
  <c r="O116" i="20"/>
  <c r="Z115" i="20"/>
  <c r="Y115" i="20"/>
  <c r="X115" i="20"/>
  <c r="W115" i="20"/>
  <c r="V115" i="20"/>
  <c r="U115" i="20"/>
  <c r="T115" i="20"/>
  <c r="S115" i="20"/>
  <c r="R115" i="20"/>
  <c r="Q115" i="20"/>
  <c r="P115" i="20"/>
  <c r="O115" i="20"/>
  <c r="Z114" i="20"/>
  <c r="Y114" i="20"/>
  <c r="X114" i="20"/>
  <c r="W114" i="20"/>
  <c r="V114" i="20"/>
  <c r="U114" i="20"/>
  <c r="T114" i="20"/>
  <c r="S114" i="20"/>
  <c r="R114" i="20"/>
  <c r="Q114" i="20"/>
  <c r="P114" i="20"/>
  <c r="O114" i="20"/>
  <c r="Z7" i="21"/>
  <c r="N35" i="21"/>
  <c r="M35" i="21"/>
  <c r="K6" i="40"/>
  <c r="K5" i="40" s="1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Y110" i="20"/>
  <c r="X110" i="20"/>
  <c r="W110" i="20"/>
  <c r="V110" i="20"/>
  <c r="U110" i="20"/>
  <c r="T110" i="20"/>
  <c r="S110" i="20"/>
  <c r="R110" i="20"/>
  <c r="Q110" i="20"/>
  <c r="P110" i="20"/>
  <c r="O110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W108" i="20"/>
  <c r="V108" i="20"/>
  <c r="U108" i="20"/>
  <c r="T108" i="20"/>
  <c r="S108" i="20"/>
  <c r="R108" i="20"/>
  <c r="Q108" i="20"/>
  <c r="P108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Z101" i="20"/>
  <c r="Y101" i="20"/>
  <c r="X101" i="20"/>
  <c r="W101" i="20"/>
  <c r="V101" i="20"/>
  <c r="U101" i="20"/>
  <c r="T101" i="20"/>
  <c r="S101" i="20"/>
  <c r="R101" i="20"/>
  <c r="Q101" i="20"/>
  <c r="P101" i="20"/>
  <c r="O101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Z99" i="20"/>
  <c r="Y99" i="20"/>
  <c r="X99" i="20"/>
  <c r="W99" i="20"/>
  <c r="V99" i="20"/>
  <c r="U99" i="20"/>
  <c r="T99" i="20"/>
  <c r="S99" i="20"/>
  <c r="R99" i="20"/>
  <c r="Q99" i="20"/>
  <c r="P99" i="20"/>
  <c r="O99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Z97" i="20"/>
  <c r="Y97" i="20"/>
  <c r="X97" i="20"/>
  <c r="W97" i="20"/>
  <c r="V97" i="20"/>
  <c r="U97" i="20"/>
  <c r="T97" i="20"/>
  <c r="S97" i="20"/>
  <c r="R97" i="20"/>
  <c r="Q97" i="20"/>
  <c r="P97" i="20"/>
  <c r="O97" i="20"/>
  <c r="Y96" i="20"/>
  <c r="X96" i="20"/>
  <c r="W96" i="20"/>
  <c r="V96" i="20"/>
  <c r="U96" i="20"/>
  <c r="T96" i="20"/>
  <c r="S96" i="20"/>
  <c r="R96" i="20"/>
  <c r="Q96" i="20"/>
  <c r="P96" i="20"/>
  <c r="O96" i="20"/>
  <c r="M159" i="20"/>
  <c r="I159" i="20"/>
  <c r="J159" i="20"/>
  <c r="N159" i="20"/>
  <c r="D162" i="20" s="1"/>
  <c r="Y38" i="21"/>
  <c r="X38" i="21"/>
  <c r="V38" i="21"/>
  <c r="T38" i="21"/>
  <c r="S38" i="21"/>
  <c r="R38" i="21"/>
  <c r="C159" i="20"/>
  <c r="K159" i="20"/>
  <c r="E159" i="20"/>
  <c r="F159" i="20"/>
  <c r="D159" i="20"/>
  <c r="H159" i="20"/>
  <c r="L159" i="20"/>
  <c r="J6" i="40"/>
  <c r="U66" i="42"/>
  <c r="Z95" i="20"/>
  <c r="Y95" i="20"/>
  <c r="X95" i="20"/>
  <c r="W95" i="20"/>
  <c r="V95" i="20"/>
  <c r="U95" i="20"/>
  <c r="T95" i="20"/>
  <c r="S95" i="20"/>
  <c r="R95" i="20"/>
  <c r="Q95" i="20"/>
  <c r="P95" i="20"/>
  <c r="O95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Z93" i="20"/>
  <c r="Y93" i="20"/>
  <c r="X93" i="20"/>
  <c r="W93" i="20"/>
  <c r="V93" i="20"/>
  <c r="U93" i="20"/>
  <c r="T93" i="20"/>
  <c r="S93" i="20"/>
  <c r="R93" i="20"/>
  <c r="Q93" i="20"/>
  <c r="P93" i="20"/>
  <c r="O93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X81" i="20"/>
  <c r="X80" i="20"/>
  <c r="Z79" i="20"/>
  <c r="Y79" i="20"/>
  <c r="X79" i="20"/>
  <c r="W79" i="20"/>
  <c r="V79" i="20"/>
  <c r="U79" i="20"/>
  <c r="T79" i="20"/>
  <c r="S79" i="20"/>
  <c r="R79" i="20"/>
  <c r="Q79" i="20"/>
  <c r="P79" i="20"/>
  <c r="O79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D77" i="20"/>
  <c r="D136" i="20"/>
  <c r="C77" i="20"/>
  <c r="N77" i="20"/>
  <c r="N136" i="20" s="1"/>
  <c r="M77" i="20"/>
  <c r="M136" i="20" s="1"/>
  <c r="L77" i="20"/>
  <c r="L136" i="20" s="1"/>
  <c r="K77" i="20"/>
  <c r="J77" i="20"/>
  <c r="J136" i="20" s="1"/>
  <c r="I77" i="20"/>
  <c r="H77" i="20"/>
  <c r="G77" i="20"/>
  <c r="F77" i="20"/>
  <c r="F136" i="20"/>
  <c r="E77" i="20"/>
  <c r="C136" i="20"/>
  <c r="B77" i="20"/>
  <c r="Z76" i="20"/>
  <c r="Y76" i="20"/>
  <c r="X76" i="20"/>
  <c r="W76" i="20"/>
  <c r="V76" i="20"/>
  <c r="U76" i="20"/>
  <c r="T76" i="20"/>
  <c r="S76" i="20"/>
  <c r="R76" i="20"/>
  <c r="Q76" i="20"/>
  <c r="P76" i="20"/>
  <c r="O76" i="20"/>
  <c r="L18" i="20"/>
  <c r="L75" i="20"/>
  <c r="Z74" i="20"/>
  <c r="Y74" i="20"/>
  <c r="X74" i="20"/>
  <c r="W74" i="20"/>
  <c r="V74" i="20"/>
  <c r="U74" i="20"/>
  <c r="T74" i="20"/>
  <c r="S74" i="20"/>
  <c r="R74" i="20"/>
  <c r="Q74" i="20"/>
  <c r="P74" i="20"/>
  <c r="O74" i="20"/>
  <c r="Z73" i="20"/>
  <c r="Y73" i="20"/>
  <c r="X73" i="20"/>
  <c r="W73" i="20"/>
  <c r="V73" i="20"/>
  <c r="U73" i="20"/>
  <c r="T73" i="20"/>
  <c r="S73" i="20"/>
  <c r="R73" i="20"/>
  <c r="Q73" i="20"/>
  <c r="P73" i="20"/>
  <c r="O73" i="20"/>
  <c r="Z72" i="20"/>
  <c r="Y72" i="20"/>
  <c r="X72" i="20"/>
  <c r="W72" i="20"/>
  <c r="V72" i="20"/>
  <c r="U72" i="20"/>
  <c r="T72" i="20"/>
  <c r="S72" i="20"/>
  <c r="R72" i="20"/>
  <c r="Q72" i="20"/>
  <c r="P72" i="20"/>
  <c r="O72" i="20"/>
  <c r="Z69" i="20"/>
  <c r="Y69" i="20"/>
  <c r="X69" i="20"/>
  <c r="W69" i="20"/>
  <c r="V69" i="20"/>
  <c r="U69" i="20"/>
  <c r="T69" i="20"/>
  <c r="S69" i="20"/>
  <c r="R69" i="20"/>
  <c r="Q69" i="20"/>
  <c r="P69" i="20"/>
  <c r="O69" i="20"/>
  <c r="Z68" i="20"/>
  <c r="Y68" i="20"/>
  <c r="X68" i="20"/>
  <c r="W68" i="20"/>
  <c r="V68" i="20"/>
  <c r="U68" i="20"/>
  <c r="T68" i="20"/>
  <c r="S68" i="20"/>
  <c r="R68" i="20"/>
  <c r="Q68" i="20"/>
  <c r="P68" i="20"/>
  <c r="O68" i="20"/>
  <c r="Z67" i="20"/>
  <c r="Y67" i="20"/>
  <c r="X67" i="20"/>
  <c r="W67" i="20"/>
  <c r="V67" i="20"/>
  <c r="U67" i="20"/>
  <c r="T67" i="20"/>
  <c r="S67" i="20"/>
  <c r="R67" i="20"/>
  <c r="Q67" i="20"/>
  <c r="P67" i="20"/>
  <c r="O67" i="20"/>
  <c r="Z66" i="20"/>
  <c r="Y66" i="20"/>
  <c r="X66" i="20"/>
  <c r="W66" i="20"/>
  <c r="V66" i="20"/>
  <c r="U66" i="20"/>
  <c r="T66" i="20"/>
  <c r="S66" i="20"/>
  <c r="R66" i="20"/>
  <c r="Q66" i="20"/>
  <c r="P66" i="20"/>
  <c r="O66" i="20"/>
  <c r="Z65" i="20"/>
  <c r="Y65" i="20"/>
  <c r="X65" i="20"/>
  <c r="W65" i="20"/>
  <c r="V65" i="20"/>
  <c r="U65" i="20"/>
  <c r="T65" i="20"/>
  <c r="S65" i="20"/>
  <c r="R65" i="20"/>
  <c r="Q65" i="20"/>
  <c r="P65" i="20"/>
  <c r="O65" i="20"/>
  <c r="Z64" i="20"/>
  <c r="Y64" i="20"/>
  <c r="X64" i="20"/>
  <c r="W64" i="20"/>
  <c r="V64" i="20"/>
  <c r="U64" i="20"/>
  <c r="T64" i="20"/>
  <c r="S64" i="20"/>
  <c r="R64" i="20"/>
  <c r="Q64" i="20"/>
  <c r="P64" i="20"/>
  <c r="O64" i="20"/>
  <c r="Z63" i="20"/>
  <c r="Y63" i="20"/>
  <c r="X63" i="20"/>
  <c r="W63" i="20"/>
  <c r="V63" i="20"/>
  <c r="U63" i="20"/>
  <c r="T63" i="20"/>
  <c r="S63" i="20"/>
  <c r="R63" i="20"/>
  <c r="Q63" i="20"/>
  <c r="P63" i="20"/>
  <c r="O63" i="20"/>
  <c r="Z62" i="20"/>
  <c r="Y62" i="20"/>
  <c r="X62" i="20"/>
  <c r="W62" i="20"/>
  <c r="V62" i="20"/>
  <c r="U62" i="20"/>
  <c r="T62" i="20"/>
  <c r="S62" i="20"/>
  <c r="R62" i="20"/>
  <c r="Q62" i="20"/>
  <c r="P62" i="20"/>
  <c r="O62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Z60" i="20"/>
  <c r="Y60" i="20"/>
  <c r="X60" i="20"/>
  <c r="W60" i="20"/>
  <c r="V60" i="20"/>
  <c r="U60" i="20"/>
  <c r="T60" i="20"/>
  <c r="S60" i="20"/>
  <c r="R60" i="20"/>
  <c r="Q60" i="20"/>
  <c r="P60" i="20"/>
  <c r="O60" i="20"/>
  <c r="Z59" i="20"/>
  <c r="Y59" i="20"/>
  <c r="X59" i="20"/>
  <c r="W59" i="20"/>
  <c r="V59" i="20"/>
  <c r="U59" i="20"/>
  <c r="T59" i="20"/>
  <c r="S59" i="20"/>
  <c r="R59" i="20"/>
  <c r="Q59" i="20"/>
  <c r="P59" i="20"/>
  <c r="O59" i="20"/>
  <c r="Z58" i="20"/>
  <c r="Y58" i="20"/>
  <c r="X58" i="20"/>
  <c r="W58" i="20"/>
  <c r="V58" i="20"/>
  <c r="U58" i="20"/>
  <c r="T58" i="20"/>
  <c r="S58" i="20"/>
  <c r="R58" i="20"/>
  <c r="Q58" i="20"/>
  <c r="P58" i="20"/>
  <c r="O58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Z56" i="20"/>
  <c r="Y56" i="20"/>
  <c r="X56" i="20"/>
  <c r="W56" i="20"/>
  <c r="V56" i="20"/>
  <c r="U56" i="20"/>
  <c r="T56" i="20"/>
  <c r="S56" i="20"/>
  <c r="R56" i="20"/>
  <c r="Q56" i="20"/>
  <c r="P56" i="20"/>
  <c r="O56" i="20"/>
  <c r="Z55" i="20"/>
  <c r="Y55" i="20"/>
  <c r="X55" i="20"/>
  <c r="W55" i="20"/>
  <c r="V55" i="20"/>
  <c r="U55" i="20"/>
  <c r="T55" i="20"/>
  <c r="S55" i="20"/>
  <c r="R55" i="20"/>
  <c r="Q55" i="20"/>
  <c r="P55" i="20"/>
  <c r="O55" i="20"/>
  <c r="Z54" i="20"/>
  <c r="Y54" i="20"/>
  <c r="X54" i="20"/>
  <c r="W54" i="20"/>
  <c r="V54" i="20"/>
  <c r="U54" i="20"/>
  <c r="T54" i="20"/>
  <c r="S54" i="20"/>
  <c r="R54" i="20"/>
  <c r="Q54" i="20"/>
  <c r="P54" i="20"/>
  <c r="O54" i="20"/>
  <c r="Z53" i="20"/>
  <c r="Y53" i="20"/>
  <c r="X53" i="20"/>
  <c r="W53" i="20"/>
  <c r="V53" i="20"/>
  <c r="U53" i="20"/>
  <c r="T53" i="20"/>
  <c r="S53" i="20"/>
  <c r="R53" i="20"/>
  <c r="Q53" i="20"/>
  <c r="P53" i="20"/>
  <c r="O53" i="20"/>
  <c r="Z52" i="20"/>
  <c r="Y52" i="20"/>
  <c r="X52" i="20"/>
  <c r="W52" i="20"/>
  <c r="V52" i="20"/>
  <c r="U52" i="20"/>
  <c r="T52" i="20"/>
  <c r="S52" i="20"/>
  <c r="R52" i="20"/>
  <c r="Q52" i="20"/>
  <c r="P52" i="20"/>
  <c r="O52" i="20"/>
  <c r="Z51" i="20"/>
  <c r="Y51" i="20"/>
  <c r="X51" i="20"/>
  <c r="W51" i="20"/>
  <c r="V51" i="20"/>
  <c r="U51" i="20"/>
  <c r="T51" i="20"/>
  <c r="S51" i="20"/>
  <c r="R51" i="20"/>
  <c r="Q51" i="20"/>
  <c r="P51" i="20"/>
  <c r="O51" i="20"/>
  <c r="Z50" i="20"/>
  <c r="Y50" i="20"/>
  <c r="X50" i="20"/>
  <c r="W50" i="20"/>
  <c r="V50" i="20"/>
  <c r="U50" i="20"/>
  <c r="T50" i="20"/>
  <c r="S50" i="20"/>
  <c r="R50" i="20"/>
  <c r="Q50" i="20"/>
  <c r="P50" i="20"/>
  <c r="O50" i="20"/>
  <c r="Z49" i="20"/>
  <c r="Y49" i="20"/>
  <c r="X49" i="20"/>
  <c r="W49" i="20"/>
  <c r="V49" i="20"/>
  <c r="U49" i="20"/>
  <c r="T49" i="20"/>
  <c r="S49" i="20"/>
  <c r="R49" i="20"/>
  <c r="Q49" i="20"/>
  <c r="P49" i="20"/>
  <c r="O49" i="20"/>
  <c r="Z48" i="20"/>
  <c r="Y48" i="20"/>
  <c r="X48" i="20"/>
  <c r="W48" i="20"/>
  <c r="V48" i="20"/>
  <c r="U48" i="20"/>
  <c r="T48" i="20"/>
  <c r="S48" i="20"/>
  <c r="R48" i="20"/>
  <c r="Q48" i="20"/>
  <c r="P48" i="20"/>
  <c r="O48" i="20"/>
  <c r="Z47" i="20"/>
  <c r="Y47" i="20"/>
  <c r="X47" i="20"/>
  <c r="W47" i="20"/>
  <c r="V47" i="20"/>
  <c r="U47" i="20"/>
  <c r="T47" i="20"/>
  <c r="S47" i="20"/>
  <c r="R47" i="20"/>
  <c r="Q47" i="20"/>
  <c r="P47" i="20"/>
  <c r="O47" i="20"/>
  <c r="Z46" i="20"/>
  <c r="Y46" i="20"/>
  <c r="X46" i="20"/>
  <c r="W46" i="20"/>
  <c r="V46" i="20"/>
  <c r="U46" i="20"/>
  <c r="T46" i="20"/>
  <c r="S46" i="20"/>
  <c r="R46" i="20"/>
  <c r="Q46" i="20"/>
  <c r="P46" i="20"/>
  <c r="O46" i="20"/>
  <c r="Z45" i="20"/>
  <c r="Y45" i="20"/>
  <c r="X45" i="20"/>
  <c r="W45" i="20"/>
  <c r="V45" i="20"/>
  <c r="U45" i="20"/>
  <c r="T45" i="20"/>
  <c r="S45" i="20"/>
  <c r="R45" i="20"/>
  <c r="Q45" i="20"/>
  <c r="P45" i="20"/>
  <c r="O45" i="20"/>
  <c r="Z44" i="20"/>
  <c r="Y44" i="20"/>
  <c r="X44" i="20"/>
  <c r="W44" i="20"/>
  <c r="V44" i="20"/>
  <c r="U44" i="20"/>
  <c r="T44" i="20"/>
  <c r="S44" i="20"/>
  <c r="R44" i="20"/>
  <c r="Q44" i="20"/>
  <c r="P44" i="20"/>
  <c r="O44" i="20"/>
  <c r="Z43" i="20"/>
  <c r="Y43" i="20"/>
  <c r="X43" i="20"/>
  <c r="W43" i="20"/>
  <c r="V43" i="20"/>
  <c r="U43" i="20"/>
  <c r="T43" i="20"/>
  <c r="S43" i="20"/>
  <c r="R43" i="20"/>
  <c r="Q43" i="20"/>
  <c r="P43" i="20"/>
  <c r="O43" i="20"/>
  <c r="Z42" i="20"/>
  <c r="Y42" i="20"/>
  <c r="X42" i="20"/>
  <c r="W42" i="20"/>
  <c r="V42" i="20"/>
  <c r="U42" i="20"/>
  <c r="T42" i="20"/>
  <c r="S42" i="20"/>
  <c r="R42" i="20"/>
  <c r="Q42" i="20"/>
  <c r="P42" i="20"/>
  <c r="O42" i="20"/>
  <c r="Z41" i="20"/>
  <c r="Y41" i="20"/>
  <c r="X41" i="20"/>
  <c r="W41" i="20"/>
  <c r="V41" i="20"/>
  <c r="U41" i="20"/>
  <c r="T41" i="20"/>
  <c r="S41" i="20"/>
  <c r="R41" i="20"/>
  <c r="Q41" i="20"/>
  <c r="P41" i="20"/>
  <c r="O41" i="20"/>
  <c r="Z40" i="20"/>
  <c r="Y40" i="20"/>
  <c r="X40" i="20"/>
  <c r="W40" i="20"/>
  <c r="V40" i="20"/>
  <c r="U40" i="20"/>
  <c r="T40" i="20"/>
  <c r="S40" i="20"/>
  <c r="R40" i="20"/>
  <c r="Q40" i="20"/>
  <c r="P40" i="20"/>
  <c r="O40" i="20"/>
  <c r="Z39" i="20"/>
  <c r="Y39" i="20"/>
  <c r="X39" i="20"/>
  <c r="W39" i="20"/>
  <c r="V39" i="20"/>
  <c r="U39" i="20"/>
  <c r="T39" i="20"/>
  <c r="S39" i="20"/>
  <c r="R39" i="20"/>
  <c r="Q39" i="20"/>
  <c r="P39" i="20"/>
  <c r="O39" i="20"/>
  <c r="Z38" i="20"/>
  <c r="Y38" i="20"/>
  <c r="X38" i="20"/>
  <c r="W38" i="20"/>
  <c r="V38" i="20"/>
  <c r="U38" i="20"/>
  <c r="T38" i="20"/>
  <c r="S38" i="20"/>
  <c r="R38" i="20"/>
  <c r="Q38" i="20"/>
  <c r="P38" i="20"/>
  <c r="O38" i="20"/>
  <c r="Z37" i="20"/>
  <c r="Y37" i="20"/>
  <c r="X37" i="20"/>
  <c r="W37" i="20"/>
  <c r="V37" i="20"/>
  <c r="U37" i="20"/>
  <c r="T37" i="20"/>
  <c r="S37" i="20"/>
  <c r="R37" i="20"/>
  <c r="Q37" i="20"/>
  <c r="P37" i="20"/>
  <c r="O37" i="20"/>
  <c r="Z36" i="20"/>
  <c r="Y36" i="20"/>
  <c r="X36" i="20"/>
  <c r="W36" i="20"/>
  <c r="V36" i="20"/>
  <c r="U36" i="20"/>
  <c r="T36" i="20"/>
  <c r="S36" i="20"/>
  <c r="R36" i="20"/>
  <c r="Q36" i="20"/>
  <c r="P36" i="20"/>
  <c r="O36" i="20"/>
  <c r="Z35" i="20"/>
  <c r="Y35" i="20"/>
  <c r="X35" i="20"/>
  <c r="W35" i="20"/>
  <c r="V35" i="20"/>
  <c r="U35" i="20"/>
  <c r="T35" i="20"/>
  <c r="S35" i="20"/>
  <c r="R35" i="20"/>
  <c r="Q35" i="20"/>
  <c r="P35" i="20"/>
  <c r="O35" i="20"/>
  <c r="Z34" i="20"/>
  <c r="Y34" i="20"/>
  <c r="X34" i="20"/>
  <c r="W34" i="20"/>
  <c r="V34" i="20"/>
  <c r="U34" i="20"/>
  <c r="T34" i="20"/>
  <c r="S34" i="20"/>
  <c r="R34" i="20"/>
  <c r="Q34" i="20"/>
  <c r="P34" i="20"/>
  <c r="O34" i="20"/>
  <c r="Z33" i="20"/>
  <c r="Y33" i="20"/>
  <c r="X33" i="20"/>
  <c r="W33" i="20"/>
  <c r="V33" i="20"/>
  <c r="U33" i="20"/>
  <c r="T33" i="20"/>
  <c r="S33" i="20"/>
  <c r="R33" i="20"/>
  <c r="Q33" i="20"/>
  <c r="P33" i="20"/>
  <c r="O33" i="20"/>
  <c r="Z32" i="20"/>
  <c r="Y32" i="20"/>
  <c r="X32" i="20"/>
  <c r="W32" i="20"/>
  <c r="V32" i="20"/>
  <c r="U32" i="20"/>
  <c r="T32" i="20"/>
  <c r="S32" i="20"/>
  <c r="R32" i="20"/>
  <c r="Q32" i="20"/>
  <c r="P32" i="20"/>
  <c r="O32" i="20"/>
  <c r="Z31" i="20"/>
  <c r="Y31" i="20"/>
  <c r="X31" i="20"/>
  <c r="W31" i="20"/>
  <c r="V31" i="20"/>
  <c r="U31" i="20"/>
  <c r="T31" i="20"/>
  <c r="S31" i="20"/>
  <c r="R31" i="20"/>
  <c r="Q31" i="20"/>
  <c r="P31" i="20"/>
  <c r="O31" i="20"/>
  <c r="Z30" i="20"/>
  <c r="Y30" i="20"/>
  <c r="X30" i="20"/>
  <c r="W30" i="20"/>
  <c r="V30" i="20"/>
  <c r="U30" i="20"/>
  <c r="T30" i="20"/>
  <c r="S30" i="20"/>
  <c r="R30" i="20"/>
  <c r="Q30" i="20"/>
  <c r="P30" i="20"/>
  <c r="O30" i="20"/>
  <c r="Z29" i="20"/>
  <c r="Y29" i="20"/>
  <c r="X29" i="20"/>
  <c r="W29" i="20"/>
  <c r="V29" i="20"/>
  <c r="U29" i="20"/>
  <c r="T29" i="20"/>
  <c r="S29" i="20"/>
  <c r="R29" i="20"/>
  <c r="Q29" i="20"/>
  <c r="P29" i="20"/>
  <c r="O29" i="20"/>
  <c r="Z28" i="20"/>
  <c r="Y28" i="20"/>
  <c r="X28" i="20"/>
  <c r="W28" i="20"/>
  <c r="V28" i="20"/>
  <c r="U28" i="20"/>
  <c r="T28" i="20"/>
  <c r="S28" i="20"/>
  <c r="R28" i="20"/>
  <c r="Q28" i="20"/>
  <c r="P28" i="20"/>
  <c r="O28" i="20"/>
  <c r="Z27" i="20"/>
  <c r="Y27" i="20"/>
  <c r="X27" i="20"/>
  <c r="W27" i="20"/>
  <c r="V27" i="20"/>
  <c r="U27" i="20"/>
  <c r="T27" i="20"/>
  <c r="S27" i="20"/>
  <c r="R27" i="20"/>
  <c r="Q27" i="20"/>
  <c r="P27" i="20"/>
  <c r="O27" i="20"/>
  <c r="Z26" i="20"/>
  <c r="Y26" i="20"/>
  <c r="X26" i="20"/>
  <c r="W26" i="20"/>
  <c r="V26" i="20"/>
  <c r="U26" i="20"/>
  <c r="T26" i="20"/>
  <c r="S26" i="20"/>
  <c r="R26" i="20"/>
  <c r="Q26" i="20"/>
  <c r="P26" i="20"/>
  <c r="O26" i="20"/>
  <c r="Z25" i="20"/>
  <c r="Y25" i="20"/>
  <c r="X25" i="20"/>
  <c r="W25" i="20"/>
  <c r="V25" i="20"/>
  <c r="U25" i="20"/>
  <c r="T25" i="20"/>
  <c r="S25" i="20"/>
  <c r="R25" i="20"/>
  <c r="Q25" i="20"/>
  <c r="P25" i="20"/>
  <c r="O25" i="20"/>
  <c r="Z24" i="20"/>
  <c r="Y24" i="20"/>
  <c r="X24" i="20"/>
  <c r="W24" i="20"/>
  <c r="V24" i="20"/>
  <c r="U24" i="20"/>
  <c r="T24" i="20"/>
  <c r="S24" i="20"/>
  <c r="R24" i="20"/>
  <c r="Q24" i="20"/>
  <c r="P24" i="20"/>
  <c r="O24" i="20"/>
  <c r="Z23" i="20"/>
  <c r="Y23" i="20"/>
  <c r="X23" i="20"/>
  <c r="W23" i="20"/>
  <c r="V23" i="20"/>
  <c r="U23" i="20"/>
  <c r="T23" i="20"/>
  <c r="S23" i="20"/>
  <c r="R23" i="20"/>
  <c r="Q23" i="20"/>
  <c r="P23" i="20"/>
  <c r="O23" i="20"/>
  <c r="Z22" i="20"/>
  <c r="Y22" i="20"/>
  <c r="X22" i="20"/>
  <c r="W22" i="20"/>
  <c r="V22" i="20"/>
  <c r="U22" i="20"/>
  <c r="T22" i="20"/>
  <c r="S22" i="20"/>
  <c r="R22" i="20"/>
  <c r="Q22" i="20"/>
  <c r="P22" i="20"/>
  <c r="O22" i="20"/>
  <c r="Z21" i="20"/>
  <c r="Y21" i="20"/>
  <c r="X21" i="20"/>
  <c r="W21" i="20"/>
  <c r="V21" i="20"/>
  <c r="U21" i="20"/>
  <c r="T21" i="20"/>
  <c r="S21" i="20"/>
  <c r="R21" i="20"/>
  <c r="Q21" i="20"/>
  <c r="P21" i="20"/>
  <c r="O21" i="20"/>
  <c r="Z20" i="20"/>
  <c r="Y20" i="20"/>
  <c r="X20" i="20"/>
  <c r="W20" i="20"/>
  <c r="V20" i="20"/>
  <c r="U20" i="20"/>
  <c r="T20" i="20"/>
  <c r="S20" i="20"/>
  <c r="R20" i="20"/>
  <c r="Q20" i="20"/>
  <c r="P20" i="20"/>
  <c r="O20" i="20"/>
  <c r="K18" i="20"/>
  <c r="X18" i="20" s="1"/>
  <c r="N65" i="41" s="1"/>
  <c r="G18" i="20"/>
  <c r="G75" i="20" s="1"/>
  <c r="F18" i="20"/>
  <c r="F141" i="20" s="1"/>
  <c r="J18" i="20"/>
  <c r="J141" i="20" s="1"/>
  <c r="I18" i="20"/>
  <c r="H18" i="20"/>
  <c r="E18" i="20"/>
  <c r="E75" i="20" s="1"/>
  <c r="D18" i="20"/>
  <c r="C18" i="20"/>
  <c r="C75" i="20"/>
  <c r="B18" i="20"/>
  <c r="B141" i="20" s="1"/>
  <c r="Z17" i="20"/>
  <c r="Y17" i="20"/>
  <c r="X17" i="20"/>
  <c r="W17" i="20"/>
  <c r="V17" i="20"/>
  <c r="U17" i="20"/>
  <c r="T17" i="20"/>
  <c r="S17" i="20"/>
  <c r="R17" i="20"/>
  <c r="Q17" i="20"/>
  <c r="P17" i="20"/>
  <c r="O17" i="20"/>
  <c r="W16" i="20"/>
  <c r="V16" i="20"/>
  <c r="U16" i="20"/>
  <c r="T16" i="20"/>
  <c r="R16" i="20"/>
  <c r="Q16" i="20"/>
  <c r="P16" i="20"/>
  <c r="O16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Z14" i="20"/>
  <c r="Y14" i="20"/>
  <c r="X14" i="20"/>
  <c r="W14" i="20"/>
  <c r="V14" i="20"/>
  <c r="U14" i="20"/>
  <c r="T14" i="20"/>
  <c r="S14" i="20"/>
  <c r="R14" i="20"/>
  <c r="Q14" i="20"/>
  <c r="P14" i="20"/>
  <c r="O14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V12" i="20"/>
  <c r="U12" i="20"/>
  <c r="T12" i="20"/>
  <c r="S12" i="20"/>
  <c r="R12" i="20"/>
  <c r="Q12" i="20"/>
  <c r="P12" i="20"/>
  <c r="O12" i="20"/>
  <c r="Z11" i="20"/>
  <c r="Y11" i="20"/>
  <c r="X11" i="20"/>
  <c r="W11" i="20"/>
  <c r="V11" i="20"/>
  <c r="U11" i="20"/>
  <c r="T11" i="20"/>
  <c r="S11" i="20"/>
  <c r="R11" i="20"/>
  <c r="Q11" i="20"/>
  <c r="P11" i="20"/>
  <c r="O11" i="20"/>
  <c r="Z10" i="20"/>
  <c r="Y10" i="20"/>
  <c r="X10" i="20"/>
  <c r="W10" i="20"/>
  <c r="V10" i="20"/>
  <c r="U10" i="20"/>
  <c r="T10" i="20"/>
  <c r="S10" i="20"/>
  <c r="R10" i="20"/>
  <c r="Q10" i="20"/>
  <c r="P10" i="20"/>
  <c r="O10" i="20"/>
  <c r="Z9" i="20"/>
  <c r="Y9" i="20"/>
  <c r="X9" i="20"/>
  <c r="W9" i="20"/>
  <c r="V9" i="20"/>
  <c r="U9" i="20"/>
  <c r="T9" i="20"/>
  <c r="S9" i="20"/>
  <c r="R9" i="20"/>
  <c r="Q9" i="20"/>
  <c r="P9" i="20"/>
  <c r="O9" i="20"/>
  <c r="Z8" i="20"/>
  <c r="Y8" i="20"/>
  <c r="X8" i="20"/>
  <c r="W8" i="20"/>
  <c r="V8" i="20"/>
  <c r="U8" i="20"/>
  <c r="T8" i="20"/>
  <c r="S8" i="20"/>
  <c r="R8" i="20"/>
  <c r="Q8" i="20"/>
  <c r="P8" i="20"/>
  <c r="O8" i="20"/>
  <c r="Z7" i="20"/>
  <c r="Y7" i="20"/>
  <c r="X7" i="20"/>
  <c r="W7" i="20"/>
  <c r="V7" i="20"/>
  <c r="U7" i="20"/>
  <c r="T7" i="20"/>
  <c r="S7" i="20"/>
  <c r="R7" i="20"/>
  <c r="Q7" i="20"/>
  <c r="P7" i="20"/>
  <c r="O7" i="20"/>
  <c r="H6" i="20"/>
  <c r="G6" i="20"/>
  <c r="T6" i="20"/>
  <c r="N6" i="20"/>
  <c r="Z6" i="20" s="1"/>
  <c r="M6" i="20"/>
  <c r="L6" i="20"/>
  <c r="K6" i="20"/>
  <c r="J6" i="20"/>
  <c r="I6" i="20"/>
  <c r="U6" i="20"/>
  <c r="F6" i="20"/>
  <c r="S6" i="20" s="1"/>
  <c r="E6" i="20"/>
  <c r="D6" i="20"/>
  <c r="C6" i="20"/>
  <c r="B6" i="20"/>
  <c r="N2" i="20"/>
  <c r="M2" i="20"/>
  <c r="L2" i="20"/>
  <c r="K2" i="20"/>
  <c r="F2" i="20"/>
  <c r="E2" i="20"/>
  <c r="D2" i="20"/>
  <c r="A2" i="20"/>
  <c r="S1" i="20"/>
  <c r="N1" i="20"/>
  <c r="M1" i="20"/>
  <c r="L1" i="20"/>
  <c r="K1" i="20"/>
  <c r="F1" i="20"/>
  <c r="E1" i="20"/>
  <c r="D1" i="20"/>
  <c r="C1" i="20"/>
  <c r="A1" i="20"/>
  <c r="C35" i="25"/>
  <c r="AD26" i="25"/>
  <c r="AD27" i="25" s="1"/>
  <c r="AC26" i="25"/>
  <c r="AB26" i="25"/>
  <c r="AA26" i="25"/>
  <c r="Z26" i="25"/>
  <c r="Z27" i="25"/>
  <c r="Y26" i="25"/>
  <c r="X26" i="25"/>
  <c r="W26" i="25"/>
  <c r="V26" i="25"/>
  <c r="V27" i="25" s="1"/>
  <c r="U26" i="25"/>
  <c r="T26" i="25"/>
  <c r="S26" i="25"/>
  <c r="O26" i="25"/>
  <c r="M26" i="25"/>
  <c r="L26" i="25"/>
  <c r="J26" i="25"/>
  <c r="G26" i="25"/>
  <c r="F26" i="25"/>
  <c r="E26" i="25"/>
  <c r="D26" i="25"/>
  <c r="C26" i="25"/>
  <c r="B26" i="25"/>
  <c r="P25" i="25"/>
  <c r="R25" i="25"/>
  <c r="P24" i="25"/>
  <c r="R24" i="25"/>
  <c r="AD23" i="25"/>
  <c r="AC23" i="25"/>
  <c r="AB23" i="25"/>
  <c r="AA23" i="25"/>
  <c r="Z23" i="25"/>
  <c r="Y23" i="25"/>
  <c r="X23" i="25"/>
  <c r="W23" i="25"/>
  <c r="V23" i="25"/>
  <c r="U23" i="25"/>
  <c r="T23" i="25"/>
  <c r="S23" i="25"/>
  <c r="P23" i="25"/>
  <c r="R23" i="25"/>
  <c r="P22" i="25"/>
  <c r="R22" i="25"/>
  <c r="P21" i="25"/>
  <c r="R21" i="25"/>
  <c r="P20" i="25"/>
  <c r="R20" i="25"/>
  <c r="P19" i="25"/>
  <c r="R19" i="25"/>
  <c r="R18" i="25"/>
  <c r="AD17" i="25"/>
  <c r="AC17" i="25"/>
  <c r="AB17" i="25"/>
  <c r="AA17" i="25"/>
  <c r="Z17" i="25"/>
  <c r="Y17" i="25"/>
  <c r="X17" i="25"/>
  <c r="W17" i="25"/>
  <c r="V17" i="25"/>
  <c r="U17" i="25"/>
  <c r="T17" i="25"/>
  <c r="S17" i="25"/>
  <c r="P17" i="25"/>
  <c r="AD16" i="25"/>
  <c r="AC16" i="25"/>
  <c r="AB16" i="25"/>
  <c r="AA16" i="25"/>
  <c r="Z16" i="25"/>
  <c r="Y16" i="25"/>
  <c r="X16" i="25"/>
  <c r="W16" i="25"/>
  <c r="V16" i="25"/>
  <c r="U16" i="25"/>
  <c r="T16" i="25"/>
  <c r="S16" i="25"/>
  <c r="P16" i="25"/>
  <c r="R16" i="25"/>
  <c r="AD15" i="25"/>
  <c r="AC15" i="25"/>
  <c r="AB15" i="25"/>
  <c r="AA15" i="25"/>
  <c r="Z15" i="25"/>
  <c r="Y15" i="25"/>
  <c r="X15" i="25"/>
  <c r="W15" i="25"/>
  <c r="V15" i="25"/>
  <c r="U15" i="25"/>
  <c r="T15" i="25"/>
  <c r="S15" i="25"/>
  <c r="P15" i="25"/>
  <c r="R15" i="25"/>
  <c r="AD14" i="25"/>
  <c r="AC14" i="25"/>
  <c r="AB14" i="25"/>
  <c r="AA14" i="25"/>
  <c r="Z14" i="25"/>
  <c r="Y14" i="25"/>
  <c r="X14" i="25"/>
  <c r="W14" i="25"/>
  <c r="V14" i="25"/>
  <c r="U14" i="25"/>
  <c r="T14" i="25"/>
  <c r="S14" i="25"/>
  <c r="P14" i="25"/>
  <c r="R14" i="25"/>
  <c r="AD13" i="25"/>
  <c r="AC13" i="25"/>
  <c r="AB13" i="25"/>
  <c r="AA13" i="25"/>
  <c r="Z13" i="25"/>
  <c r="Y13" i="25"/>
  <c r="X13" i="25"/>
  <c r="W13" i="25"/>
  <c r="V13" i="25"/>
  <c r="U13" i="25"/>
  <c r="T13" i="25"/>
  <c r="S13" i="25"/>
  <c r="P13" i="25"/>
  <c r="R13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P12" i="25"/>
  <c r="R12" i="25"/>
  <c r="P11" i="25"/>
  <c r="R11" i="25"/>
  <c r="P10" i="25"/>
  <c r="P9" i="25"/>
  <c r="P8" i="25"/>
  <c r="R8" i="25"/>
  <c r="P7" i="25"/>
  <c r="R7" i="25"/>
  <c r="AD6" i="25"/>
  <c r="AC6" i="25"/>
  <c r="AB6" i="25"/>
  <c r="AA6" i="25"/>
  <c r="Z6" i="25"/>
  <c r="Y6" i="25"/>
  <c r="X6" i="25"/>
  <c r="W6" i="25"/>
  <c r="V6" i="25"/>
  <c r="U6" i="25"/>
  <c r="T6" i="25"/>
  <c r="S6" i="25"/>
  <c r="P6" i="25"/>
  <c r="O5" i="25"/>
  <c r="AD5" i="25" s="1"/>
  <c r="M5" i="25"/>
  <c r="L5" i="25"/>
  <c r="G5" i="25"/>
  <c r="W5" i="25" s="1"/>
  <c r="F5" i="25"/>
  <c r="E5" i="25"/>
  <c r="J5" i="25"/>
  <c r="Y5" i="25" s="1"/>
  <c r="X5" i="25"/>
  <c r="D5" i="25"/>
  <c r="B5" i="25"/>
  <c r="C5" i="25"/>
  <c r="D2" i="25"/>
  <c r="O49" i="23"/>
  <c r="O48" i="23"/>
  <c r="Q48" i="23"/>
  <c r="O47" i="23"/>
  <c r="Q47" i="23"/>
  <c r="O46" i="23"/>
  <c r="O44" i="23"/>
  <c r="O43" i="23"/>
  <c r="O42" i="23"/>
  <c r="O41" i="23"/>
  <c r="O40" i="23"/>
  <c r="O39" i="23"/>
  <c r="O38" i="23"/>
  <c r="O37" i="23"/>
  <c r="Q37" i="23"/>
  <c r="O36" i="23"/>
  <c r="Q36" i="23"/>
  <c r="O35" i="23"/>
  <c r="Q35" i="23"/>
  <c r="O34" i="23"/>
  <c r="Q34" i="23"/>
  <c r="O33" i="23"/>
  <c r="O32" i="23"/>
  <c r="Q32" i="23" s="1"/>
  <c r="O31" i="23"/>
  <c r="Q31" i="23"/>
  <c r="O30" i="23"/>
  <c r="Q30" i="23"/>
  <c r="O29" i="23"/>
  <c r="O28" i="23"/>
  <c r="Q28" i="23" s="1"/>
  <c r="O27" i="23"/>
  <c r="Q27" i="23" s="1"/>
  <c r="O26" i="23"/>
  <c r="Q26" i="23" s="1"/>
  <c r="O25" i="23"/>
  <c r="Q25" i="23" s="1"/>
  <c r="O24" i="23"/>
  <c r="O23" i="23"/>
  <c r="P22" i="23"/>
  <c r="J22" i="23"/>
  <c r="O22" i="23"/>
  <c r="O21" i="23"/>
  <c r="O20" i="23"/>
  <c r="Q20" i="23" s="1"/>
  <c r="O19" i="23"/>
  <c r="Q19" i="23"/>
  <c r="P18" i="23"/>
  <c r="N18" i="23"/>
  <c r="M18" i="23"/>
  <c r="L18" i="23"/>
  <c r="K18" i="23"/>
  <c r="J18" i="23"/>
  <c r="I18" i="23"/>
  <c r="H18" i="23"/>
  <c r="G18" i="23"/>
  <c r="F18" i="23"/>
  <c r="E18" i="23"/>
  <c r="D18" i="23"/>
  <c r="C18" i="23"/>
  <c r="O17" i="23"/>
  <c r="O16" i="23"/>
  <c r="O15" i="23"/>
  <c r="Q15" i="23" s="1"/>
  <c r="O14" i="23"/>
  <c r="Q14" i="23" s="1"/>
  <c r="P13" i="23"/>
  <c r="N13" i="23"/>
  <c r="M13" i="23"/>
  <c r="L13" i="23"/>
  <c r="K13" i="23"/>
  <c r="J13" i="23"/>
  <c r="I13" i="23"/>
  <c r="H13" i="23"/>
  <c r="G13" i="23"/>
  <c r="F13" i="23"/>
  <c r="E13" i="23"/>
  <c r="O13" i="23"/>
  <c r="Q13" i="23" s="1"/>
  <c r="D13" i="23"/>
  <c r="C13" i="23"/>
  <c r="O12" i="23"/>
  <c r="Q12" i="23" s="1"/>
  <c r="O11" i="23"/>
  <c r="Q11" i="23" s="1"/>
  <c r="O10" i="23"/>
  <c r="O9" i="23"/>
  <c r="Q9" i="23" s="1"/>
  <c r="Q8" i="23"/>
  <c r="Q7" i="23"/>
  <c r="Q6" i="23"/>
  <c r="P5" i="23"/>
  <c r="N5" i="23"/>
  <c r="M5" i="23"/>
  <c r="L5" i="23"/>
  <c r="K5" i="23"/>
  <c r="J5" i="23"/>
  <c r="I5" i="23"/>
  <c r="H5" i="23"/>
  <c r="G5" i="23"/>
  <c r="F5" i="23"/>
  <c r="E5" i="23"/>
  <c r="D5" i="23"/>
  <c r="O5" i="23" s="1"/>
  <c r="C5" i="23"/>
  <c r="C45" i="23" s="1"/>
  <c r="P114" i="18"/>
  <c r="P113" i="18"/>
  <c r="I113" i="18"/>
  <c r="P111" i="18"/>
  <c r="I111" i="18"/>
  <c r="P108" i="18"/>
  <c r="I108" i="18"/>
  <c r="Q108" i="18" s="1"/>
  <c r="P107" i="18"/>
  <c r="I107" i="18"/>
  <c r="Q107" i="18"/>
  <c r="I106" i="18"/>
  <c r="Q106" i="18" s="1"/>
  <c r="P106" i="18"/>
  <c r="P105" i="18"/>
  <c r="I105" i="18"/>
  <c r="Q105" i="18" s="1"/>
  <c r="I104" i="18"/>
  <c r="Q104" i="18" s="1"/>
  <c r="P104" i="18"/>
  <c r="P103" i="18"/>
  <c r="Q103" i="18" s="1"/>
  <c r="I103" i="18"/>
  <c r="I102" i="18"/>
  <c r="P102" i="18"/>
  <c r="Q102" i="18"/>
  <c r="W101" i="18"/>
  <c r="P101" i="18"/>
  <c r="I101" i="18"/>
  <c r="P100" i="18"/>
  <c r="I100" i="18"/>
  <c r="P99" i="18"/>
  <c r="I99" i="18"/>
  <c r="P98" i="18"/>
  <c r="I98" i="18"/>
  <c r="I97" i="18"/>
  <c r="P97" i="18"/>
  <c r="R96" i="18"/>
  <c r="R86" i="18" s="1"/>
  <c r="O96" i="18"/>
  <c r="N96" i="18"/>
  <c r="M96" i="18"/>
  <c r="L96" i="18"/>
  <c r="K96" i="18"/>
  <c r="J96" i="18"/>
  <c r="H96" i="18"/>
  <c r="G96" i="18"/>
  <c r="F96" i="18"/>
  <c r="E96" i="18"/>
  <c r="D96" i="18"/>
  <c r="C96" i="18"/>
  <c r="P95" i="18"/>
  <c r="I95" i="18"/>
  <c r="P94" i="18"/>
  <c r="I94" i="18"/>
  <c r="P93" i="18"/>
  <c r="I93" i="18"/>
  <c r="P92" i="18"/>
  <c r="I92" i="18"/>
  <c r="R91" i="18"/>
  <c r="O91" i="18"/>
  <c r="N91" i="18"/>
  <c r="M91" i="18"/>
  <c r="M86" i="18"/>
  <c r="L91" i="18"/>
  <c r="L86" i="18" s="1"/>
  <c r="K91" i="18"/>
  <c r="J91" i="18"/>
  <c r="H91" i="18"/>
  <c r="G91" i="18"/>
  <c r="F91" i="18"/>
  <c r="F86" i="18" s="1"/>
  <c r="E91" i="18"/>
  <c r="D91" i="18"/>
  <c r="D86" i="18"/>
  <c r="C91" i="18"/>
  <c r="P90" i="18"/>
  <c r="I90" i="18"/>
  <c r="Q90" i="18" s="1"/>
  <c r="P89" i="18"/>
  <c r="I89" i="18"/>
  <c r="P88" i="18"/>
  <c r="I88" i="18"/>
  <c r="P87" i="18"/>
  <c r="I87" i="18"/>
  <c r="K86" i="18"/>
  <c r="J86" i="18"/>
  <c r="P85" i="18"/>
  <c r="I85" i="18"/>
  <c r="P84" i="18"/>
  <c r="Q84" i="18"/>
  <c r="I84" i="18"/>
  <c r="P83" i="18"/>
  <c r="I83" i="18"/>
  <c r="P82" i="18"/>
  <c r="Q82" i="18" s="1"/>
  <c r="I82" i="18"/>
  <c r="I81" i="18"/>
  <c r="Q81" i="18" s="1"/>
  <c r="P81" i="18"/>
  <c r="P80" i="18"/>
  <c r="I80" i="18"/>
  <c r="Q80" i="18" s="1"/>
  <c r="I79" i="18"/>
  <c r="P79" i="18"/>
  <c r="Q79" i="18"/>
  <c r="P78" i="18"/>
  <c r="Q78" i="18" s="1"/>
  <c r="I78" i="18"/>
  <c r="P77" i="18"/>
  <c r="I77" i="18"/>
  <c r="P76" i="18"/>
  <c r="I76" i="18"/>
  <c r="P75" i="18"/>
  <c r="I75" i="18"/>
  <c r="R74" i="18"/>
  <c r="O74" i="18"/>
  <c r="N74" i="18"/>
  <c r="M74" i="18"/>
  <c r="M60" i="18"/>
  <c r="L74" i="18"/>
  <c r="K74" i="18"/>
  <c r="J74" i="18"/>
  <c r="H74" i="18"/>
  <c r="G74" i="18"/>
  <c r="G59" i="18" s="1"/>
  <c r="F74" i="18"/>
  <c r="E74" i="18"/>
  <c r="D74" i="18"/>
  <c r="C74" i="18"/>
  <c r="P73" i="18"/>
  <c r="I73" i="18"/>
  <c r="Q73" i="18"/>
  <c r="I72" i="18"/>
  <c r="P72" i="18"/>
  <c r="P71" i="18"/>
  <c r="I71" i="18"/>
  <c r="Q71" i="18"/>
  <c r="I70" i="18"/>
  <c r="Q70" i="18" s="1"/>
  <c r="P70" i="18"/>
  <c r="P69" i="18"/>
  <c r="I69" i="18"/>
  <c r="P68" i="18"/>
  <c r="I68" i="18"/>
  <c r="P67" i="18"/>
  <c r="I67" i="18"/>
  <c r="P66" i="18"/>
  <c r="I66" i="18"/>
  <c r="P65" i="18"/>
  <c r="I65" i="18"/>
  <c r="P64" i="18"/>
  <c r="I64" i="18"/>
  <c r="P63" i="18"/>
  <c r="Q63" i="18" s="1"/>
  <c r="I63" i="18"/>
  <c r="P62" i="18"/>
  <c r="I62" i="18"/>
  <c r="P61" i="18"/>
  <c r="I61" i="18"/>
  <c r="R60" i="18"/>
  <c r="R59" i="18" s="1"/>
  <c r="R109" i="18" s="1"/>
  <c r="O60" i="18"/>
  <c r="N60" i="18"/>
  <c r="L60" i="18"/>
  <c r="K60" i="18"/>
  <c r="J60" i="18"/>
  <c r="H60" i="18"/>
  <c r="H59" i="18" s="1"/>
  <c r="G60" i="18"/>
  <c r="F60" i="18"/>
  <c r="E60" i="18"/>
  <c r="D60" i="18"/>
  <c r="D59" i="18"/>
  <c r="C60" i="18"/>
  <c r="I57" i="18"/>
  <c r="Q57" i="18" s="1"/>
  <c r="P57" i="18"/>
  <c r="P56" i="18"/>
  <c r="I56" i="18"/>
  <c r="I55" i="18"/>
  <c r="P55" i="18"/>
  <c r="P54" i="18"/>
  <c r="Q54" i="18" s="1"/>
  <c r="I54" i="18"/>
  <c r="P53" i="18"/>
  <c r="I53" i="18"/>
  <c r="Q53" i="18" s="1"/>
  <c r="P52" i="18"/>
  <c r="I52" i="18"/>
  <c r="Q52" i="18"/>
  <c r="P51" i="18"/>
  <c r="I51" i="18"/>
  <c r="I50" i="18"/>
  <c r="P50" i="18"/>
  <c r="Q50" i="18"/>
  <c r="P49" i="18"/>
  <c r="I49" i="18"/>
  <c r="Q49" i="18" s="1"/>
  <c r="P48" i="18"/>
  <c r="I48" i="18"/>
  <c r="O47" i="18"/>
  <c r="N47" i="18"/>
  <c r="M47" i="18"/>
  <c r="M46" i="18" s="1"/>
  <c r="L47" i="18"/>
  <c r="L46" i="18"/>
  <c r="K47" i="18"/>
  <c r="K46" i="18" s="1"/>
  <c r="J47" i="18"/>
  <c r="J46" i="18"/>
  <c r="H47" i="18"/>
  <c r="G47" i="18"/>
  <c r="F47" i="18"/>
  <c r="E47" i="18"/>
  <c r="D47" i="18"/>
  <c r="D46" i="18" s="1"/>
  <c r="C47" i="18"/>
  <c r="R46" i="18"/>
  <c r="E46" i="18"/>
  <c r="P45" i="18"/>
  <c r="I45" i="18"/>
  <c r="P44" i="18"/>
  <c r="I44" i="18"/>
  <c r="P42" i="18"/>
  <c r="I42" i="18"/>
  <c r="R41" i="18"/>
  <c r="O41" i="18"/>
  <c r="N41" i="18"/>
  <c r="M41" i="18"/>
  <c r="L41" i="18"/>
  <c r="K41" i="18"/>
  <c r="J41" i="18"/>
  <c r="H41" i="18"/>
  <c r="G41" i="18"/>
  <c r="F41" i="18"/>
  <c r="E41" i="18"/>
  <c r="D41" i="18"/>
  <c r="C41" i="18"/>
  <c r="P40" i="18"/>
  <c r="I40" i="18"/>
  <c r="Q40" i="18"/>
  <c r="I39" i="18"/>
  <c r="Q39" i="18" s="1"/>
  <c r="P39" i="18"/>
  <c r="P38" i="18"/>
  <c r="Q38" i="18" s="1"/>
  <c r="I38" i="18"/>
  <c r="I37" i="18"/>
  <c r="Q37" i="18" s="1"/>
  <c r="P37" i="18"/>
  <c r="R36" i="18"/>
  <c r="P36" i="18"/>
  <c r="I36" i="18"/>
  <c r="P35" i="18"/>
  <c r="I35" i="18"/>
  <c r="Q35" i="18" s="1"/>
  <c r="I34" i="18"/>
  <c r="Q34" i="18" s="1"/>
  <c r="P34" i="18"/>
  <c r="P33" i="18"/>
  <c r="I33" i="18"/>
  <c r="Q33" i="18" s="1"/>
  <c r="P32" i="18"/>
  <c r="I32" i="18"/>
  <c r="Q32" i="18"/>
  <c r="R31" i="18"/>
  <c r="R30" i="18" s="1"/>
  <c r="O31" i="18"/>
  <c r="O30" i="18" s="1"/>
  <c r="N31" i="18"/>
  <c r="N30" i="18"/>
  <c r="M31" i="18"/>
  <c r="M30" i="18" s="1"/>
  <c r="L31" i="18"/>
  <c r="L30" i="18"/>
  <c r="K31" i="18"/>
  <c r="K30" i="18" s="1"/>
  <c r="J31" i="18"/>
  <c r="H31" i="18"/>
  <c r="G31" i="18"/>
  <c r="F31" i="18"/>
  <c r="E31" i="18"/>
  <c r="E30" i="18"/>
  <c r="D31" i="18"/>
  <c r="C31" i="18"/>
  <c r="C30" i="18"/>
  <c r="F30" i="18"/>
  <c r="I29" i="18"/>
  <c r="Q29" i="18" s="1"/>
  <c r="I28" i="18"/>
  <c r="I27" i="18"/>
  <c r="Q27" i="18" s="1"/>
  <c r="R26" i="18"/>
  <c r="O26" i="18"/>
  <c r="N26" i="18"/>
  <c r="M26" i="18"/>
  <c r="L26" i="18"/>
  <c r="K26" i="18"/>
  <c r="J26" i="18"/>
  <c r="H26" i="18"/>
  <c r="G26" i="18"/>
  <c r="F26" i="18"/>
  <c r="E26" i="18"/>
  <c r="D26" i="18"/>
  <c r="C26" i="18"/>
  <c r="I25" i="18"/>
  <c r="Q25" i="18"/>
  <c r="I24" i="18"/>
  <c r="Q24" i="18" s="1"/>
  <c r="I23" i="18"/>
  <c r="I22" i="18"/>
  <c r="Q22" i="18" s="1"/>
  <c r="R21" i="18"/>
  <c r="O21" i="18"/>
  <c r="N21" i="18"/>
  <c r="M21" i="18"/>
  <c r="L21" i="18"/>
  <c r="K21" i="18"/>
  <c r="J21" i="18"/>
  <c r="H21" i="18"/>
  <c r="G21" i="18"/>
  <c r="F21" i="18"/>
  <c r="E21" i="18"/>
  <c r="D21" i="18"/>
  <c r="C21" i="18"/>
  <c r="I20" i="18"/>
  <c r="Q20" i="18"/>
  <c r="Q19" i="18"/>
  <c r="Q18" i="18"/>
  <c r="U17" i="18"/>
  <c r="U20" i="18"/>
  <c r="R17" i="18"/>
  <c r="R16" i="18" s="1"/>
  <c r="R9" i="18" s="1"/>
  <c r="O16" i="18"/>
  <c r="K16" i="18"/>
  <c r="G16" i="18"/>
  <c r="G9" i="18" s="1"/>
  <c r="F16" i="18"/>
  <c r="N16" i="18"/>
  <c r="N9" i="18"/>
  <c r="M16" i="18"/>
  <c r="M9" i="18" s="1"/>
  <c r="L16" i="18"/>
  <c r="H16" i="18"/>
  <c r="E16" i="18"/>
  <c r="D16" i="18"/>
  <c r="D9" i="18" s="1"/>
  <c r="P15" i="18"/>
  <c r="I15" i="18"/>
  <c r="U14" i="18"/>
  <c r="P14" i="18"/>
  <c r="I14" i="18"/>
  <c r="Q14" i="18" s="1"/>
  <c r="P13" i="18"/>
  <c r="I13" i="18"/>
  <c r="Q13" i="18"/>
  <c r="P12" i="18"/>
  <c r="Q12" i="18" s="1"/>
  <c r="I12" i="18"/>
  <c r="I11" i="18"/>
  <c r="Q11" i="18" s="1"/>
  <c r="P11" i="18"/>
  <c r="R10" i="18"/>
  <c r="I10" i="18"/>
  <c r="Q394" i="16"/>
  <c r="Q380" i="16"/>
  <c r="U380" i="16" s="1"/>
  <c r="Q379" i="16"/>
  <c r="U379" i="16"/>
  <c r="Q378" i="16"/>
  <c r="U378" i="16" s="1"/>
  <c r="Q377" i="16"/>
  <c r="U377" i="16"/>
  <c r="Q376" i="16"/>
  <c r="U376" i="16" s="1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Q374" i="16"/>
  <c r="U374" i="16"/>
  <c r="P373" i="16"/>
  <c r="P369" i="16" s="1"/>
  <c r="O373" i="16"/>
  <c r="L373" i="16"/>
  <c r="L369" i="16" s="1"/>
  <c r="K373" i="16"/>
  <c r="K369" i="16" s="1"/>
  <c r="H373" i="16"/>
  <c r="H369" i="16" s="1"/>
  <c r="G373" i="16"/>
  <c r="G369" i="16" s="1"/>
  <c r="G363" i="16" s="1"/>
  <c r="E373" i="16"/>
  <c r="E369" i="16" s="1"/>
  <c r="Q372" i="16"/>
  <c r="U372" i="16" s="1"/>
  <c r="Q371" i="16"/>
  <c r="U371" i="16"/>
  <c r="Q370" i="16"/>
  <c r="U370" i="16" s="1"/>
  <c r="Q368" i="16"/>
  <c r="U368" i="16"/>
  <c r="Q367" i="16"/>
  <c r="U367" i="16" s="1"/>
  <c r="F366" i="16"/>
  <c r="F365" i="16" s="1"/>
  <c r="U365" i="16"/>
  <c r="U363" i="16"/>
  <c r="Q364" i="16"/>
  <c r="U364" i="16" s="1"/>
  <c r="Q362" i="16"/>
  <c r="U362" i="16" s="1"/>
  <c r="Q361" i="16"/>
  <c r="U361" i="16"/>
  <c r="Q360" i="16"/>
  <c r="U360" i="16" s="1"/>
  <c r="Q359" i="16"/>
  <c r="U359" i="16"/>
  <c r="Q358" i="16"/>
  <c r="U358" i="16" s="1"/>
  <c r="Q357" i="16"/>
  <c r="U357" i="16"/>
  <c r="P356" i="16"/>
  <c r="P353" i="16" s="1"/>
  <c r="O356" i="16"/>
  <c r="O353" i="16"/>
  <c r="O350" i="16"/>
  <c r="O346" i="16" s="1"/>
  <c r="O344" i="16" s="1"/>
  <c r="N350" i="16"/>
  <c r="N346" i="16" s="1"/>
  <c r="N356" i="16"/>
  <c r="N353" i="16"/>
  <c r="M356" i="16"/>
  <c r="M353" i="16" s="1"/>
  <c r="L356" i="16"/>
  <c r="L353" i="16"/>
  <c r="K356" i="16"/>
  <c r="K353" i="16" s="1"/>
  <c r="J356" i="16"/>
  <c r="J353" i="16"/>
  <c r="I356" i="16"/>
  <c r="I353" i="16" s="1"/>
  <c r="H356" i="16"/>
  <c r="G356" i="16"/>
  <c r="G353" i="16"/>
  <c r="F356" i="16"/>
  <c r="E356" i="16"/>
  <c r="E353" i="16" s="1"/>
  <c r="Q355" i="16"/>
  <c r="U355" i="16" s="1"/>
  <c r="Q354" i="16"/>
  <c r="U354" i="16"/>
  <c r="H353" i="16"/>
  <c r="F353" i="16"/>
  <c r="F344" i="16" s="1"/>
  <c r="F389" i="16" s="1"/>
  <c r="Q352" i="16"/>
  <c r="Q351" i="16"/>
  <c r="P350" i="16"/>
  <c r="P346" i="16" s="1"/>
  <c r="M350" i="16"/>
  <c r="L350" i="16"/>
  <c r="K350" i="16"/>
  <c r="K346" i="16" s="1"/>
  <c r="J350" i="16"/>
  <c r="J346" i="16"/>
  <c r="J344" i="16"/>
  <c r="J389" i="16" s="1"/>
  <c r="I350" i="16"/>
  <c r="H350" i="16"/>
  <c r="G350" i="16"/>
  <c r="G346" i="16" s="1"/>
  <c r="F350" i="16"/>
  <c r="F346" i="16"/>
  <c r="E350" i="16"/>
  <c r="Q349" i="16"/>
  <c r="L348" i="16"/>
  <c r="Q347" i="16"/>
  <c r="U347" i="16" s="1"/>
  <c r="U346" i="16" s="1"/>
  <c r="U344" i="16"/>
  <c r="I346" i="16"/>
  <c r="I344" i="16" s="1"/>
  <c r="I389" i="16" s="1"/>
  <c r="H346" i="16"/>
  <c r="H344" i="16" s="1"/>
  <c r="H389" i="16" s="1"/>
  <c r="Q345" i="16"/>
  <c r="U345" i="16" s="1"/>
  <c r="Q343" i="16"/>
  <c r="Q342" i="16"/>
  <c r="P341" i="16"/>
  <c r="P333" i="16" s="1"/>
  <c r="O341" i="16"/>
  <c r="O333" i="16"/>
  <c r="N341" i="16"/>
  <c r="N333" i="16" s="1"/>
  <c r="M341" i="16"/>
  <c r="L341" i="16"/>
  <c r="L333" i="16"/>
  <c r="K341" i="16"/>
  <c r="K333" i="16" s="1"/>
  <c r="J341" i="16"/>
  <c r="J333" i="16"/>
  <c r="I341" i="16"/>
  <c r="H341" i="16"/>
  <c r="H333" i="16"/>
  <c r="G341" i="16"/>
  <c r="G333" i="16" s="1"/>
  <c r="F341" i="16"/>
  <c r="E341" i="16"/>
  <c r="Q340" i="16"/>
  <c r="U340" i="16" s="1"/>
  <c r="Q339" i="16"/>
  <c r="Q338" i="16"/>
  <c r="Q337" i="16"/>
  <c r="F336" i="16"/>
  <c r="F335" i="16" s="1"/>
  <c r="Q334" i="16"/>
  <c r="U334" i="16" s="1"/>
  <c r="Q332" i="16"/>
  <c r="U332" i="16"/>
  <c r="Q331" i="16"/>
  <c r="U331" i="16" s="1"/>
  <c r="Q330" i="16"/>
  <c r="U330" i="16"/>
  <c r="K9" i="18"/>
  <c r="K58" i="18" s="1"/>
  <c r="K17" i="45" s="1"/>
  <c r="C86" i="18"/>
  <c r="P38" i="21"/>
  <c r="Q45" i="21" s="1"/>
  <c r="M333" i="16"/>
  <c r="C16" i="18"/>
  <c r="C46" i="18"/>
  <c r="Q45" i="18"/>
  <c r="C50" i="23"/>
  <c r="C58" i="23" s="1"/>
  <c r="E385" i="16"/>
  <c r="F234" i="35" s="1"/>
  <c r="Q16" i="23"/>
  <c r="Q17" i="23"/>
  <c r="H136" i="20"/>
  <c r="K136" i="20"/>
  <c r="J16" i="18"/>
  <c r="Q62" i="18"/>
  <c r="Q95" i="18"/>
  <c r="Q33" i="23"/>
  <c r="E346" i="16"/>
  <c r="E344" i="16"/>
  <c r="E389" i="16" s="1"/>
  <c r="M346" i="16"/>
  <c r="P10" i="18"/>
  <c r="J9" i="18"/>
  <c r="D30" i="18"/>
  <c r="Q36" i="18"/>
  <c r="B47" i="25"/>
  <c r="P46" i="25"/>
  <c r="K75" i="20"/>
  <c r="W18" i="20"/>
  <c r="M65" i="41" s="1"/>
  <c r="M57" i="41" s="1"/>
  <c r="M56" i="41" s="1"/>
  <c r="U77" i="20"/>
  <c r="Z96" i="20"/>
  <c r="K59" i="18"/>
  <c r="Q76" i="18"/>
  <c r="Q83" i="18"/>
  <c r="Q92" i="18"/>
  <c r="Q10" i="23"/>
  <c r="Q23" i="23"/>
  <c r="AC5" i="25"/>
  <c r="R9" i="25"/>
  <c r="R17" i="25"/>
  <c r="P32" i="25"/>
  <c r="C141" i="20"/>
  <c r="C139" i="20" s="1"/>
  <c r="F158" i="20"/>
  <c r="F157" i="20" s="1"/>
  <c r="F137" i="20"/>
  <c r="Q23" i="18"/>
  <c r="Q28" i="18"/>
  <c r="Q21" i="23"/>
  <c r="Q24" i="23"/>
  <c r="Q29" i="23"/>
  <c r="R6" i="25"/>
  <c r="R10" i="25"/>
  <c r="P35" i="25"/>
  <c r="P42" i="25"/>
  <c r="P43" i="25"/>
  <c r="P44" i="25"/>
  <c r="L141" i="20"/>
  <c r="L139" i="20"/>
  <c r="K141" i="20"/>
  <c r="K139" i="20" s="1"/>
  <c r="E136" i="20"/>
  <c r="N92" i="21"/>
  <c r="M92" i="21"/>
  <c r="K92" i="21"/>
  <c r="J92" i="21"/>
  <c r="Q64" i="18"/>
  <c r="Q66" i="18"/>
  <c r="Q68" i="18"/>
  <c r="Q5" i="23"/>
  <c r="Y6" i="20"/>
  <c r="L158" i="20"/>
  <c r="L137" i="20"/>
  <c r="I6" i="40"/>
  <c r="Q328" i="16"/>
  <c r="U328" i="16"/>
  <c r="Q326" i="16"/>
  <c r="U326" i="16" s="1"/>
  <c r="Q325" i="16"/>
  <c r="U325" i="16"/>
  <c r="Q323" i="16"/>
  <c r="U323" i="16" s="1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Q321" i="16"/>
  <c r="U321" i="16"/>
  <c r="Q320" i="16"/>
  <c r="U320" i="16" s="1"/>
  <c r="Q319" i="16"/>
  <c r="U319" i="16"/>
  <c r="Q318" i="16"/>
  <c r="U318" i="16" s="1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Q316" i="16"/>
  <c r="Q315" i="16"/>
  <c r="U315" i="16" s="1"/>
  <c r="Q314" i="16"/>
  <c r="P313" i="16"/>
  <c r="P309" i="16"/>
  <c r="O313" i="16"/>
  <c r="O309" i="16" s="1"/>
  <c r="N313" i="16"/>
  <c r="M313" i="16"/>
  <c r="M309" i="16"/>
  <c r="L313" i="16"/>
  <c r="L309" i="16" s="1"/>
  <c r="K313" i="16"/>
  <c r="J313" i="16"/>
  <c r="J309" i="16" s="1"/>
  <c r="J307" i="16" s="1"/>
  <c r="I313" i="16"/>
  <c r="I309" i="16" s="1"/>
  <c r="H313" i="16"/>
  <c r="H309" i="16"/>
  <c r="H307" i="16" s="1"/>
  <c r="G313" i="16"/>
  <c r="F313" i="16"/>
  <c r="E313" i="16"/>
  <c r="E309" i="16" s="1"/>
  <c r="Q312" i="16"/>
  <c r="U312" i="16"/>
  <c r="Q311" i="16"/>
  <c r="U311" i="16" s="1"/>
  <c r="Q310" i="16"/>
  <c r="N309" i="16"/>
  <c r="K309" i="16"/>
  <c r="G309" i="16"/>
  <c r="F309" i="16"/>
  <c r="F307" i="16" s="1"/>
  <c r="Q308" i="16"/>
  <c r="U308" i="16" s="1"/>
  <c r="Q306" i="16"/>
  <c r="U306" i="16"/>
  <c r="H21" i="41"/>
  <c r="Q304" i="16"/>
  <c r="U304" i="16"/>
  <c r="Q303" i="16"/>
  <c r="U303" i="16" s="1"/>
  <c r="Q302" i="16"/>
  <c r="U302" i="16" s="1"/>
  <c r="Q301" i="16"/>
  <c r="U301" i="16" s="1"/>
  <c r="Q300" i="16"/>
  <c r="U300" i="16" s="1"/>
  <c r="Q299" i="16"/>
  <c r="Q297" i="16"/>
  <c r="U297" i="16" s="1"/>
  <c r="Q295" i="16"/>
  <c r="Q294" i="16"/>
  <c r="U294" i="16"/>
  <c r="L392" i="16"/>
  <c r="K391" i="16"/>
  <c r="Q291" i="16"/>
  <c r="U291" i="16"/>
  <c r="Q290" i="16"/>
  <c r="U290" i="16" s="1"/>
  <c r="Q289" i="16"/>
  <c r="Q288" i="16"/>
  <c r="Q287" i="16"/>
  <c r="U287" i="16" s="1"/>
  <c r="Q286" i="16"/>
  <c r="U286" i="16"/>
  <c r="Q285" i="16"/>
  <c r="U285" i="16" s="1"/>
  <c r="Q284" i="16"/>
  <c r="Q283" i="16"/>
  <c r="U283" i="16"/>
  <c r="Q282" i="16"/>
  <c r="U282" i="16" s="1"/>
  <c r="Q281" i="16"/>
  <c r="Q280" i="16"/>
  <c r="U280" i="16" s="1"/>
  <c r="Q279" i="16"/>
  <c r="U279" i="16" s="1"/>
  <c r="Q278" i="16"/>
  <c r="Q277" i="16"/>
  <c r="Q276" i="16"/>
  <c r="U276" i="16" s="1"/>
  <c r="Q275" i="16"/>
  <c r="Q274" i="16"/>
  <c r="U274" i="16"/>
  <c r="Q273" i="16"/>
  <c r="U273" i="16" s="1"/>
  <c r="Q272" i="16"/>
  <c r="U272" i="16"/>
  <c r="Q271" i="16"/>
  <c r="U271" i="16" s="1"/>
  <c r="Q267" i="16"/>
  <c r="Q265" i="16"/>
  <c r="Q262" i="16"/>
  <c r="U262" i="16" s="1"/>
  <c r="Q261" i="16"/>
  <c r="Q260" i="16"/>
  <c r="Q259" i="16"/>
  <c r="U259" i="16" s="1"/>
  <c r="Q257" i="16"/>
  <c r="U257" i="16"/>
  <c r="Q256" i="16"/>
  <c r="Q255" i="16"/>
  <c r="U255" i="16" s="1"/>
  <c r="Q254" i="16"/>
  <c r="U254" i="16"/>
  <c r="Q253" i="16"/>
  <c r="U253" i="16" s="1"/>
  <c r="Q251" i="16"/>
  <c r="Q250" i="16"/>
  <c r="U250" i="16" s="1"/>
  <c r="Q249" i="16"/>
  <c r="U249" i="16"/>
  <c r="Q246" i="16"/>
  <c r="U246" i="16" s="1"/>
  <c r="Q245" i="16"/>
  <c r="Q244" i="16"/>
  <c r="U244" i="16"/>
  <c r="Q242" i="16"/>
  <c r="U241" i="16"/>
  <c r="Q240" i="16"/>
  <c r="Q239" i="16"/>
  <c r="U239" i="16" s="1"/>
  <c r="M388" i="16"/>
  <c r="L388" i="16"/>
  <c r="E388" i="16"/>
  <c r="P387" i="16"/>
  <c r="O387" i="16"/>
  <c r="J387" i="16"/>
  <c r="H387" i="16"/>
  <c r="E387" i="16"/>
  <c r="U236" i="16"/>
  <c r="Q235" i="16"/>
  <c r="U235" i="16" s="1"/>
  <c r="Q234" i="16"/>
  <c r="U234" i="16" s="1"/>
  <c r="U233" i="16"/>
  <c r="Q232" i="16"/>
  <c r="U232" i="16" s="1"/>
  <c r="Q231" i="16"/>
  <c r="Q229" i="16"/>
  <c r="U229" i="16"/>
  <c r="Q228" i="16"/>
  <c r="U228" i="16" s="1"/>
  <c r="Q227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Q225" i="16"/>
  <c r="U225" i="16"/>
  <c r="Q224" i="16"/>
  <c r="U224" i="16" s="1"/>
  <c r="Q222" i="16"/>
  <c r="U222" i="16"/>
  <c r="Q219" i="16"/>
  <c r="U219" i="16" s="1"/>
  <c r="Q217" i="16"/>
  <c r="Q216" i="16"/>
  <c r="U216" i="16" s="1"/>
  <c r="Q215" i="16"/>
  <c r="Q214" i="16"/>
  <c r="Q211" i="16"/>
  <c r="U211" i="16" s="1"/>
  <c r="Q204" i="16"/>
  <c r="Q203" i="16"/>
  <c r="U203" i="16"/>
  <c r="Q201" i="16"/>
  <c r="U201" i="16" s="1"/>
  <c r="Q199" i="16"/>
  <c r="U199" i="16"/>
  <c r="Q197" i="16"/>
  <c r="U197" i="16" s="1"/>
  <c r="Q195" i="16"/>
  <c r="U195" i="16" s="1"/>
  <c r="Q194" i="16"/>
  <c r="U194" i="16" s="1"/>
  <c r="K193" i="16"/>
  <c r="I193" i="16"/>
  <c r="I190" i="16" s="1"/>
  <c r="H193" i="16"/>
  <c r="Q192" i="16"/>
  <c r="U192" i="16"/>
  <c r="Q191" i="16"/>
  <c r="U191" i="16" s="1"/>
  <c r="P190" i="16"/>
  <c r="N190" i="16"/>
  <c r="M190" i="16"/>
  <c r="L190" i="16"/>
  <c r="G190" i="16"/>
  <c r="F190" i="16"/>
  <c r="E190" i="16"/>
  <c r="Q189" i="16"/>
  <c r="U189" i="16" s="1"/>
  <c r="Q188" i="16"/>
  <c r="U188" i="16" s="1"/>
  <c r="Q187" i="16"/>
  <c r="Q186" i="16"/>
  <c r="U186" i="16" s="1"/>
  <c r="Q185" i="16"/>
  <c r="Q184" i="16"/>
  <c r="U184" i="16" s="1"/>
  <c r="P183" i="16"/>
  <c r="O183" i="16"/>
  <c r="N183" i="16"/>
  <c r="M183" i="16"/>
  <c r="L183" i="16"/>
  <c r="K183" i="16"/>
  <c r="J183" i="16"/>
  <c r="I183" i="16"/>
  <c r="H183" i="16"/>
  <c r="G183" i="16"/>
  <c r="F183" i="16"/>
  <c r="H255" i="49" s="1"/>
  <c r="H252" i="49" s="1"/>
  <c r="E183" i="16"/>
  <c r="Q182" i="16"/>
  <c r="Q181" i="16"/>
  <c r="U181" i="16" s="1"/>
  <c r="Q180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Q178" i="16"/>
  <c r="U178" i="16"/>
  <c r="Q175" i="16"/>
  <c r="U175" i="16" s="1"/>
  <c r="Q174" i="16"/>
  <c r="U174" i="16"/>
  <c r="Q172" i="16"/>
  <c r="Q165" i="16"/>
  <c r="U165" i="16" s="1"/>
  <c r="Q163" i="16"/>
  <c r="U163" i="16"/>
  <c r="Q154" i="16"/>
  <c r="U154" i="16" s="1"/>
  <c r="Q152" i="16"/>
  <c r="U152" i="16"/>
  <c r="Q151" i="16"/>
  <c r="U151" i="16" s="1"/>
  <c r="Q150" i="16"/>
  <c r="Q149" i="16"/>
  <c r="U149" i="16"/>
  <c r="Q148" i="16"/>
  <c r="U148" i="16" s="1"/>
  <c r="Q147" i="16"/>
  <c r="Q146" i="16"/>
  <c r="U146" i="16" s="1"/>
  <c r="Q145" i="16"/>
  <c r="U145" i="16" s="1"/>
  <c r="Q144" i="16"/>
  <c r="U144" i="16"/>
  <c r="Q143" i="16"/>
  <c r="U143" i="16" s="1"/>
  <c r="Q142" i="16"/>
  <c r="U142" i="16" s="1"/>
  <c r="Q138" i="16"/>
  <c r="U138" i="16" s="1"/>
  <c r="Q137" i="16"/>
  <c r="U137" i="16"/>
  <c r="Q132" i="16"/>
  <c r="U132" i="16" s="1"/>
  <c r="Q127" i="16"/>
  <c r="U127" i="16"/>
  <c r="Q125" i="16"/>
  <c r="U125" i="16" s="1"/>
  <c r="Q124" i="16"/>
  <c r="U124" i="16"/>
  <c r="Q117" i="16"/>
  <c r="U117" i="16" s="1"/>
  <c r="Q116" i="16"/>
  <c r="U116" i="16" s="1"/>
  <c r="Q115" i="16"/>
  <c r="U115" i="16"/>
  <c r="Q113" i="16"/>
  <c r="U113" i="16" s="1"/>
  <c r="Q109" i="16"/>
  <c r="Q202" i="16"/>
  <c r="AC27" i="25"/>
  <c r="AB27" i="25"/>
  <c r="AA27" i="25"/>
  <c r="Y27" i="25"/>
  <c r="X27" i="25"/>
  <c r="W27" i="25"/>
  <c r="U27" i="25"/>
  <c r="T27" i="25"/>
  <c r="S27" i="25"/>
  <c r="E158" i="20"/>
  <c r="E137" i="20"/>
  <c r="J59" i="18"/>
  <c r="J109" i="18" s="1"/>
  <c r="Q49" i="23"/>
  <c r="C56" i="23"/>
  <c r="U172" i="16"/>
  <c r="U227" i="16"/>
  <c r="U231" i="16"/>
  <c r="U242" i="16"/>
  <c r="U251" i="16"/>
  <c r="U277" i="16"/>
  <c r="U288" i="16"/>
  <c r="U295" i="16"/>
  <c r="W77" i="20"/>
  <c r="I333" i="16"/>
  <c r="Q173" i="16"/>
  <c r="U173" i="16"/>
  <c r="U214" i="16"/>
  <c r="U240" i="16"/>
  <c r="U275" i="16"/>
  <c r="U278" i="16"/>
  <c r="U310" i="16"/>
  <c r="U316" i="16"/>
  <c r="U147" i="16"/>
  <c r="U150" i="16"/>
  <c r="U182" i="16"/>
  <c r="U187" i="16"/>
  <c r="U215" i="16"/>
  <c r="U245" i="16"/>
  <c r="U256" i="16"/>
  <c r="U260" i="16"/>
  <c r="U281" i="16"/>
  <c r="U284" i="16"/>
  <c r="U289" i="16"/>
  <c r="U314" i="16"/>
  <c r="I158" i="20"/>
  <c r="I137" i="20"/>
  <c r="I391" i="16"/>
  <c r="G391" i="16"/>
  <c r="F391" i="16"/>
  <c r="E391" i="16"/>
  <c r="N307" i="16"/>
  <c r="N58" i="39" s="1"/>
  <c r="N56" i="39" s="1"/>
  <c r="N21" i="42" s="1"/>
  <c r="L391" i="16"/>
  <c r="H6" i="40"/>
  <c r="H31" i="42" s="1"/>
  <c r="H30" i="42" s="1"/>
  <c r="Q103" i="16"/>
  <c r="Q102" i="16"/>
  <c r="U102" i="16" s="1"/>
  <c r="P101" i="16"/>
  <c r="O101" i="16"/>
  <c r="N101" i="16"/>
  <c r="M101" i="16"/>
  <c r="M38" i="39"/>
  <c r="M14" i="42" s="1"/>
  <c r="L101" i="16"/>
  <c r="K101" i="16"/>
  <c r="J101" i="16"/>
  <c r="I101" i="16"/>
  <c r="H101" i="16"/>
  <c r="G101" i="16"/>
  <c r="F101" i="16"/>
  <c r="E101" i="16"/>
  <c r="E38" i="39"/>
  <c r="Q100" i="16"/>
  <c r="U100" i="16" s="1"/>
  <c r="Q98" i="16"/>
  <c r="U98" i="16"/>
  <c r="Q69" i="16"/>
  <c r="U69" i="16" s="1"/>
  <c r="C47" i="25"/>
  <c r="H75" i="20"/>
  <c r="T75" i="20" s="1"/>
  <c r="U343" i="16"/>
  <c r="Q111" i="18"/>
  <c r="G6" i="40"/>
  <c r="G5" i="40" s="1"/>
  <c r="H35" i="40"/>
  <c r="E66" i="16"/>
  <c r="Q61" i="16"/>
  <c r="O51" i="16"/>
  <c r="N51" i="16"/>
  <c r="N33" i="39" s="1"/>
  <c r="I51" i="16"/>
  <c r="I33" i="39" s="1"/>
  <c r="Q54" i="16"/>
  <c r="U54" i="16" s="1"/>
  <c r="Q53" i="16"/>
  <c r="U53" i="16"/>
  <c r="Q52" i="16"/>
  <c r="U52" i="16" s="1"/>
  <c r="M51" i="16"/>
  <c r="M33" i="39" s="1"/>
  <c r="L51" i="16"/>
  <c r="Q49" i="16"/>
  <c r="Q51" i="35" s="1"/>
  <c r="Q48" i="16"/>
  <c r="Q41" i="16"/>
  <c r="U41" i="16" s="1"/>
  <c r="Q40" i="16"/>
  <c r="U40" i="16"/>
  <c r="Q39" i="16"/>
  <c r="U39" i="16" s="1"/>
  <c r="Q38" i="16"/>
  <c r="U38" i="16"/>
  <c r="Q37" i="16"/>
  <c r="U37" i="16" s="1"/>
  <c r="P36" i="16"/>
  <c r="O36" i="16"/>
  <c r="N36" i="16"/>
  <c r="N18" i="39" s="1"/>
  <c r="M36" i="16"/>
  <c r="L36" i="16"/>
  <c r="K36" i="16"/>
  <c r="J36" i="16"/>
  <c r="I36" i="16"/>
  <c r="H36" i="16"/>
  <c r="G36" i="16"/>
  <c r="F36" i="16"/>
  <c r="F18" i="39" s="1"/>
  <c r="E36" i="16"/>
  <c r="P16" i="39"/>
  <c r="N16" i="39"/>
  <c r="L16" i="39"/>
  <c r="K16" i="39"/>
  <c r="I16" i="39"/>
  <c r="H16" i="39"/>
  <c r="F16" i="39"/>
  <c r="Q29" i="16"/>
  <c r="U29" i="16"/>
  <c r="Q28" i="16"/>
  <c r="Q27" i="16"/>
  <c r="U27" i="16"/>
  <c r="Q26" i="16"/>
  <c r="U26" i="16" s="1"/>
  <c r="Q25" i="16"/>
  <c r="U25" i="16"/>
  <c r="P24" i="16"/>
  <c r="Q18" i="35" s="1"/>
  <c r="O24" i="16"/>
  <c r="P18" i="35"/>
  <c r="N24" i="16"/>
  <c r="O18" i="35" s="1"/>
  <c r="M24" i="16"/>
  <c r="N18" i="35"/>
  <c r="L24" i="16"/>
  <c r="M18" i="35" s="1"/>
  <c r="K24" i="16"/>
  <c r="L18" i="35"/>
  <c r="J24" i="16"/>
  <c r="K18" i="35" s="1"/>
  <c r="I24" i="16"/>
  <c r="J18" i="35"/>
  <c r="H24" i="16"/>
  <c r="I18" i="35" s="1"/>
  <c r="G24" i="16"/>
  <c r="H18" i="35"/>
  <c r="F24" i="16"/>
  <c r="G18" i="35" s="1"/>
  <c r="E24" i="16"/>
  <c r="F18" i="35"/>
  <c r="L20" i="16"/>
  <c r="L8" i="39" s="1"/>
  <c r="Q10" i="16"/>
  <c r="Q9" i="16"/>
  <c r="Q8" i="16"/>
  <c r="V388" i="48"/>
  <c r="J51" i="16"/>
  <c r="E16" i="39"/>
  <c r="E57" i="16"/>
  <c r="E37" i="39" s="1"/>
  <c r="F6" i="40"/>
  <c r="F31" i="42"/>
  <c r="E51" i="16"/>
  <c r="F75" i="20"/>
  <c r="H9" i="39"/>
  <c r="F35" i="40"/>
  <c r="F50" i="42" s="1"/>
  <c r="F48" i="42" s="1"/>
  <c r="E6" i="40"/>
  <c r="U385" i="48"/>
  <c r="T385" i="48"/>
  <c r="W385" i="48"/>
  <c r="X384" i="48"/>
  <c r="U384" i="48"/>
  <c r="T384" i="48"/>
  <c r="V384" i="48"/>
  <c r="U383" i="48"/>
  <c r="T383" i="48"/>
  <c r="W384" i="48"/>
  <c r="Y384" i="48"/>
  <c r="F380" i="48"/>
  <c r="E380" i="48"/>
  <c r="E379" i="48"/>
  <c r="U378" i="48"/>
  <c r="T378" i="48"/>
  <c r="W378" i="48"/>
  <c r="E376" i="48"/>
  <c r="U373" i="48"/>
  <c r="T373" i="48"/>
  <c r="Y372" i="48"/>
  <c r="U372" i="48"/>
  <c r="T372" i="48"/>
  <c r="W372" i="48"/>
  <c r="F371" i="48"/>
  <c r="E371" i="48"/>
  <c r="U370" i="48"/>
  <c r="T370" i="48"/>
  <c r="F369" i="48"/>
  <c r="E369" i="48"/>
  <c r="F368" i="48"/>
  <c r="E368" i="48"/>
  <c r="E367" i="48" s="1"/>
  <c r="W373" i="48"/>
  <c r="Y373" i="48"/>
  <c r="V378" i="48"/>
  <c r="V372" i="48"/>
  <c r="V366" i="48"/>
  <c r="U366" i="48"/>
  <c r="T366" i="48"/>
  <c r="W366" i="48"/>
  <c r="Y365" i="48"/>
  <c r="U365" i="48"/>
  <c r="T365" i="48"/>
  <c r="V365" i="48"/>
  <c r="V364" i="48"/>
  <c r="U364" i="48"/>
  <c r="T364" i="48"/>
  <c r="W364" i="48"/>
  <c r="U363" i="48"/>
  <c r="T363" i="48"/>
  <c r="Y364" i="48"/>
  <c r="Y366" i="48"/>
  <c r="E9" i="39"/>
  <c r="D362" i="48"/>
  <c r="F360" i="48"/>
  <c r="F359" i="48"/>
  <c r="F354" i="48" s="1"/>
  <c r="F357" i="48"/>
  <c r="E357" i="48"/>
  <c r="F356" i="48"/>
  <c r="E356" i="48"/>
  <c r="F355" i="48"/>
  <c r="E355" i="48"/>
  <c r="F353" i="48"/>
  <c r="E353" i="48"/>
  <c r="F352" i="48"/>
  <c r="E352" i="48"/>
  <c r="F351" i="48"/>
  <c r="F349" i="48" s="1"/>
  <c r="E351" i="48"/>
  <c r="E350" i="48"/>
  <c r="D348" i="48"/>
  <c r="W347" i="48"/>
  <c r="U347" i="48"/>
  <c r="T347" i="48"/>
  <c r="V347" i="48"/>
  <c r="E346" i="48"/>
  <c r="F345" i="48"/>
  <c r="E345" i="48"/>
  <c r="F344" i="48"/>
  <c r="E344" i="48"/>
  <c r="U343" i="48"/>
  <c r="T343" i="48"/>
  <c r="E342" i="48"/>
  <c r="E341" i="48" s="1"/>
  <c r="E340" i="48" s="1"/>
  <c r="F340" i="48"/>
  <c r="D340" i="48"/>
  <c r="U336" i="48"/>
  <c r="T336" i="48"/>
  <c r="V336" i="48"/>
  <c r="Y336" i="48"/>
  <c r="W336" i="48"/>
  <c r="E334" i="48"/>
  <c r="E333" i="48" s="1"/>
  <c r="F333" i="48"/>
  <c r="F330" i="48"/>
  <c r="F321" i="48" s="1"/>
  <c r="E330" i="48"/>
  <c r="E321" i="48" s="1"/>
  <c r="E317" i="48" s="1"/>
  <c r="U329" i="48"/>
  <c r="T329" i="48"/>
  <c r="V328" i="48"/>
  <c r="U328" i="48"/>
  <c r="T328" i="48"/>
  <c r="U327" i="48"/>
  <c r="T327" i="48"/>
  <c r="U326" i="48"/>
  <c r="T326" i="48"/>
  <c r="Y326" i="48"/>
  <c r="W326" i="48"/>
  <c r="U325" i="48"/>
  <c r="T325" i="48"/>
  <c r="U324" i="48"/>
  <c r="T324" i="48"/>
  <c r="U323" i="48"/>
  <c r="T323" i="48"/>
  <c r="U322" i="48"/>
  <c r="T322" i="48"/>
  <c r="Y322" i="48"/>
  <c r="W322" i="48"/>
  <c r="V322" i="48"/>
  <c r="W323" i="48"/>
  <c r="F320" i="48"/>
  <c r="E320" i="48"/>
  <c r="X319" i="48"/>
  <c r="W319" i="48"/>
  <c r="U319" i="48"/>
  <c r="T319" i="48"/>
  <c r="W318" i="48"/>
  <c r="U318" i="48"/>
  <c r="T318" i="48"/>
  <c r="E316" i="48"/>
  <c r="D315" i="48"/>
  <c r="V314" i="48"/>
  <c r="U314" i="48"/>
  <c r="T314" i="48"/>
  <c r="Y314" i="48"/>
  <c r="W314" i="48"/>
  <c r="U306" i="48"/>
  <c r="T306" i="48"/>
  <c r="W305" i="48"/>
  <c r="V305" i="48"/>
  <c r="U305" i="48"/>
  <c r="T305" i="48"/>
  <c r="Y305" i="48"/>
  <c r="U304" i="48"/>
  <c r="T304" i="48"/>
  <c r="V304" i="48"/>
  <c r="E303" i="48"/>
  <c r="V302" i="48"/>
  <c r="U302" i="48"/>
  <c r="T302" i="48"/>
  <c r="Y302" i="48"/>
  <c r="W302" i="48"/>
  <c r="D301" i="48"/>
  <c r="U300" i="48"/>
  <c r="T300" i="48"/>
  <c r="U299" i="48"/>
  <c r="T299" i="48"/>
  <c r="V299" i="48"/>
  <c r="W298" i="48"/>
  <c r="V298" i="48"/>
  <c r="U298" i="48"/>
  <c r="T298" i="48"/>
  <c r="Y298" i="48"/>
  <c r="U297" i="48"/>
  <c r="T297" i="48"/>
  <c r="Y297" i="48"/>
  <c r="W297" i="48"/>
  <c r="F296" i="48"/>
  <c r="E296" i="48"/>
  <c r="E295" i="48"/>
  <c r="F294" i="48"/>
  <c r="E294" i="48"/>
  <c r="E292" i="48" s="1"/>
  <c r="E291" i="48" s="1"/>
  <c r="E280" i="48" s="1"/>
  <c r="E279" i="48" s="1"/>
  <c r="F293" i="48"/>
  <c r="E293" i="48"/>
  <c r="D292" i="48"/>
  <c r="D291" i="48" s="1"/>
  <c r="E290" i="48"/>
  <c r="E289" i="48"/>
  <c r="E288" i="48"/>
  <c r="F286" i="48"/>
  <c r="E286" i="48"/>
  <c r="U285" i="48"/>
  <c r="T285" i="48"/>
  <c r="V285" i="48"/>
  <c r="E284" i="48"/>
  <c r="E283" i="48"/>
  <c r="E282" i="48"/>
  <c r="F281" i="48"/>
  <c r="D281" i="48"/>
  <c r="U278" i="48"/>
  <c r="T278" i="48"/>
  <c r="E276" i="48"/>
  <c r="F275" i="48"/>
  <c r="F271" i="48" s="1"/>
  <c r="D275" i="48"/>
  <c r="U274" i="48"/>
  <c r="T274" i="48"/>
  <c r="U273" i="48"/>
  <c r="T273" i="48"/>
  <c r="V273" i="48"/>
  <c r="E272" i="48"/>
  <c r="D272" i="48"/>
  <c r="E230" i="48"/>
  <c r="E180" i="48"/>
  <c r="E152" i="48"/>
  <c r="E95" i="48"/>
  <c r="C93" i="48"/>
  <c r="C92" i="48"/>
  <c r="C91" i="48"/>
  <c r="C90" i="48"/>
  <c r="C89" i="48"/>
  <c r="D88" i="48"/>
  <c r="D86" i="48"/>
  <c r="C88" i="48"/>
  <c r="C87" i="48"/>
  <c r="C86" i="48"/>
  <c r="C85" i="48"/>
  <c r="C84" i="48"/>
  <c r="C83" i="48"/>
  <c r="C82" i="48"/>
  <c r="C81" i="48"/>
  <c r="C80" i="48"/>
  <c r="C79" i="48"/>
  <c r="C78" i="48"/>
  <c r="C77" i="48"/>
  <c r="C76" i="48"/>
  <c r="C75" i="48"/>
  <c r="C69" i="48"/>
  <c r="C68" i="48"/>
  <c r="C67" i="48"/>
  <c r="C66" i="48"/>
  <c r="C65" i="48"/>
  <c r="C64" i="48"/>
  <c r="C63" i="48"/>
  <c r="C62" i="48"/>
  <c r="C61" i="48"/>
  <c r="C60" i="48"/>
  <c r="C59" i="48"/>
  <c r="C58" i="48"/>
  <c r="E56" i="48"/>
  <c r="C57" i="48"/>
  <c r="C56" i="48"/>
  <c r="C55" i="48"/>
  <c r="C54" i="48"/>
  <c r="C53" i="48"/>
  <c r="V297" i="48"/>
  <c r="X299" i="48"/>
  <c r="W285" i="48"/>
  <c r="Y299" i="48"/>
  <c r="W273" i="48"/>
  <c r="W299" i="48"/>
  <c r="Y304" i="48"/>
  <c r="W304" i="48"/>
  <c r="F56" i="48"/>
  <c r="C52" i="48"/>
  <c r="C51" i="48"/>
  <c r="C50" i="48"/>
  <c r="C49" i="48"/>
  <c r="C48" i="48"/>
  <c r="C47" i="48"/>
  <c r="C46" i="48"/>
  <c r="C45" i="48"/>
  <c r="C44" i="48"/>
  <c r="F42" i="48"/>
  <c r="F35" i="48" s="1"/>
  <c r="E42" i="48"/>
  <c r="C43" i="48"/>
  <c r="C42" i="48"/>
  <c r="C41" i="48"/>
  <c r="C40" i="48"/>
  <c r="C38" i="48"/>
  <c r="C37" i="48"/>
  <c r="C35" i="48"/>
  <c r="E34" i="48"/>
  <c r="F33" i="48"/>
  <c r="E33" i="48"/>
  <c r="C33" i="48"/>
  <c r="F32" i="48"/>
  <c r="E32" i="48"/>
  <c r="C32" i="48"/>
  <c r="F31" i="48"/>
  <c r="E31" i="48"/>
  <c r="C31" i="48"/>
  <c r="F30" i="48"/>
  <c r="E30" i="48"/>
  <c r="C30" i="48"/>
  <c r="F29" i="48"/>
  <c r="E29" i="48"/>
  <c r="C29" i="48"/>
  <c r="C28" i="48"/>
  <c r="C27" i="48"/>
  <c r="C26" i="48"/>
  <c r="C25" i="48"/>
  <c r="C22" i="48"/>
  <c r="C21" i="48"/>
  <c r="C20" i="48"/>
  <c r="C19" i="48"/>
  <c r="C18" i="48"/>
  <c r="C17" i="48"/>
  <c r="C16" i="48"/>
  <c r="C15" i="48"/>
  <c r="C14" i="48"/>
  <c r="C13" i="48"/>
  <c r="C12" i="48"/>
  <c r="C11" i="48"/>
  <c r="E7" i="48"/>
  <c r="D6" i="48"/>
  <c r="Q254" i="35"/>
  <c r="P254" i="35"/>
  <c r="O254" i="35"/>
  <c r="N254" i="35"/>
  <c r="M254" i="35"/>
  <c r="L254" i="35"/>
  <c r="K254" i="35"/>
  <c r="J254" i="35"/>
  <c r="I254" i="35"/>
  <c r="H254" i="35"/>
  <c r="G254" i="35"/>
  <c r="F254" i="35"/>
  <c r="Q253" i="35"/>
  <c r="P253" i="35"/>
  <c r="O253" i="35"/>
  <c r="N253" i="35"/>
  <c r="M253" i="35"/>
  <c r="L253" i="35"/>
  <c r="K253" i="35"/>
  <c r="J253" i="35"/>
  <c r="I253" i="35"/>
  <c r="H253" i="35"/>
  <c r="G253" i="35"/>
  <c r="F253" i="35"/>
  <c r="Q252" i="35"/>
  <c r="P252" i="35"/>
  <c r="O252" i="35"/>
  <c r="N252" i="35"/>
  <c r="M252" i="35"/>
  <c r="L252" i="35"/>
  <c r="K252" i="35"/>
  <c r="J252" i="35"/>
  <c r="I252" i="35"/>
  <c r="H252" i="35"/>
  <c r="G252" i="35"/>
  <c r="F252" i="35"/>
  <c r="Q251" i="35"/>
  <c r="P251" i="35"/>
  <c r="O251" i="35"/>
  <c r="N251" i="35"/>
  <c r="M251" i="35"/>
  <c r="L251" i="35"/>
  <c r="K251" i="35"/>
  <c r="J251" i="35"/>
  <c r="I251" i="35"/>
  <c r="H251" i="35"/>
  <c r="G251" i="35"/>
  <c r="F251" i="35"/>
  <c r="Q250" i="35"/>
  <c r="Q255" i="35"/>
  <c r="P250" i="35"/>
  <c r="P255" i="35" s="1"/>
  <c r="O250" i="35"/>
  <c r="N250" i="35"/>
  <c r="N255" i="35" s="1"/>
  <c r="M250" i="35"/>
  <c r="M255" i="35" s="1"/>
  <c r="L250" i="35"/>
  <c r="K250" i="35"/>
  <c r="J250" i="35"/>
  <c r="J255" i="35"/>
  <c r="I250" i="35"/>
  <c r="I255" i="35"/>
  <c r="H250" i="35"/>
  <c r="G250" i="35"/>
  <c r="F250" i="35"/>
  <c r="F255" i="35" s="1"/>
  <c r="Q241" i="35"/>
  <c r="P241" i="35"/>
  <c r="O241" i="35"/>
  <c r="M15" i="45" s="1"/>
  <c r="N241" i="35"/>
  <c r="L15" i="45" s="1"/>
  <c r="M241" i="35"/>
  <c r="L241" i="35"/>
  <c r="J15" i="45"/>
  <c r="K241" i="35"/>
  <c r="I15" i="45"/>
  <c r="J241" i="35"/>
  <c r="H15" i="45"/>
  <c r="I241" i="35"/>
  <c r="H241" i="35"/>
  <c r="F15" i="45" s="1"/>
  <c r="G241" i="35"/>
  <c r="F241" i="35"/>
  <c r="D15" i="45" s="1"/>
  <c r="Q240" i="35"/>
  <c r="P240" i="35"/>
  <c r="O240" i="35"/>
  <c r="M21" i="45" s="1"/>
  <c r="M19" i="45" s="1"/>
  <c r="N240" i="35"/>
  <c r="M240" i="35"/>
  <c r="L240" i="35"/>
  <c r="K240" i="35"/>
  <c r="J240" i="35"/>
  <c r="I240" i="35"/>
  <c r="H240" i="35"/>
  <c r="G240" i="35"/>
  <c r="F240" i="35"/>
  <c r="I239" i="35"/>
  <c r="Q238" i="35"/>
  <c r="P238" i="35"/>
  <c r="O238" i="35"/>
  <c r="N238" i="35"/>
  <c r="M238" i="35"/>
  <c r="L238" i="35"/>
  <c r="K238" i="35"/>
  <c r="J238" i="35"/>
  <c r="I238" i="35"/>
  <c r="H238" i="35"/>
  <c r="G238" i="35"/>
  <c r="F238" i="35"/>
  <c r="Q237" i="35"/>
  <c r="O21" i="45" s="1"/>
  <c r="P237" i="35"/>
  <c r="O237" i="35"/>
  <c r="N237" i="35"/>
  <c r="L21" i="45" s="1"/>
  <c r="M237" i="35"/>
  <c r="K21" i="45"/>
  <c r="L237" i="35"/>
  <c r="K237" i="35"/>
  <c r="J237" i="35"/>
  <c r="H21" i="45" s="1"/>
  <c r="I237" i="35"/>
  <c r="G21" i="45" s="1"/>
  <c r="H237" i="35"/>
  <c r="G237" i="35"/>
  <c r="F237" i="35"/>
  <c r="D21" i="45" s="1"/>
  <c r="Q235" i="35"/>
  <c r="Q247" i="35"/>
  <c r="P235" i="35"/>
  <c r="P247" i="35"/>
  <c r="O235" i="35"/>
  <c r="O247" i="35"/>
  <c r="M235" i="35"/>
  <c r="M247" i="35"/>
  <c r="K235" i="35"/>
  <c r="K247" i="35"/>
  <c r="J235" i="35"/>
  <c r="J247" i="35"/>
  <c r="H235" i="35"/>
  <c r="H247" i="35"/>
  <c r="G235" i="35"/>
  <c r="G247" i="35"/>
  <c r="E17" i="48"/>
  <c r="F17" i="48"/>
  <c r="U226" i="35"/>
  <c r="T226" i="35"/>
  <c r="S226" i="35"/>
  <c r="R226" i="35"/>
  <c r="V226" i="35"/>
  <c r="U225" i="35"/>
  <c r="T225" i="35"/>
  <c r="S225" i="35"/>
  <c r="R225" i="35"/>
  <c r="V225" i="35"/>
  <c r="U224" i="35"/>
  <c r="T224" i="35"/>
  <c r="S224" i="35"/>
  <c r="R224" i="35"/>
  <c r="U219" i="35"/>
  <c r="T219" i="35"/>
  <c r="S219" i="35"/>
  <c r="R219" i="35"/>
  <c r="V219" i="35"/>
  <c r="K218" i="35"/>
  <c r="I218" i="35"/>
  <c r="F218" i="35"/>
  <c r="O217" i="35"/>
  <c r="M217" i="35"/>
  <c r="G217" i="35"/>
  <c r="F217" i="35"/>
  <c r="R214" i="35"/>
  <c r="W214" i="35"/>
  <c r="U214" i="35"/>
  <c r="T214" i="35"/>
  <c r="S214" i="35"/>
  <c r="U213" i="35"/>
  <c r="T213" i="35"/>
  <c r="S213" i="35"/>
  <c r="R213" i="35"/>
  <c r="Q212" i="35"/>
  <c r="Q209" i="35"/>
  <c r="Q210" i="35"/>
  <c r="P212" i="35"/>
  <c r="O212" i="35"/>
  <c r="N212" i="35"/>
  <c r="N209" i="35"/>
  <c r="N210" i="35"/>
  <c r="M212" i="35"/>
  <c r="M209" i="35"/>
  <c r="M210" i="35"/>
  <c r="L212" i="35"/>
  <c r="K212" i="35"/>
  <c r="K209" i="35"/>
  <c r="K210" i="35"/>
  <c r="J212" i="35"/>
  <c r="J209" i="35"/>
  <c r="J208" i="35" s="1"/>
  <c r="J210" i="35"/>
  <c r="I212" i="35"/>
  <c r="I209" i="35"/>
  <c r="I210" i="35"/>
  <c r="H212" i="35"/>
  <c r="G212" i="35"/>
  <c r="G209" i="35"/>
  <c r="G210" i="35"/>
  <c r="F212" i="35"/>
  <c r="R211" i="35"/>
  <c r="U211" i="35"/>
  <c r="T211" i="35"/>
  <c r="S211" i="35"/>
  <c r="P210" i="35"/>
  <c r="O210" i="35"/>
  <c r="L210" i="35"/>
  <c r="H210" i="35"/>
  <c r="F210" i="35"/>
  <c r="P209" i="35"/>
  <c r="O209" i="35"/>
  <c r="L209" i="35"/>
  <c r="H209" i="35"/>
  <c r="F209" i="35"/>
  <c r="S209" i="35" s="1"/>
  <c r="W219" i="35"/>
  <c r="U207" i="35"/>
  <c r="T207" i="35"/>
  <c r="S207" i="35"/>
  <c r="R207" i="35"/>
  <c r="V207" i="35"/>
  <c r="R206" i="35"/>
  <c r="U206" i="35"/>
  <c r="T206" i="35"/>
  <c r="S206" i="35"/>
  <c r="R205" i="35"/>
  <c r="W205" i="35"/>
  <c r="U205" i="35"/>
  <c r="T205" i="35"/>
  <c r="S205" i="35"/>
  <c r="R204" i="35"/>
  <c r="W204" i="35"/>
  <c r="U204" i="35"/>
  <c r="T204" i="35"/>
  <c r="S204" i="35"/>
  <c r="E203" i="35"/>
  <c r="D203" i="35"/>
  <c r="Q202" i="35"/>
  <c r="P202" i="35"/>
  <c r="O202" i="35"/>
  <c r="N202" i="35"/>
  <c r="M202" i="35"/>
  <c r="L202" i="35"/>
  <c r="K202" i="35"/>
  <c r="J202" i="35"/>
  <c r="I202" i="35"/>
  <c r="H202" i="35"/>
  <c r="G202" i="35"/>
  <c r="F202" i="35"/>
  <c r="Q201" i="35"/>
  <c r="P201" i="35"/>
  <c r="O201" i="35"/>
  <c r="N201" i="35"/>
  <c r="M201" i="35"/>
  <c r="L201" i="35"/>
  <c r="K201" i="35"/>
  <c r="J201" i="35"/>
  <c r="I201" i="35"/>
  <c r="H201" i="35"/>
  <c r="G201" i="35"/>
  <c r="F201" i="35"/>
  <c r="Q200" i="35"/>
  <c r="P200" i="35"/>
  <c r="O200" i="35"/>
  <c r="N200" i="35"/>
  <c r="M200" i="35"/>
  <c r="L200" i="35"/>
  <c r="K200" i="35"/>
  <c r="J200" i="35"/>
  <c r="I200" i="35"/>
  <c r="H200" i="35"/>
  <c r="G200" i="35"/>
  <c r="F200" i="35"/>
  <c r="Q198" i="35"/>
  <c r="P198" i="35"/>
  <c r="O198" i="35"/>
  <c r="N198" i="35"/>
  <c r="M198" i="35"/>
  <c r="L198" i="35"/>
  <c r="K198" i="35"/>
  <c r="J198" i="35"/>
  <c r="I198" i="35"/>
  <c r="H198" i="35"/>
  <c r="G198" i="35"/>
  <c r="F198" i="35"/>
  <c r="Q197" i="35"/>
  <c r="P197" i="35"/>
  <c r="O197" i="35"/>
  <c r="N197" i="35"/>
  <c r="M197" i="35"/>
  <c r="L197" i="35"/>
  <c r="K197" i="35"/>
  <c r="J197" i="35"/>
  <c r="I197" i="35"/>
  <c r="H197" i="35"/>
  <c r="R197" i="35" s="1"/>
  <c r="W197" i="35" s="1"/>
  <c r="G197" i="35"/>
  <c r="F197" i="35"/>
  <c r="Q196" i="35"/>
  <c r="P196" i="35"/>
  <c r="O196" i="35"/>
  <c r="N196" i="35"/>
  <c r="N195" i="35"/>
  <c r="M196" i="35"/>
  <c r="L196" i="35"/>
  <c r="K196" i="35"/>
  <c r="J196" i="35"/>
  <c r="J195" i="35"/>
  <c r="I196" i="35"/>
  <c r="H196" i="35"/>
  <c r="G196" i="35"/>
  <c r="G194" i="35" s="1"/>
  <c r="F196" i="35"/>
  <c r="O195" i="35"/>
  <c r="M195" i="35"/>
  <c r="L195" i="35"/>
  <c r="L194" i="35" s="1"/>
  <c r="K195" i="35"/>
  <c r="I195" i="35"/>
  <c r="I194" i="35"/>
  <c r="H195" i="35"/>
  <c r="H194" i="35" s="1"/>
  <c r="G195" i="35"/>
  <c r="F195" i="35"/>
  <c r="F194" i="35" s="1"/>
  <c r="E193" i="35"/>
  <c r="D193" i="35"/>
  <c r="D184" i="35"/>
  <c r="D183" i="35" s="1"/>
  <c r="U192" i="35"/>
  <c r="T192" i="35"/>
  <c r="S192" i="35"/>
  <c r="R192" i="35"/>
  <c r="P191" i="35"/>
  <c r="O191" i="35"/>
  <c r="N191" i="35"/>
  <c r="M191" i="35"/>
  <c r="L191" i="35"/>
  <c r="K191" i="35"/>
  <c r="J191" i="35"/>
  <c r="I191" i="35"/>
  <c r="H191" i="35"/>
  <c r="G191" i="35"/>
  <c r="F191" i="35"/>
  <c r="S191" i="35" s="1"/>
  <c r="Q190" i="35"/>
  <c r="P190" i="35"/>
  <c r="N190" i="35"/>
  <c r="M190" i="35"/>
  <c r="L190" i="35"/>
  <c r="K190" i="35"/>
  <c r="J190" i="35"/>
  <c r="I190" i="35"/>
  <c r="H190" i="35"/>
  <c r="G190" i="35"/>
  <c r="F190" i="35"/>
  <c r="Q189" i="35"/>
  <c r="P189" i="35"/>
  <c r="N189" i="35"/>
  <c r="M189" i="35"/>
  <c r="L189" i="35"/>
  <c r="K189" i="35"/>
  <c r="J189" i="35"/>
  <c r="I189" i="35"/>
  <c r="H189" i="35"/>
  <c r="G189" i="35"/>
  <c r="F189" i="35"/>
  <c r="U188" i="35"/>
  <c r="T188" i="35"/>
  <c r="S188" i="35"/>
  <c r="R188" i="35"/>
  <c r="V188" i="35" s="1"/>
  <c r="W188" i="35"/>
  <c r="O186" i="35"/>
  <c r="O185" i="35"/>
  <c r="E185" i="35"/>
  <c r="E184" i="35" s="1"/>
  <c r="E183" i="35" s="1"/>
  <c r="D185" i="35"/>
  <c r="R181" i="35"/>
  <c r="V181" i="35" s="1"/>
  <c r="U181" i="35"/>
  <c r="T181" i="35"/>
  <c r="O178" i="35"/>
  <c r="R177" i="35"/>
  <c r="W177" i="35"/>
  <c r="Q175" i="35"/>
  <c r="Q166" i="35" s="1"/>
  <c r="P175" i="35"/>
  <c r="P166" i="35" s="1"/>
  <c r="O175" i="35"/>
  <c r="M175" i="35"/>
  <c r="L175" i="35"/>
  <c r="H175" i="35"/>
  <c r="F175" i="35"/>
  <c r="F166" i="35"/>
  <c r="F165" i="35"/>
  <c r="U174" i="35"/>
  <c r="T174" i="35"/>
  <c r="S174" i="35"/>
  <c r="R174" i="35"/>
  <c r="U173" i="35"/>
  <c r="T173" i="35"/>
  <c r="S173" i="35"/>
  <c r="R173" i="35"/>
  <c r="U172" i="35"/>
  <c r="T172" i="35"/>
  <c r="S172" i="35"/>
  <c r="R172" i="35"/>
  <c r="V172" i="35"/>
  <c r="W172" i="35"/>
  <c r="U171" i="35"/>
  <c r="T171" i="35"/>
  <c r="S171" i="35"/>
  <c r="R171" i="35"/>
  <c r="U170" i="35"/>
  <c r="T170" i="35"/>
  <c r="S170" i="35"/>
  <c r="R170" i="35"/>
  <c r="U169" i="35"/>
  <c r="T169" i="35"/>
  <c r="S169" i="35"/>
  <c r="R169" i="35"/>
  <c r="U168" i="35"/>
  <c r="T168" i="35"/>
  <c r="S168" i="35"/>
  <c r="R168" i="35"/>
  <c r="U167" i="35"/>
  <c r="T167" i="35"/>
  <c r="S167" i="35"/>
  <c r="R167" i="35"/>
  <c r="Q165" i="35"/>
  <c r="Q162" i="35" s="1"/>
  <c r="P165" i="35"/>
  <c r="O165" i="35"/>
  <c r="N165" i="35"/>
  <c r="M165" i="35"/>
  <c r="L165" i="35"/>
  <c r="K165" i="35"/>
  <c r="X165" i="35" s="1"/>
  <c r="J165" i="35"/>
  <c r="I165" i="35"/>
  <c r="H165" i="35"/>
  <c r="G165" i="35"/>
  <c r="Y164" i="35"/>
  <c r="X164" i="35"/>
  <c r="W164" i="35"/>
  <c r="U164" i="35"/>
  <c r="T164" i="35"/>
  <c r="S164" i="35"/>
  <c r="R164" i="35"/>
  <c r="V164" i="35"/>
  <c r="U163" i="35"/>
  <c r="T163" i="35"/>
  <c r="S163" i="35"/>
  <c r="R163" i="35"/>
  <c r="E161" i="35"/>
  <c r="D160" i="35"/>
  <c r="U159" i="35"/>
  <c r="T159" i="35"/>
  <c r="S159" i="35"/>
  <c r="R159" i="35"/>
  <c r="V159" i="35" s="1"/>
  <c r="U152" i="35"/>
  <c r="T152" i="35"/>
  <c r="S152" i="35"/>
  <c r="R152" i="35"/>
  <c r="V152" i="35"/>
  <c r="R151" i="35"/>
  <c r="W151" i="35"/>
  <c r="U151" i="35"/>
  <c r="T151" i="35"/>
  <c r="S151" i="35"/>
  <c r="V151" i="35"/>
  <c r="U150" i="35"/>
  <c r="T150" i="35"/>
  <c r="S150" i="35"/>
  <c r="R150" i="35"/>
  <c r="W150" i="35" s="1"/>
  <c r="L149" i="35"/>
  <c r="K149" i="35"/>
  <c r="I149" i="35"/>
  <c r="I147" i="35" s="1"/>
  <c r="H149" i="35"/>
  <c r="G149" i="35"/>
  <c r="F149" i="35"/>
  <c r="U148" i="35"/>
  <c r="T148" i="35"/>
  <c r="S148" i="35"/>
  <c r="R148" i="35"/>
  <c r="H147" i="35"/>
  <c r="E147" i="35"/>
  <c r="D147" i="35"/>
  <c r="U146" i="35"/>
  <c r="T146" i="35"/>
  <c r="S146" i="35"/>
  <c r="R146" i="35"/>
  <c r="V146" i="35" s="1"/>
  <c r="R145" i="35"/>
  <c r="U145" i="35"/>
  <c r="T145" i="35"/>
  <c r="S145" i="35"/>
  <c r="R144" i="35"/>
  <c r="U144" i="35"/>
  <c r="T144" i="35"/>
  <c r="S144" i="35"/>
  <c r="U143" i="35"/>
  <c r="T143" i="35"/>
  <c r="S143" i="35"/>
  <c r="R143" i="35"/>
  <c r="W143" i="35"/>
  <c r="Q142" i="35"/>
  <c r="P142" i="35"/>
  <c r="O142" i="35"/>
  <c r="N142" i="35"/>
  <c r="M142" i="35"/>
  <c r="L142" i="35"/>
  <c r="K142" i="35"/>
  <c r="J142" i="35"/>
  <c r="I142" i="35"/>
  <c r="H142" i="35"/>
  <c r="G142" i="35"/>
  <c r="F142" i="35"/>
  <c r="Q141" i="35"/>
  <c r="P141" i="35"/>
  <c r="O141" i="35"/>
  <c r="N141" i="35"/>
  <c r="M141" i="35"/>
  <c r="L141" i="35"/>
  <c r="J141" i="35"/>
  <c r="H141" i="35"/>
  <c r="F141" i="35"/>
  <c r="F137" i="35" s="1"/>
  <c r="G141" i="35"/>
  <c r="O140" i="35"/>
  <c r="M140" i="35"/>
  <c r="I139" i="35"/>
  <c r="F140" i="35"/>
  <c r="P139" i="35"/>
  <c r="L139" i="35"/>
  <c r="G139" i="35"/>
  <c r="F138" i="35"/>
  <c r="E138" i="35"/>
  <c r="D138" i="35"/>
  <c r="D137" i="35"/>
  <c r="R131" i="35"/>
  <c r="U131" i="35"/>
  <c r="T131" i="35"/>
  <c r="S131" i="35"/>
  <c r="Q130" i="35"/>
  <c r="P130" i="35"/>
  <c r="O130" i="35"/>
  <c r="N130" i="35"/>
  <c r="M130" i="35"/>
  <c r="L130" i="35"/>
  <c r="K130" i="35"/>
  <c r="J130" i="35"/>
  <c r="I130" i="35"/>
  <c r="F130" i="35"/>
  <c r="G130" i="35"/>
  <c r="Q129" i="35"/>
  <c r="P129" i="35"/>
  <c r="O129" i="35"/>
  <c r="N129" i="35"/>
  <c r="M129" i="35"/>
  <c r="L129" i="35"/>
  <c r="K129" i="35"/>
  <c r="J129" i="35"/>
  <c r="I129" i="35"/>
  <c r="H129" i="35"/>
  <c r="G129" i="35"/>
  <c r="F129" i="35"/>
  <c r="Q128" i="35"/>
  <c r="P128" i="35"/>
  <c r="O128" i="35"/>
  <c r="N128" i="35"/>
  <c r="M128" i="35"/>
  <c r="L128" i="35"/>
  <c r="K128" i="35"/>
  <c r="J128" i="35"/>
  <c r="I128" i="35"/>
  <c r="H128" i="35"/>
  <c r="G128" i="35"/>
  <c r="F128" i="35"/>
  <c r="E127" i="35"/>
  <c r="D127" i="35"/>
  <c r="U124" i="35"/>
  <c r="T124" i="35"/>
  <c r="S124" i="35"/>
  <c r="R124" i="35"/>
  <c r="U123" i="35"/>
  <c r="T123" i="35"/>
  <c r="S123" i="35"/>
  <c r="R123" i="35"/>
  <c r="O122" i="35"/>
  <c r="M122" i="35"/>
  <c r="I122" i="35"/>
  <c r="F122" i="35"/>
  <c r="P121" i="35"/>
  <c r="N121" i="35"/>
  <c r="L24" i="45" s="1"/>
  <c r="L121" i="35"/>
  <c r="I121" i="35"/>
  <c r="H121" i="35"/>
  <c r="F24" i="45" s="1"/>
  <c r="G121" i="35"/>
  <c r="E120" i="35"/>
  <c r="E116" i="35" s="1"/>
  <c r="D120" i="35"/>
  <c r="U119" i="35"/>
  <c r="T119" i="35"/>
  <c r="S119" i="35"/>
  <c r="R119" i="35"/>
  <c r="R118" i="35"/>
  <c r="W118" i="35"/>
  <c r="U118" i="35"/>
  <c r="T118" i="35"/>
  <c r="S118" i="35"/>
  <c r="Q117" i="35"/>
  <c r="P117" i="35"/>
  <c r="O117" i="35"/>
  <c r="N117" i="35"/>
  <c r="M117" i="35"/>
  <c r="L117" i="35"/>
  <c r="K117" i="35"/>
  <c r="J117" i="35"/>
  <c r="I117" i="35"/>
  <c r="R117" i="35"/>
  <c r="H117" i="35"/>
  <c r="F117" i="35"/>
  <c r="G117" i="35"/>
  <c r="T117" i="35"/>
  <c r="E117" i="35"/>
  <c r="D117" i="35"/>
  <c r="U115" i="35"/>
  <c r="T115" i="35"/>
  <c r="S115" i="35"/>
  <c r="R115" i="35"/>
  <c r="V115" i="35" s="1"/>
  <c r="W115" i="35"/>
  <c r="U114" i="35"/>
  <c r="T114" i="35"/>
  <c r="S114" i="35"/>
  <c r="R114" i="35"/>
  <c r="U113" i="35"/>
  <c r="T113" i="35"/>
  <c r="S113" i="35"/>
  <c r="R113" i="35"/>
  <c r="W113" i="35"/>
  <c r="V113" i="35"/>
  <c r="U112" i="35"/>
  <c r="T112" i="35"/>
  <c r="S112" i="35"/>
  <c r="R112" i="35"/>
  <c r="V112" i="35"/>
  <c r="U111" i="35"/>
  <c r="T111" i="35"/>
  <c r="S111" i="35"/>
  <c r="R111" i="35"/>
  <c r="O109" i="35"/>
  <c r="L109" i="35"/>
  <c r="K109" i="35"/>
  <c r="I109" i="35"/>
  <c r="C109" i="35"/>
  <c r="Q108" i="35"/>
  <c r="P108" i="35"/>
  <c r="O108" i="35"/>
  <c r="N108" i="35"/>
  <c r="M108" i="35"/>
  <c r="L108" i="35"/>
  <c r="K108" i="35"/>
  <c r="J108" i="35"/>
  <c r="I108" i="35"/>
  <c r="H108" i="35"/>
  <c r="G108" i="35"/>
  <c r="F108" i="35"/>
  <c r="C108" i="35"/>
  <c r="W152" i="35"/>
  <c r="V118" i="35"/>
  <c r="Q107" i="35"/>
  <c r="P107" i="35"/>
  <c r="O107" i="35"/>
  <c r="N107" i="35"/>
  <c r="M107" i="35"/>
  <c r="L107" i="35"/>
  <c r="K107" i="35"/>
  <c r="J107" i="35"/>
  <c r="I107" i="35"/>
  <c r="H107" i="35"/>
  <c r="G107" i="35"/>
  <c r="F107" i="35"/>
  <c r="C107" i="35"/>
  <c r="Q106" i="35"/>
  <c r="P106" i="35"/>
  <c r="O106" i="35"/>
  <c r="N106" i="35"/>
  <c r="M106" i="35"/>
  <c r="L106" i="35"/>
  <c r="K106" i="35"/>
  <c r="J106" i="35"/>
  <c r="I106" i="35"/>
  <c r="H106" i="35"/>
  <c r="G106" i="35"/>
  <c r="F106" i="35"/>
  <c r="C106" i="35"/>
  <c r="C105" i="35"/>
  <c r="C104" i="35"/>
  <c r="C103" i="35"/>
  <c r="C102" i="35"/>
  <c r="Q101" i="35"/>
  <c r="P101" i="35"/>
  <c r="O101" i="35"/>
  <c r="N101" i="35"/>
  <c r="M101" i="35"/>
  <c r="L101" i="35"/>
  <c r="K101" i="35"/>
  <c r="J101" i="35"/>
  <c r="I101" i="35"/>
  <c r="H101" i="35"/>
  <c r="G101" i="35"/>
  <c r="F101" i="35"/>
  <c r="C101" i="35"/>
  <c r="C100" i="35"/>
  <c r="E137" i="35"/>
  <c r="Q98" i="35"/>
  <c r="N98" i="35"/>
  <c r="M98" i="35"/>
  <c r="K98" i="35"/>
  <c r="H98" i="35"/>
  <c r="C98" i="35"/>
  <c r="Q97" i="35"/>
  <c r="P97" i="35"/>
  <c r="O97" i="35"/>
  <c r="K97" i="35"/>
  <c r="G97" i="35"/>
  <c r="F97" i="35"/>
  <c r="C97" i="35"/>
  <c r="C95" i="35"/>
  <c r="Q94" i="35"/>
  <c r="P94" i="35"/>
  <c r="O94" i="35"/>
  <c r="N94" i="35"/>
  <c r="M94" i="35"/>
  <c r="L94" i="35"/>
  <c r="K94" i="35"/>
  <c r="J94" i="35"/>
  <c r="I94" i="35"/>
  <c r="H94" i="35"/>
  <c r="G94" i="35"/>
  <c r="F94" i="35"/>
  <c r="C94" i="35"/>
  <c r="Q93" i="35"/>
  <c r="P93" i="35"/>
  <c r="O93" i="35"/>
  <c r="N93" i="35"/>
  <c r="M93" i="35"/>
  <c r="L93" i="35"/>
  <c r="K93" i="35"/>
  <c r="J93" i="35"/>
  <c r="I93" i="35"/>
  <c r="H93" i="35"/>
  <c r="G93" i="35"/>
  <c r="F93" i="35"/>
  <c r="C93" i="35"/>
  <c r="Q92" i="35"/>
  <c r="P92" i="35"/>
  <c r="O92" i="35"/>
  <c r="N92" i="35"/>
  <c r="M92" i="35"/>
  <c r="L92" i="35"/>
  <c r="K92" i="35"/>
  <c r="J92" i="35"/>
  <c r="I92" i="35"/>
  <c r="H92" i="35"/>
  <c r="G92" i="35"/>
  <c r="F92" i="35"/>
  <c r="C92" i="35"/>
  <c r="F91" i="35"/>
  <c r="C91" i="35"/>
  <c r="C90" i="35"/>
  <c r="Q89" i="35"/>
  <c r="P89" i="35"/>
  <c r="O89" i="35"/>
  <c r="N89" i="35"/>
  <c r="M89" i="35"/>
  <c r="L89" i="35"/>
  <c r="K89" i="35"/>
  <c r="J89" i="35"/>
  <c r="I89" i="35"/>
  <c r="H89" i="35"/>
  <c r="G89" i="35"/>
  <c r="F89" i="35"/>
  <c r="C89" i="35"/>
  <c r="D85" i="35"/>
  <c r="D83" i="35" s="1"/>
  <c r="D8" i="35"/>
  <c r="E83" i="35"/>
  <c r="U82" i="35"/>
  <c r="T82" i="35"/>
  <c r="S82" i="35"/>
  <c r="R82" i="35"/>
  <c r="W82" i="35" s="1"/>
  <c r="Q81" i="35"/>
  <c r="Q80" i="35"/>
  <c r="P81" i="35"/>
  <c r="O81" i="35"/>
  <c r="N81" i="35"/>
  <c r="M81" i="35"/>
  <c r="L81" i="35"/>
  <c r="K81" i="35"/>
  <c r="J81" i="35"/>
  <c r="I81" i="35"/>
  <c r="I80" i="35"/>
  <c r="H81" i="35"/>
  <c r="G81" i="35"/>
  <c r="C81" i="35"/>
  <c r="P80" i="35"/>
  <c r="O80" i="35"/>
  <c r="N80" i="35"/>
  <c r="N79" i="35"/>
  <c r="M80" i="35"/>
  <c r="L80" i="35"/>
  <c r="K80" i="35"/>
  <c r="J80" i="35"/>
  <c r="H80" i="35"/>
  <c r="G80" i="35"/>
  <c r="C80" i="35"/>
  <c r="C79" i="35"/>
  <c r="Q78" i="35"/>
  <c r="P78" i="35"/>
  <c r="O78" i="35"/>
  <c r="N78" i="35"/>
  <c r="M78" i="35"/>
  <c r="L78" i="35"/>
  <c r="K78" i="35"/>
  <c r="J78" i="35"/>
  <c r="I78" i="35"/>
  <c r="H78" i="35"/>
  <c r="G78" i="35"/>
  <c r="C78" i="35"/>
  <c r="Q77" i="35"/>
  <c r="M77" i="35"/>
  <c r="K77" i="35"/>
  <c r="J77" i="35"/>
  <c r="I77" i="35"/>
  <c r="C77" i="35"/>
  <c r="Q76" i="35"/>
  <c r="P76" i="35"/>
  <c r="O76" i="35"/>
  <c r="N76" i="35"/>
  <c r="M76" i="35"/>
  <c r="L76" i="35"/>
  <c r="K76" i="35"/>
  <c r="J76" i="35"/>
  <c r="I76" i="35"/>
  <c r="H76" i="35"/>
  <c r="G76" i="35"/>
  <c r="C76" i="35"/>
  <c r="P75" i="35"/>
  <c r="O75" i="35"/>
  <c r="K75" i="35"/>
  <c r="I75" i="35"/>
  <c r="G75" i="35"/>
  <c r="C75" i="35"/>
  <c r="L74" i="35"/>
  <c r="K74" i="35"/>
  <c r="H74" i="35"/>
  <c r="G74" i="35"/>
  <c r="C74" i="35"/>
  <c r="Q73" i="35"/>
  <c r="O73" i="35"/>
  <c r="N73" i="35"/>
  <c r="M73" i="35"/>
  <c r="K73" i="35"/>
  <c r="I73" i="35"/>
  <c r="C73" i="35"/>
  <c r="Q72" i="35"/>
  <c r="P72" i="35"/>
  <c r="O72" i="35"/>
  <c r="N72" i="35"/>
  <c r="J72" i="35"/>
  <c r="H72" i="35"/>
  <c r="C72" i="35"/>
  <c r="Q71" i="35"/>
  <c r="P71" i="35"/>
  <c r="K71" i="35"/>
  <c r="G71" i="35"/>
  <c r="C71" i="35"/>
  <c r="P70" i="35"/>
  <c r="P68" i="35"/>
  <c r="M70" i="35"/>
  <c r="L70" i="35"/>
  <c r="K70" i="35"/>
  <c r="H70" i="35"/>
  <c r="H68" i="35"/>
  <c r="C70" i="35"/>
  <c r="Q69" i="35"/>
  <c r="O69" i="35"/>
  <c r="N69" i="35"/>
  <c r="M69" i="35"/>
  <c r="L69" i="35"/>
  <c r="I69" i="35"/>
  <c r="C69" i="35"/>
  <c r="Q68" i="35"/>
  <c r="O68" i="35"/>
  <c r="N68" i="35"/>
  <c r="J68" i="35"/>
  <c r="C68" i="35"/>
  <c r="Q67" i="35"/>
  <c r="K67" i="35"/>
  <c r="G67" i="35"/>
  <c r="C67" i="35"/>
  <c r="C66" i="35"/>
  <c r="C65" i="35"/>
  <c r="O64" i="35"/>
  <c r="M64" i="35"/>
  <c r="L64" i="35"/>
  <c r="J64" i="35"/>
  <c r="I64" i="35"/>
  <c r="G64" i="35"/>
  <c r="C64" i="35"/>
  <c r="N62" i="35"/>
  <c r="L62" i="35"/>
  <c r="K62" i="35"/>
  <c r="K61" i="35"/>
  <c r="J61" i="35"/>
  <c r="I62" i="35"/>
  <c r="G62" i="35"/>
  <c r="C62" i="35"/>
  <c r="Q61" i="35"/>
  <c r="P61" i="35"/>
  <c r="O61" i="35"/>
  <c r="N61" i="35"/>
  <c r="L61" i="35"/>
  <c r="I61" i="35"/>
  <c r="C61" i="35"/>
  <c r="M60" i="35"/>
  <c r="G60" i="35"/>
  <c r="C60" i="35"/>
  <c r="C59" i="35"/>
  <c r="M58" i="35"/>
  <c r="C58" i="35"/>
  <c r="P57" i="35"/>
  <c r="O57" i="35"/>
  <c r="N57" i="35"/>
  <c r="M57" i="35"/>
  <c r="K57" i="35"/>
  <c r="J57" i="35"/>
  <c r="I57" i="35"/>
  <c r="C57" i="35"/>
  <c r="Q56" i="35"/>
  <c r="P56" i="35"/>
  <c r="P54" i="35"/>
  <c r="P55" i="35"/>
  <c r="O56" i="35"/>
  <c r="N56" i="35"/>
  <c r="M56" i="35"/>
  <c r="L56" i="35"/>
  <c r="K56" i="35"/>
  <c r="J56" i="35"/>
  <c r="I56" i="35"/>
  <c r="H56" i="35"/>
  <c r="G56" i="35"/>
  <c r="C56" i="35"/>
  <c r="Q55" i="35"/>
  <c r="O55" i="35"/>
  <c r="N55" i="35"/>
  <c r="M55" i="35"/>
  <c r="L55" i="35"/>
  <c r="K55" i="35"/>
  <c r="J55" i="35"/>
  <c r="I55" i="35"/>
  <c r="H55" i="35"/>
  <c r="G55" i="35"/>
  <c r="C55" i="35"/>
  <c r="Q54" i="35"/>
  <c r="O54" i="35"/>
  <c r="N54" i="35"/>
  <c r="M54" i="35"/>
  <c r="L54" i="35"/>
  <c r="K54" i="35"/>
  <c r="J54" i="35"/>
  <c r="I54" i="35"/>
  <c r="H54" i="35"/>
  <c r="G54" i="35"/>
  <c r="C54" i="35"/>
  <c r="C53" i="35"/>
  <c r="P52" i="35"/>
  <c r="O52" i="35"/>
  <c r="N52" i="35"/>
  <c r="L52" i="35"/>
  <c r="K52" i="35"/>
  <c r="C52" i="35"/>
  <c r="P51" i="35"/>
  <c r="O51" i="35"/>
  <c r="N51" i="35"/>
  <c r="M51" i="35"/>
  <c r="L51" i="35"/>
  <c r="K51" i="35"/>
  <c r="J51" i="35"/>
  <c r="I51" i="35"/>
  <c r="H51" i="35"/>
  <c r="G51" i="35"/>
  <c r="C51" i="35"/>
  <c r="Q50" i="35"/>
  <c r="L50" i="35"/>
  <c r="K50" i="35"/>
  <c r="J50" i="35"/>
  <c r="J48" i="35"/>
  <c r="I50" i="35"/>
  <c r="G50" i="35"/>
  <c r="G49" i="35"/>
  <c r="C50" i="35"/>
  <c r="M49" i="35"/>
  <c r="L49" i="35"/>
  <c r="I49" i="35"/>
  <c r="H49" i="35"/>
  <c r="C49" i="35"/>
  <c r="O48" i="35"/>
  <c r="N48" i="35"/>
  <c r="L48" i="35"/>
  <c r="K48" i="35"/>
  <c r="C48" i="35"/>
  <c r="C47" i="35"/>
  <c r="Q35" i="35"/>
  <c r="P35" i="35"/>
  <c r="O35" i="35"/>
  <c r="L35" i="35"/>
  <c r="O34" i="35"/>
  <c r="M34" i="35"/>
  <c r="L34" i="35"/>
  <c r="H34" i="35"/>
  <c r="G34" i="35"/>
  <c r="N33" i="35"/>
  <c r="L33" i="35"/>
  <c r="K33" i="35"/>
  <c r="I33" i="35"/>
  <c r="H33" i="35"/>
  <c r="G33" i="35"/>
  <c r="Q30" i="35"/>
  <c r="O30" i="35"/>
  <c r="L30" i="35"/>
  <c r="J30" i="35"/>
  <c r="I30" i="35"/>
  <c r="C30" i="35"/>
  <c r="Q29" i="35"/>
  <c r="P29" i="35"/>
  <c r="N29" i="35"/>
  <c r="C29" i="35"/>
  <c r="Q28" i="35"/>
  <c r="P28" i="35"/>
  <c r="O28" i="35"/>
  <c r="N28" i="35"/>
  <c r="M28" i="35"/>
  <c r="L28" i="35"/>
  <c r="K28" i="35"/>
  <c r="J28" i="35"/>
  <c r="I28" i="35"/>
  <c r="H28" i="35"/>
  <c r="G28" i="35"/>
  <c r="C28" i="35"/>
  <c r="O26" i="35"/>
  <c r="N27" i="35"/>
  <c r="L27" i="35"/>
  <c r="K27" i="35"/>
  <c r="I27" i="35"/>
  <c r="H27" i="35"/>
  <c r="G27" i="35"/>
  <c r="C27" i="35"/>
  <c r="Q26" i="35"/>
  <c r="P26" i="35"/>
  <c r="L26" i="35"/>
  <c r="J26" i="35"/>
  <c r="I26" i="35"/>
  <c r="C26" i="35"/>
  <c r="C25" i="35"/>
  <c r="Q24" i="35"/>
  <c r="P24" i="35"/>
  <c r="O24" i="35"/>
  <c r="G24" i="35"/>
  <c r="C24" i="35"/>
  <c r="M23" i="35"/>
  <c r="K23" i="35"/>
  <c r="J23" i="35"/>
  <c r="H23" i="35"/>
  <c r="G23" i="35"/>
  <c r="C23" i="35"/>
  <c r="C22" i="35"/>
  <c r="C21" i="35"/>
  <c r="Y19" i="35"/>
  <c r="E8" i="35"/>
  <c r="P396" i="45"/>
  <c r="S394" i="45"/>
  <c r="P394" i="45"/>
  <c r="R393" i="45"/>
  <c r="O393" i="45"/>
  <c r="N393" i="45"/>
  <c r="M393" i="45"/>
  <c r="L393" i="45"/>
  <c r="K393" i="45"/>
  <c r="J393" i="45"/>
  <c r="I393" i="45"/>
  <c r="H393" i="45"/>
  <c r="G393" i="45"/>
  <c r="F393" i="45"/>
  <c r="E393" i="45"/>
  <c r="D393" i="45"/>
  <c r="C393" i="45"/>
  <c r="P392" i="45"/>
  <c r="Q392" i="45"/>
  <c r="S391" i="45"/>
  <c r="T391" i="45"/>
  <c r="P391" i="45"/>
  <c r="Q391" i="45"/>
  <c r="S390" i="45"/>
  <c r="P390" i="45"/>
  <c r="S389" i="45"/>
  <c r="T389" i="45"/>
  <c r="U389" i="45" s="1"/>
  <c r="P389" i="45"/>
  <c r="S388" i="45"/>
  <c r="T388" i="45"/>
  <c r="P388" i="45"/>
  <c r="Q388" i="45"/>
  <c r="S387" i="45"/>
  <c r="T387" i="45"/>
  <c r="U387" i="45" s="1"/>
  <c r="P387" i="45"/>
  <c r="Q387" i="45"/>
  <c r="S386" i="45"/>
  <c r="T386" i="45"/>
  <c r="P386" i="45"/>
  <c r="Q386" i="45"/>
  <c r="S385" i="45"/>
  <c r="T385" i="45"/>
  <c r="U385" i="45" s="1"/>
  <c r="P385" i="45"/>
  <c r="Q385" i="45" s="1"/>
  <c r="S384" i="45"/>
  <c r="T384" i="45" s="1"/>
  <c r="P384" i="45"/>
  <c r="S383" i="45"/>
  <c r="T383" i="45"/>
  <c r="P383" i="45"/>
  <c r="Q383" i="45"/>
  <c r="S382" i="45"/>
  <c r="P382" i="45"/>
  <c r="S381" i="45"/>
  <c r="T381" i="45"/>
  <c r="U381" i="45" s="1"/>
  <c r="P381" i="45"/>
  <c r="Q381" i="45" s="1"/>
  <c r="S380" i="45"/>
  <c r="O380" i="45"/>
  <c r="O379" i="45"/>
  <c r="N380" i="45"/>
  <c r="N379" i="45"/>
  <c r="M380" i="45"/>
  <c r="M379" i="45"/>
  <c r="L380" i="45"/>
  <c r="L379" i="45"/>
  <c r="K380" i="45"/>
  <c r="K379" i="45"/>
  <c r="J380" i="45"/>
  <c r="J379" i="45"/>
  <c r="I380" i="45"/>
  <c r="I379" i="45"/>
  <c r="H380" i="45"/>
  <c r="H379" i="45" s="1"/>
  <c r="G380" i="45"/>
  <c r="G379" i="45" s="1"/>
  <c r="F380" i="45"/>
  <c r="F379" i="45" s="1"/>
  <c r="E380" i="45"/>
  <c r="E379" i="45" s="1"/>
  <c r="D380" i="45"/>
  <c r="D379" i="45" s="1"/>
  <c r="C380" i="45"/>
  <c r="R379" i="45"/>
  <c r="C379" i="45"/>
  <c r="D378" i="45"/>
  <c r="D377" i="45"/>
  <c r="E377" i="45"/>
  <c r="D376" i="45"/>
  <c r="E376" i="45"/>
  <c r="D375" i="45"/>
  <c r="E375" i="45"/>
  <c r="D374" i="45"/>
  <c r="D373" i="45"/>
  <c r="E373" i="45" s="1"/>
  <c r="D372" i="45"/>
  <c r="E372" i="45" s="1"/>
  <c r="D371" i="45"/>
  <c r="E371" i="45" s="1"/>
  <c r="D370" i="45"/>
  <c r="E370" i="45" s="1"/>
  <c r="D369" i="45"/>
  <c r="E369" i="45" s="1"/>
  <c r="D368" i="45"/>
  <c r="E368" i="45" s="1"/>
  <c r="D367" i="45"/>
  <c r="E367" i="45" s="1"/>
  <c r="D366" i="45"/>
  <c r="E366" i="45" s="1"/>
  <c r="D365" i="45"/>
  <c r="E365" i="45" s="1"/>
  <c r="D364" i="45"/>
  <c r="E364" i="45" s="1"/>
  <c r="D363" i="45"/>
  <c r="E363" i="45" s="1"/>
  <c r="D362" i="45"/>
  <c r="E362" i="45" s="1"/>
  <c r="D361" i="45"/>
  <c r="E361" i="45" s="1"/>
  <c r="D360" i="45"/>
  <c r="E360" i="45" s="1"/>
  <c r="D359" i="45"/>
  <c r="E359" i="45" s="1"/>
  <c r="D358" i="45"/>
  <c r="E358" i="45" s="1"/>
  <c r="D357" i="45"/>
  <c r="E357" i="45" s="1"/>
  <c r="D356" i="45"/>
  <c r="E356" i="45" s="1"/>
  <c r="D355" i="45"/>
  <c r="E355" i="45" s="1"/>
  <c r="D354" i="45"/>
  <c r="E354" i="45" s="1"/>
  <c r="D353" i="45"/>
  <c r="E353" i="45" s="1"/>
  <c r="S352" i="45"/>
  <c r="P352" i="45"/>
  <c r="S351" i="45"/>
  <c r="P351" i="45"/>
  <c r="Q351" i="45"/>
  <c r="S350" i="45"/>
  <c r="T350" i="45"/>
  <c r="U350" i="45" s="1"/>
  <c r="P350" i="45"/>
  <c r="S349" i="45"/>
  <c r="P349" i="45"/>
  <c r="Q349" i="45" s="1"/>
  <c r="S348" i="45"/>
  <c r="T348" i="45" s="1"/>
  <c r="P348" i="45"/>
  <c r="S347" i="45"/>
  <c r="P347" i="45"/>
  <c r="Q347" i="45" s="1"/>
  <c r="S346" i="45"/>
  <c r="T346" i="45" s="1"/>
  <c r="O346" i="45"/>
  <c r="N346" i="45"/>
  <c r="N345" i="45"/>
  <c r="N344" i="45" s="1"/>
  <c r="M346" i="45"/>
  <c r="L346" i="45"/>
  <c r="L345" i="45"/>
  <c r="L344" i="45" s="1"/>
  <c r="K346" i="45"/>
  <c r="J346" i="45"/>
  <c r="J345" i="45"/>
  <c r="I346" i="45"/>
  <c r="H346" i="45"/>
  <c r="H345" i="45" s="1"/>
  <c r="G346" i="45"/>
  <c r="F346" i="45"/>
  <c r="F345" i="45" s="1"/>
  <c r="E346" i="45"/>
  <c r="D346" i="45"/>
  <c r="D345" i="45"/>
  <c r="D344" i="45" s="1"/>
  <c r="C346" i="45"/>
  <c r="S345" i="45"/>
  <c r="H344" i="45"/>
  <c r="R344" i="45"/>
  <c r="D343" i="45"/>
  <c r="D342" i="45"/>
  <c r="P341" i="45"/>
  <c r="O340" i="45"/>
  <c r="N340" i="45"/>
  <c r="N339" i="45"/>
  <c r="M340" i="45"/>
  <c r="M339" i="45"/>
  <c r="L340" i="45"/>
  <c r="L339" i="45"/>
  <c r="K340" i="45"/>
  <c r="J340" i="45"/>
  <c r="J339" i="45" s="1"/>
  <c r="I340" i="45"/>
  <c r="I339" i="45"/>
  <c r="H340" i="45"/>
  <c r="H339" i="45"/>
  <c r="G340" i="45"/>
  <c r="G339" i="45"/>
  <c r="F340" i="45"/>
  <c r="F339" i="45"/>
  <c r="E340" i="45"/>
  <c r="E339" i="45"/>
  <c r="D340" i="45"/>
  <c r="D339" i="45"/>
  <c r="C340" i="45"/>
  <c r="C339" i="45"/>
  <c r="P338" i="45"/>
  <c r="O337" i="45"/>
  <c r="N337" i="45"/>
  <c r="M337" i="45"/>
  <c r="L337" i="45"/>
  <c r="L322" i="45" s="1"/>
  <c r="L321" i="45" s="1"/>
  <c r="K337" i="45"/>
  <c r="J337" i="45"/>
  <c r="I337" i="45"/>
  <c r="H337" i="45"/>
  <c r="H332" i="45"/>
  <c r="G337" i="45"/>
  <c r="F337" i="45"/>
  <c r="E337" i="45"/>
  <c r="D337" i="45"/>
  <c r="C337" i="45"/>
  <c r="D336" i="45"/>
  <c r="E336" i="45" s="1"/>
  <c r="F336" i="45"/>
  <c r="S335" i="45"/>
  <c r="T335" i="45"/>
  <c r="U335" i="45" s="1"/>
  <c r="P335" i="45"/>
  <c r="Q335" i="45" s="1"/>
  <c r="S334" i="45"/>
  <c r="T334" i="45" s="1"/>
  <c r="P334" i="45"/>
  <c r="Q334" i="45" s="1"/>
  <c r="S333" i="45"/>
  <c r="T333" i="45" s="1"/>
  <c r="U333" i="45"/>
  <c r="P333" i="45"/>
  <c r="Q333" i="45"/>
  <c r="S332" i="45"/>
  <c r="T332" i="45"/>
  <c r="O332" i="45"/>
  <c r="N332" i="45"/>
  <c r="M332" i="45"/>
  <c r="L332" i="45"/>
  <c r="K332" i="45"/>
  <c r="J332" i="45"/>
  <c r="I332" i="45"/>
  <c r="G332" i="45"/>
  <c r="F332" i="45"/>
  <c r="E332" i="45"/>
  <c r="D332" i="45"/>
  <c r="C332" i="45"/>
  <c r="P331" i="45"/>
  <c r="Q331" i="45"/>
  <c r="P330" i="45"/>
  <c r="P329" i="45"/>
  <c r="P328" i="45"/>
  <c r="P327" i="45"/>
  <c r="Q327" i="45" s="1"/>
  <c r="R327" i="45" s="1"/>
  <c r="S327" i="45" s="1"/>
  <c r="P326" i="45"/>
  <c r="P325" i="45"/>
  <c r="Q325" i="45"/>
  <c r="P324" i="45"/>
  <c r="R324" i="45"/>
  <c r="S324" i="45" s="1"/>
  <c r="P323" i="45"/>
  <c r="C323" i="45"/>
  <c r="F322" i="45"/>
  <c r="P320" i="45"/>
  <c r="O319" i="45"/>
  <c r="N319" i="45"/>
  <c r="M319" i="45"/>
  <c r="L319" i="45"/>
  <c r="K319" i="45"/>
  <c r="J319" i="45"/>
  <c r="I319" i="45"/>
  <c r="H319" i="45"/>
  <c r="G319" i="45"/>
  <c r="F319" i="45"/>
  <c r="E319" i="45"/>
  <c r="D319" i="45"/>
  <c r="C319" i="45"/>
  <c r="D318" i="45"/>
  <c r="D317" i="45"/>
  <c r="E317" i="45"/>
  <c r="D316" i="45"/>
  <c r="E316" i="45"/>
  <c r="D315" i="45"/>
  <c r="E315" i="45"/>
  <c r="D314" i="45"/>
  <c r="D313" i="45"/>
  <c r="E313" i="45" s="1"/>
  <c r="D312" i="45"/>
  <c r="E312" i="45" s="1"/>
  <c r="D311" i="45"/>
  <c r="E311" i="45" s="1"/>
  <c r="D310" i="45"/>
  <c r="E310" i="45" s="1"/>
  <c r="F310" i="45" s="1"/>
  <c r="D309" i="45"/>
  <c r="D308" i="45"/>
  <c r="E308" i="45" s="1"/>
  <c r="S307" i="45"/>
  <c r="T307" i="45" s="1"/>
  <c r="P307" i="45"/>
  <c r="P292" i="45" s="1"/>
  <c r="Q292" i="45"/>
  <c r="D306" i="45"/>
  <c r="E306" i="45"/>
  <c r="D305" i="45"/>
  <c r="E305" i="45"/>
  <c r="D304" i="45"/>
  <c r="D303" i="45"/>
  <c r="D302" i="45"/>
  <c r="E302" i="45"/>
  <c r="D301" i="45"/>
  <c r="E301" i="45"/>
  <c r="D300" i="45"/>
  <c r="D299" i="45"/>
  <c r="E299" i="45" s="1"/>
  <c r="D298" i="45"/>
  <c r="E298" i="45" s="1"/>
  <c r="D297" i="45"/>
  <c r="E297" i="45" s="1"/>
  <c r="D296" i="45"/>
  <c r="D295" i="45"/>
  <c r="D294" i="45"/>
  <c r="D293" i="45"/>
  <c r="E293" i="45"/>
  <c r="R292" i="45"/>
  <c r="S292" i="45"/>
  <c r="O292" i="45"/>
  <c r="N292" i="45"/>
  <c r="M292" i="45"/>
  <c r="L292" i="45"/>
  <c r="L251" i="45" s="1"/>
  <c r="K292" i="45"/>
  <c r="J292" i="45"/>
  <c r="I292" i="45"/>
  <c r="H292" i="45"/>
  <c r="G292" i="45"/>
  <c r="F292" i="45"/>
  <c r="E292" i="45"/>
  <c r="D292" i="45"/>
  <c r="C292" i="45"/>
  <c r="S291" i="45"/>
  <c r="T291" i="45" s="1"/>
  <c r="P291" i="45"/>
  <c r="P290" i="45"/>
  <c r="P289" i="45"/>
  <c r="Q289" i="45" s="1"/>
  <c r="R289" i="45" s="1"/>
  <c r="S289" i="45" s="1"/>
  <c r="P288" i="45"/>
  <c r="S287" i="45"/>
  <c r="P287" i="45"/>
  <c r="Q287" i="45" s="1"/>
  <c r="S286" i="45"/>
  <c r="T286" i="45" s="1"/>
  <c r="P286" i="45"/>
  <c r="Q286" i="45" s="1"/>
  <c r="P285" i="45"/>
  <c r="Q285" i="45" s="1"/>
  <c r="S284" i="45"/>
  <c r="T284" i="45" s="1"/>
  <c r="U284" i="45" s="1"/>
  <c r="V284" i="45" s="1"/>
  <c r="P284" i="45"/>
  <c r="Q284" i="45" s="1"/>
  <c r="P283" i="45"/>
  <c r="P282" i="45"/>
  <c r="Q282" i="45"/>
  <c r="R282" i="45" s="1"/>
  <c r="S282" i="45"/>
  <c r="P281" i="45"/>
  <c r="P280" i="45"/>
  <c r="D279" i="45"/>
  <c r="E279" i="45"/>
  <c r="O278" i="45"/>
  <c r="N278" i="45"/>
  <c r="M278" i="45"/>
  <c r="L278" i="45"/>
  <c r="K278" i="45"/>
  <c r="J278" i="45"/>
  <c r="I278" i="45"/>
  <c r="H278" i="45"/>
  <c r="G278" i="45"/>
  <c r="F278" i="45"/>
  <c r="E278" i="45"/>
  <c r="D278" i="45"/>
  <c r="C278" i="45"/>
  <c r="S277" i="45"/>
  <c r="T277" i="45" s="1"/>
  <c r="P277" i="45"/>
  <c r="P276" i="45"/>
  <c r="P275" i="45"/>
  <c r="Q275" i="45" s="1"/>
  <c r="R275" i="45" s="1"/>
  <c r="S275" i="45" s="1"/>
  <c r="T275" i="45" s="1"/>
  <c r="P274" i="45"/>
  <c r="P273" i="45"/>
  <c r="P272" i="45"/>
  <c r="Q272" i="45"/>
  <c r="R272" i="45" s="1"/>
  <c r="S272" i="45" s="1"/>
  <c r="P271" i="45"/>
  <c r="P270" i="45"/>
  <c r="P269" i="45"/>
  <c r="R269" i="45"/>
  <c r="S269" i="45" s="1"/>
  <c r="S268" i="45"/>
  <c r="P268" i="45"/>
  <c r="P267" i="45"/>
  <c r="Q267" i="45" s="1"/>
  <c r="P266" i="45"/>
  <c r="P265" i="45"/>
  <c r="P264" i="45"/>
  <c r="Q264" i="45" s="1"/>
  <c r="R264" i="45" s="1"/>
  <c r="S264" i="45" s="1"/>
  <c r="T264" i="45" s="1"/>
  <c r="U264" i="45" s="1"/>
  <c r="V264" i="45" s="1"/>
  <c r="W264" i="45" s="1"/>
  <c r="X264" i="45" s="1"/>
  <c r="R263" i="45"/>
  <c r="S263" i="45"/>
  <c r="T263" i="45" s="1"/>
  <c r="U263" i="45"/>
  <c r="P263" i="45"/>
  <c r="O262" i="45"/>
  <c r="N262" i="45"/>
  <c r="N251" i="45"/>
  <c r="M262" i="45"/>
  <c r="M251" i="45" s="1"/>
  <c r="L262" i="45"/>
  <c r="K262" i="45"/>
  <c r="J262" i="45"/>
  <c r="I262" i="45"/>
  <c r="H262" i="45"/>
  <c r="H252" i="45"/>
  <c r="G262" i="45"/>
  <c r="F262" i="45"/>
  <c r="E262" i="45"/>
  <c r="D262" i="45"/>
  <c r="C262" i="45"/>
  <c r="P261" i="45"/>
  <c r="S260" i="45"/>
  <c r="P260" i="45"/>
  <c r="Q260" i="45"/>
  <c r="S259" i="45"/>
  <c r="P259" i="45"/>
  <c r="Q259" i="45" s="1"/>
  <c r="S258" i="45"/>
  <c r="P258" i="45"/>
  <c r="Q258" i="45"/>
  <c r="S257" i="45"/>
  <c r="P257" i="45"/>
  <c r="Q257" i="45" s="1"/>
  <c r="S256" i="45"/>
  <c r="P256" i="45"/>
  <c r="Q256" i="45"/>
  <c r="S255" i="45"/>
  <c r="P255" i="45"/>
  <c r="Q255" i="45" s="1"/>
  <c r="S254" i="45"/>
  <c r="T254" i="45" s="1"/>
  <c r="U254" i="45" s="1"/>
  <c r="V254" i="45" s="1"/>
  <c r="W254" i="45" s="1"/>
  <c r="X254" i="45" s="1"/>
  <c r="P254" i="45"/>
  <c r="S253" i="45"/>
  <c r="T253" i="45"/>
  <c r="P253" i="45"/>
  <c r="S252" i="45"/>
  <c r="O252" i="45"/>
  <c r="N252" i="45"/>
  <c r="M252" i="45"/>
  <c r="L252" i="45"/>
  <c r="K252" i="45"/>
  <c r="K251" i="45" s="1"/>
  <c r="J252" i="45"/>
  <c r="I252" i="45"/>
  <c r="G252" i="45"/>
  <c r="F252" i="45"/>
  <c r="E252" i="45"/>
  <c r="D252" i="45"/>
  <c r="C252" i="45"/>
  <c r="D250" i="45"/>
  <c r="D249" i="45"/>
  <c r="E249" i="45" s="1"/>
  <c r="D248" i="45"/>
  <c r="E248" i="45" s="1"/>
  <c r="F248" i="45"/>
  <c r="G248" i="45" s="1"/>
  <c r="P247" i="45"/>
  <c r="O246" i="45"/>
  <c r="N246" i="45"/>
  <c r="M246" i="45"/>
  <c r="L246" i="45"/>
  <c r="K246" i="45"/>
  <c r="J246" i="45"/>
  <c r="I246" i="45"/>
  <c r="H246" i="45"/>
  <c r="G246" i="45"/>
  <c r="F246" i="45"/>
  <c r="E246" i="45"/>
  <c r="D246" i="45"/>
  <c r="C246" i="45"/>
  <c r="D245" i="45"/>
  <c r="D244" i="45"/>
  <c r="E244" i="45" s="1"/>
  <c r="D243" i="45"/>
  <c r="E243" i="45" s="1"/>
  <c r="D242" i="45"/>
  <c r="D241" i="45"/>
  <c r="D240" i="45"/>
  <c r="E240" i="45" s="1"/>
  <c r="D239" i="45"/>
  <c r="D238" i="45"/>
  <c r="D237" i="45"/>
  <c r="D236" i="45"/>
  <c r="E236" i="45"/>
  <c r="F236" i="45" s="1"/>
  <c r="G236" i="45" s="1"/>
  <c r="H236" i="45" s="1"/>
  <c r="D235" i="45"/>
  <c r="D234" i="45"/>
  <c r="D233" i="45"/>
  <c r="D232" i="45"/>
  <c r="E232" i="45"/>
  <c r="D231" i="45"/>
  <c r="E231" i="45"/>
  <c r="F231" i="45" s="1"/>
  <c r="D230" i="45"/>
  <c r="D229" i="45"/>
  <c r="D228" i="45"/>
  <c r="E228" i="45" s="1"/>
  <c r="F228" i="45" s="1"/>
  <c r="G228" i="45" s="1"/>
  <c r="H228" i="45" s="1"/>
  <c r="D227" i="45"/>
  <c r="E227" i="45"/>
  <c r="D226" i="45"/>
  <c r="D225" i="45"/>
  <c r="D224" i="45"/>
  <c r="D223" i="45"/>
  <c r="D222" i="45"/>
  <c r="D221" i="45"/>
  <c r="D220" i="45"/>
  <c r="E220" i="45"/>
  <c r="F220" i="45" s="1"/>
  <c r="D219" i="45"/>
  <c r="D218" i="45"/>
  <c r="D217" i="45"/>
  <c r="D216" i="45"/>
  <c r="E216" i="45"/>
  <c r="D215" i="45"/>
  <c r="E215" i="45"/>
  <c r="D214" i="45"/>
  <c r="D213" i="45"/>
  <c r="D212" i="45"/>
  <c r="E212" i="45"/>
  <c r="F212" i="45" s="1"/>
  <c r="G212" i="45"/>
  <c r="H212" i="45" s="1"/>
  <c r="D211" i="45"/>
  <c r="E211" i="45" s="1"/>
  <c r="D210" i="45"/>
  <c r="D209" i="45"/>
  <c r="D208" i="45"/>
  <c r="E208" i="45" s="1"/>
  <c r="D207" i="45"/>
  <c r="D206" i="45"/>
  <c r="D205" i="45"/>
  <c r="D204" i="45"/>
  <c r="E204" i="45"/>
  <c r="F204" i="45" s="1"/>
  <c r="D203" i="45"/>
  <c r="D202" i="45"/>
  <c r="D201" i="45"/>
  <c r="D200" i="45"/>
  <c r="D199" i="45"/>
  <c r="E199" i="45" s="1"/>
  <c r="F199" i="45"/>
  <c r="G199" i="45" s="1"/>
  <c r="D198" i="45"/>
  <c r="E198" i="45" s="1"/>
  <c r="D197" i="45"/>
  <c r="E197" i="45" s="1"/>
  <c r="D196" i="45"/>
  <c r="D195" i="45"/>
  <c r="E195" i="45"/>
  <c r="D194" i="45"/>
  <c r="E194" i="45"/>
  <c r="D193" i="45"/>
  <c r="E193" i="45"/>
  <c r="D192" i="45"/>
  <c r="E192" i="45"/>
  <c r="D191" i="45"/>
  <c r="D190" i="45"/>
  <c r="E190" i="45" s="1"/>
  <c r="F190" i="45"/>
  <c r="G190" i="45" s="1"/>
  <c r="D189" i="45"/>
  <c r="P188" i="45"/>
  <c r="P187" i="45"/>
  <c r="P186" i="45"/>
  <c r="Q186" i="45"/>
  <c r="R186" i="45" s="1"/>
  <c r="S186" i="45" s="1"/>
  <c r="T186" i="45" s="1"/>
  <c r="U186" i="45" s="1"/>
  <c r="V186" i="45" s="1"/>
  <c r="P185" i="45"/>
  <c r="P184" i="45"/>
  <c r="P183" i="45"/>
  <c r="P182" i="45"/>
  <c r="Q182" i="45"/>
  <c r="R182" i="45" s="1"/>
  <c r="S182" i="45" s="1"/>
  <c r="P181" i="45"/>
  <c r="P180" i="45"/>
  <c r="P179" i="45"/>
  <c r="S178" i="45"/>
  <c r="P178" i="45"/>
  <c r="O177" i="45"/>
  <c r="O176" i="45" s="1"/>
  <c r="N177" i="45"/>
  <c r="N176" i="45" s="1"/>
  <c r="N175" i="45" s="1"/>
  <c r="M177" i="45"/>
  <c r="L177" i="45"/>
  <c r="L176" i="45"/>
  <c r="K177" i="45"/>
  <c r="K176" i="45"/>
  <c r="J177" i="45"/>
  <c r="J176" i="45"/>
  <c r="I177" i="45"/>
  <c r="I176" i="45"/>
  <c r="H177" i="45"/>
  <c r="H176" i="45" s="1"/>
  <c r="G177" i="45"/>
  <c r="G176" i="45" s="1"/>
  <c r="F177" i="45"/>
  <c r="F176" i="45" s="1"/>
  <c r="E177" i="45"/>
  <c r="D177" i="45"/>
  <c r="D176" i="45" s="1"/>
  <c r="C177" i="45"/>
  <c r="C176" i="45" s="1"/>
  <c r="E174" i="45"/>
  <c r="F174" i="45" s="1"/>
  <c r="E173" i="45"/>
  <c r="S172" i="45"/>
  <c r="T172" i="45" s="1"/>
  <c r="P172" i="45"/>
  <c r="P171" i="45"/>
  <c r="P170" i="45"/>
  <c r="P169" i="45"/>
  <c r="R169" i="45" s="1"/>
  <c r="Q169" i="45"/>
  <c r="S169" i="45"/>
  <c r="T169" i="45" s="1"/>
  <c r="U169" i="45" s="1"/>
  <c r="V169" i="45" s="1"/>
  <c r="W169" i="45" s="1"/>
  <c r="X169" i="45" s="1"/>
  <c r="P168" i="45"/>
  <c r="Q168" i="45" s="1"/>
  <c r="P167" i="45"/>
  <c r="Q167" i="45" s="1"/>
  <c r="O166" i="45"/>
  <c r="N166" i="45"/>
  <c r="M166" i="45"/>
  <c r="L166" i="45"/>
  <c r="K166" i="45"/>
  <c r="J166" i="45"/>
  <c r="I166" i="45"/>
  <c r="H166" i="45"/>
  <c r="G166" i="45"/>
  <c r="F166" i="45"/>
  <c r="E166" i="45"/>
  <c r="D166" i="45"/>
  <c r="C166" i="45"/>
  <c r="P165" i="45"/>
  <c r="P164" i="45"/>
  <c r="R164" i="45" s="1"/>
  <c r="S164" i="45" s="1"/>
  <c r="Q164" i="45"/>
  <c r="P163" i="45"/>
  <c r="P162" i="45"/>
  <c r="O161" i="45"/>
  <c r="N161" i="45"/>
  <c r="M161" i="45"/>
  <c r="L161" i="45"/>
  <c r="K161" i="45"/>
  <c r="J161" i="45"/>
  <c r="I161" i="45"/>
  <c r="H161" i="45"/>
  <c r="G161" i="45"/>
  <c r="F161" i="45"/>
  <c r="E161" i="45"/>
  <c r="D161" i="45"/>
  <c r="C161" i="45"/>
  <c r="P160" i="45"/>
  <c r="Q160" i="45" s="1"/>
  <c r="P159" i="45"/>
  <c r="C158" i="45"/>
  <c r="O158" i="45"/>
  <c r="N158" i="45"/>
  <c r="M158" i="45"/>
  <c r="L158" i="45"/>
  <c r="K158" i="45"/>
  <c r="J158" i="45"/>
  <c r="I158" i="45"/>
  <c r="H158" i="45"/>
  <c r="G158" i="45"/>
  <c r="F158" i="45"/>
  <c r="E158" i="45"/>
  <c r="D158" i="45"/>
  <c r="P157" i="45"/>
  <c r="P155" i="45"/>
  <c r="P156" i="45"/>
  <c r="O155" i="45"/>
  <c r="N155" i="45"/>
  <c r="M155" i="45"/>
  <c r="L155" i="45"/>
  <c r="K155" i="45"/>
  <c r="J155" i="45"/>
  <c r="I155" i="45"/>
  <c r="H155" i="45"/>
  <c r="G155" i="45"/>
  <c r="F155" i="45"/>
  <c r="E155" i="45"/>
  <c r="D155" i="45"/>
  <c r="C155" i="45"/>
  <c r="Q155" i="45" s="1"/>
  <c r="D154" i="45"/>
  <c r="D153" i="45"/>
  <c r="E153" i="45"/>
  <c r="F153" i="45" s="1"/>
  <c r="P152" i="45"/>
  <c r="P151" i="45" s="1"/>
  <c r="O151" i="45"/>
  <c r="N151" i="45"/>
  <c r="M151" i="45"/>
  <c r="L151" i="45"/>
  <c r="K151" i="45"/>
  <c r="J151" i="45"/>
  <c r="I151" i="45"/>
  <c r="H151" i="45"/>
  <c r="G151" i="45"/>
  <c r="F151" i="45"/>
  <c r="E151" i="45"/>
  <c r="D151" i="45"/>
  <c r="C151" i="45"/>
  <c r="D150" i="45"/>
  <c r="D149" i="45"/>
  <c r="D148" i="45"/>
  <c r="D147" i="45"/>
  <c r="P146" i="45"/>
  <c r="P145" i="45"/>
  <c r="P144" i="45"/>
  <c r="P143" i="45"/>
  <c r="Q143" i="45"/>
  <c r="P142" i="45"/>
  <c r="O141" i="45"/>
  <c r="N141" i="45"/>
  <c r="M141" i="45"/>
  <c r="L141" i="45"/>
  <c r="K141" i="45"/>
  <c r="J141" i="45"/>
  <c r="J129" i="45"/>
  <c r="I129" i="45"/>
  <c r="I141" i="45"/>
  <c r="H141" i="45"/>
  <c r="G141" i="45"/>
  <c r="F141" i="45"/>
  <c r="F129" i="45"/>
  <c r="F128" i="45" s="1"/>
  <c r="E129" i="45"/>
  <c r="E141" i="45"/>
  <c r="D141" i="45"/>
  <c r="C141" i="45"/>
  <c r="D140" i="45"/>
  <c r="E140" i="45" s="1"/>
  <c r="D139" i="45"/>
  <c r="P138" i="45"/>
  <c r="P137" i="45"/>
  <c r="P136" i="45"/>
  <c r="Q136" i="45"/>
  <c r="P135" i="45"/>
  <c r="P134" i="45"/>
  <c r="Q134" i="45" s="1"/>
  <c r="P133" i="45"/>
  <c r="Q133" i="45" s="1"/>
  <c r="P132" i="45"/>
  <c r="Q132" i="45" s="1"/>
  <c r="R132" i="45"/>
  <c r="P131" i="45"/>
  <c r="R131" i="45"/>
  <c r="P130" i="45"/>
  <c r="O129" i="45"/>
  <c r="N129" i="45"/>
  <c r="M129" i="45"/>
  <c r="L129" i="45"/>
  <c r="K129" i="45"/>
  <c r="H129" i="45"/>
  <c r="G129" i="45"/>
  <c r="D129" i="45"/>
  <c r="C129" i="45"/>
  <c r="S127" i="45"/>
  <c r="P127" i="45"/>
  <c r="Q127" i="45" s="1"/>
  <c r="O126" i="45"/>
  <c r="O98" i="45"/>
  <c r="O99" i="45"/>
  <c r="O102" i="45"/>
  <c r="N126" i="45"/>
  <c r="M126" i="45"/>
  <c r="L126" i="45"/>
  <c r="K126" i="45"/>
  <c r="J126" i="45"/>
  <c r="I126" i="45"/>
  <c r="H126" i="45"/>
  <c r="G126" i="45"/>
  <c r="F126" i="45"/>
  <c r="E126" i="45"/>
  <c r="D126" i="45"/>
  <c r="C126" i="45"/>
  <c r="D125" i="45"/>
  <c r="E125" i="45" s="1"/>
  <c r="D124" i="45"/>
  <c r="D123" i="45"/>
  <c r="E123" i="45"/>
  <c r="D122" i="45"/>
  <c r="D121" i="45"/>
  <c r="E121" i="45" s="1"/>
  <c r="D120" i="45"/>
  <c r="E120" i="45" s="1"/>
  <c r="F120" i="45"/>
  <c r="D119" i="45"/>
  <c r="E119" i="45"/>
  <c r="D118" i="45"/>
  <c r="P117" i="45"/>
  <c r="P116" i="45"/>
  <c r="P115" i="45"/>
  <c r="Q115" i="45" s="1"/>
  <c r="P114" i="45"/>
  <c r="P113" i="45"/>
  <c r="P112" i="45"/>
  <c r="P111" i="45"/>
  <c r="Q111" i="45"/>
  <c r="R111" i="45" s="1"/>
  <c r="S111" i="45"/>
  <c r="P110" i="45"/>
  <c r="P109" i="45"/>
  <c r="P108" i="45"/>
  <c r="P107" i="45"/>
  <c r="P106" i="45"/>
  <c r="P105" i="45"/>
  <c r="Q105" i="45" s="1"/>
  <c r="R105" i="45" s="1"/>
  <c r="S105" i="45" s="1"/>
  <c r="T105" i="45" s="1"/>
  <c r="P104" i="45"/>
  <c r="P103" i="45"/>
  <c r="Q103" i="45"/>
  <c r="R103" i="45" s="1"/>
  <c r="S103" i="45" s="1"/>
  <c r="N102" i="45"/>
  <c r="N98" i="45"/>
  <c r="N99" i="45"/>
  <c r="M99" i="45"/>
  <c r="M102" i="45"/>
  <c r="M98" i="45"/>
  <c r="L102" i="45"/>
  <c r="K102" i="45"/>
  <c r="J102" i="45"/>
  <c r="I102" i="45"/>
  <c r="H102" i="45"/>
  <c r="G102" i="45"/>
  <c r="F102" i="45"/>
  <c r="E102" i="45"/>
  <c r="D102" i="45"/>
  <c r="C102" i="45"/>
  <c r="P101" i="45"/>
  <c r="P99" i="45" s="1"/>
  <c r="P100" i="45"/>
  <c r="L99" i="45"/>
  <c r="K99" i="45"/>
  <c r="K98" i="45" s="1"/>
  <c r="J99" i="45"/>
  <c r="I99" i="45"/>
  <c r="H99" i="45"/>
  <c r="G99" i="45"/>
  <c r="F99" i="45"/>
  <c r="F98" i="45" s="1"/>
  <c r="E99" i="45"/>
  <c r="D99" i="45"/>
  <c r="C99" i="45"/>
  <c r="Q97" i="45"/>
  <c r="D97" i="45"/>
  <c r="E97" i="45"/>
  <c r="Q96" i="45"/>
  <c r="Q95" i="45"/>
  <c r="Q94" i="45"/>
  <c r="Q93" i="45"/>
  <c r="Q92" i="45"/>
  <c r="Q91" i="45"/>
  <c r="Q90" i="45"/>
  <c r="Q89" i="45"/>
  <c r="Q88" i="45"/>
  <c r="Q87" i="45"/>
  <c r="Q86" i="45"/>
  <c r="Q85" i="45"/>
  <c r="Q84" i="45"/>
  <c r="Q83" i="45"/>
  <c r="Q82" i="45"/>
  <c r="Q81" i="45"/>
  <c r="Q80" i="45"/>
  <c r="Q79" i="45"/>
  <c r="Q78" i="45"/>
  <c r="Q77" i="45"/>
  <c r="Q76" i="45"/>
  <c r="Q75" i="45"/>
  <c r="Q74" i="45"/>
  <c r="Q73" i="45"/>
  <c r="Q72" i="45"/>
  <c r="Q71" i="45"/>
  <c r="Q70" i="45"/>
  <c r="Q69" i="45"/>
  <c r="Q68" i="45"/>
  <c r="Q67" i="45"/>
  <c r="Q66" i="45"/>
  <c r="Q65" i="45"/>
  <c r="Q64" i="45"/>
  <c r="Q63" i="45"/>
  <c r="Q62" i="45"/>
  <c r="Q61" i="45"/>
  <c r="Q60" i="45"/>
  <c r="Q59" i="45"/>
  <c r="Q58" i="45"/>
  <c r="Q57" i="45"/>
  <c r="Q56" i="45"/>
  <c r="Q55" i="45"/>
  <c r="Q54" i="45"/>
  <c r="Q53" i="45"/>
  <c r="Q52" i="45"/>
  <c r="Q51" i="45"/>
  <c r="Q50" i="45"/>
  <c r="Q49" i="45"/>
  <c r="Q48" i="45"/>
  <c r="Q47" i="45"/>
  <c r="Q46" i="45"/>
  <c r="Q45" i="45"/>
  <c r="Q44" i="45"/>
  <c r="Q43" i="45"/>
  <c r="Q42" i="45"/>
  <c r="Q41" i="45"/>
  <c r="Q40" i="45"/>
  <c r="Q39" i="45"/>
  <c r="P38" i="45"/>
  <c r="P37" i="45"/>
  <c r="P36" i="45"/>
  <c r="P35" i="45"/>
  <c r="Q35" i="45" s="1"/>
  <c r="P34" i="45"/>
  <c r="Q34" i="45"/>
  <c r="P33" i="45"/>
  <c r="P32" i="45"/>
  <c r="Q32" i="45" s="1"/>
  <c r="P31" i="45"/>
  <c r="Q31" i="45" s="1"/>
  <c r="P30" i="45"/>
  <c r="O29" i="45"/>
  <c r="N29" i="45"/>
  <c r="N28" i="45" s="1"/>
  <c r="M29" i="45"/>
  <c r="L29" i="45"/>
  <c r="L28" i="45"/>
  <c r="K29" i="45"/>
  <c r="K28" i="45"/>
  <c r="J29" i="45"/>
  <c r="J28" i="45"/>
  <c r="I29" i="45"/>
  <c r="I28" i="45"/>
  <c r="H29" i="45"/>
  <c r="H28" i="45"/>
  <c r="G29" i="45"/>
  <c r="G28" i="45"/>
  <c r="F29" i="45"/>
  <c r="F28" i="45"/>
  <c r="E29" i="45"/>
  <c r="E28" i="45"/>
  <c r="D29" i="45"/>
  <c r="C29" i="45"/>
  <c r="C28" i="45" s="1"/>
  <c r="M28" i="45"/>
  <c r="D28" i="45"/>
  <c r="P27" i="45"/>
  <c r="P26" i="45" s="1"/>
  <c r="Q26" i="45"/>
  <c r="O26" i="45"/>
  <c r="N26" i="45"/>
  <c r="M26" i="45"/>
  <c r="L26" i="45"/>
  <c r="K26" i="45"/>
  <c r="J26" i="45"/>
  <c r="I26" i="45"/>
  <c r="H26" i="45"/>
  <c r="G26" i="45"/>
  <c r="F26" i="45"/>
  <c r="E26" i="45"/>
  <c r="D26" i="45"/>
  <c r="C26" i="45"/>
  <c r="N24" i="45"/>
  <c r="J24" i="45"/>
  <c r="G24" i="45"/>
  <c r="G23" i="45"/>
  <c r="E24" i="45"/>
  <c r="M23" i="45"/>
  <c r="K23" i="45"/>
  <c r="D23" i="45"/>
  <c r="C22" i="45"/>
  <c r="O20" i="45"/>
  <c r="N20" i="45"/>
  <c r="M20" i="45"/>
  <c r="K20" i="45"/>
  <c r="I20" i="45"/>
  <c r="H20" i="45"/>
  <c r="H19" i="45" s="1"/>
  <c r="G20" i="45"/>
  <c r="F20" i="45"/>
  <c r="E20" i="45"/>
  <c r="C19" i="45"/>
  <c r="C12" i="45"/>
  <c r="Y17" i="45"/>
  <c r="Y16" i="45" s="1"/>
  <c r="X16" i="45"/>
  <c r="W16" i="45"/>
  <c r="V16" i="45"/>
  <c r="U16" i="45"/>
  <c r="T16" i="45"/>
  <c r="S16" i="45"/>
  <c r="R16" i="45"/>
  <c r="C16" i="45"/>
  <c r="O15" i="45"/>
  <c r="K15" i="45"/>
  <c r="G15" i="45"/>
  <c r="E15" i="45"/>
  <c r="Y14" i="45"/>
  <c r="C13" i="45"/>
  <c r="C11" i="45"/>
  <c r="X10" i="45"/>
  <c r="W10" i="45"/>
  <c r="V10" i="45"/>
  <c r="V9" i="45"/>
  <c r="U10" i="45"/>
  <c r="Y10" i="45"/>
  <c r="T10" i="45"/>
  <c r="S10" i="45"/>
  <c r="R10" i="45"/>
  <c r="R9" i="45"/>
  <c r="U9" i="45"/>
  <c r="T9" i="45"/>
  <c r="H138" i="15"/>
  <c r="G137" i="15"/>
  <c r="E137" i="15"/>
  <c r="H135" i="15"/>
  <c r="F135" i="15"/>
  <c r="H134" i="15"/>
  <c r="E134" i="15"/>
  <c r="F134" i="15"/>
  <c r="G133" i="15"/>
  <c r="E133" i="15"/>
  <c r="F133" i="15" s="1"/>
  <c r="H132" i="15"/>
  <c r="H131" i="15"/>
  <c r="E131" i="15"/>
  <c r="F131" i="15" s="1"/>
  <c r="H128" i="15"/>
  <c r="H127" i="15"/>
  <c r="H126" i="15"/>
  <c r="G125" i="15"/>
  <c r="H125" i="15"/>
  <c r="E125" i="15"/>
  <c r="F125" i="15"/>
  <c r="G122" i="15"/>
  <c r="H122" i="15"/>
  <c r="E122" i="15"/>
  <c r="F122" i="15"/>
  <c r="H121" i="15"/>
  <c r="F121" i="15"/>
  <c r="F119" i="15"/>
  <c r="G118" i="15"/>
  <c r="H118" i="15" s="1"/>
  <c r="H117" i="15"/>
  <c r="F117" i="15"/>
  <c r="E117" i="15"/>
  <c r="E113" i="15" s="1"/>
  <c r="H116" i="15"/>
  <c r="F116" i="15"/>
  <c r="H115" i="15"/>
  <c r="F115" i="15"/>
  <c r="H114" i="15"/>
  <c r="F114" i="15"/>
  <c r="G113" i="15"/>
  <c r="H113" i="15" s="1"/>
  <c r="H112" i="15"/>
  <c r="F112" i="15"/>
  <c r="H111" i="15"/>
  <c r="F111" i="15"/>
  <c r="H110" i="15"/>
  <c r="F110" i="15"/>
  <c r="H109" i="15"/>
  <c r="F109" i="15"/>
  <c r="H108" i="15"/>
  <c r="F108" i="15"/>
  <c r="G107" i="15"/>
  <c r="E107" i="15"/>
  <c r="E106" i="15"/>
  <c r="H105" i="15"/>
  <c r="F105" i="15"/>
  <c r="H104" i="15"/>
  <c r="F104" i="15"/>
  <c r="H103" i="15"/>
  <c r="F103" i="15"/>
  <c r="H102" i="15"/>
  <c r="F102" i="15"/>
  <c r="G101" i="15"/>
  <c r="G99" i="15"/>
  <c r="F101" i="15"/>
  <c r="H100" i="15"/>
  <c r="F100" i="15"/>
  <c r="E99" i="15"/>
  <c r="F99" i="15" s="1"/>
  <c r="H91" i="15"/>
  <c r="F91" i="15"/>
  <c r="H90" i="15"/>
  <c r="F90" i="15"/>
  <c r="G89" i="15"/>
  <c r="H89" i="15" s="1"/>
  <c r="E89" i="15"/>
  <c r="F89" i="15" s="1"/>
  <c r="H88" i="15"/>
  <c r="F88" i="15"/>
  <c r="H87" i="15"/>
  <c r="F87" i="15"/>
  <c r="G86" i="15"/>
  <c r="E86" i="15"/>
  <c r="F86" i="15"/>
  <c r="H85" i="15"/>
  <c r="F85" i="15"/>
  <c r="H84" i="15"/>
  <c r="F84" i="15"/>
  <c r="G83" i="15"/>
  <c r="H83" i="15"/>
  <c r="E83" i="15"/>
  <c r="F83" i="15"/>
  <c r="H75" i="15"/>
  <c r="F75" i="15"/>
  <c r="H74" i="15"/>
  <c r="F74" i="15"/>
  <c r="I73" i="15"/>
  <c r="H73" i="15"/>
  <c r="F73" i="15"/>
  <c r="H72" i="15"/>
  <c r="F72" i="15"/>
  <c r="G71" i="15"/>
  <c r="E71" i="15"/>
  <c r="F71" i="15"/>
  <c r="G69" i="15"/>
  <c r="H69" i="15"/>
  <c r="F69" i="15"/>
  <c r="G68" i="15"/>
  <c r="H68" i="15" s="1"/>
  <c r="F68" i="15"/>
  <c r="I67" i="15"/>
  <c r="H67" i="15"/>
  <c r="F67" i="15"/>
  <c r="G66" i="15"/>
  <c r="G64" i="15" s="1"/>
  <c r="H64" i="15" s="1"/>
  <c r="F66" i="15"/>
  <c r="I65" i="15"/>
  <c r="H65" i="15"/>
  <c r="F65" i="15"/>
  <c r="E64" i="15"/>
  <c r="I62" i="15"/>
  <c r="H62" i="15"/>
  <c r="F62" i="15"/>
  <c r="I61" i="15"/>
  <c r="H61" i="15"/>
  <c r="F61" i="15"/>
  <c r="G60" i="15"/>
  <c r="I60" i="15" s="1"/>
  <c r="E60" i="15"/>
  <c r="E54" i="15"/>
  <c r="I59" i="15"/>
  <c r="H59" i="15"/>
  <c r="F59" i="15"/>
  <c r="I58" i="15"/>
  <c r="H58" i="15"/>
  <c r="F58" i="15"/>
  <c r="I57" i="15"/>
  <c r="H57" i="15"/>
  <c r="F57" i="15"/>
  <c r="I56" i="15"/>
  <c r="H56" i="15"/>
  <c r="F56" i="15"/>
  <c r="I55" i="15"/>
  <c r="H55" i="15"/>
  <c r="F55" i="15"/>
  <c r="G50" i="15"/>
  <c r="G47" i="15" s="1"/>
  <c r="I49" i="15"/>
  <c r="H49" i="15"/>
  <c r="F49" i="15"/>
  <c r="I48" i="15"/>
  <c r="H48" i="15"/>
  <c r="F48" i="15"/>
  <c r="E47" i="15"/>
  <c r="G44" i="15"/>
  <c r="H44" i="15"/>
  <c r="E44" i="15"/>
  <c r="F44" i="15"/>
  <c r="I41" i="15"/>
  <c r="H41" i="15"/>
  <c r="F41" i="15"/>
  <c r="H40" i="15"/>
  <c r="F40" i="15"/>
  <c r="H39" i="15"/>
  <c r="F39" i="15"/>
  <c r="I36" i="15"/>
  <c r="H36" i="15"/>
  <c r="F36" i="15"/>
  <c r="H35" i="15"/>
  <c r="F35" i="15"/>
  <c r="I34" i="15"/>
  <c r="H34" i="15"/>
  <c r="F34" i="15"/>
  <c r="I33" i="15"/>
  <c r="H33" i="15"/>
  <c r="F33" i="15"/>
  <c r="I32" i="15"/>
  <c r="H32" i="15"/>
  <c r="F32" i="15"/>
  <c r="I31" i="15"/>
  <c r="H31" i="15"/>
  <c r="F31" i="15"/>
  <c r="G30" i="15"/>
  <c r="H30" i="15" s="1"/>
  <c r="I30" i="15"/>
  <c r="F30" i="15"/>
  <c r="E29" i="15"/>
  <c r="E27" i="15"/>
  <c r="H29" i="15"/>
  <c r="I28" i="15"/>
  <c r="H28" i="15"/>
  <c r="F28" i="15"/>
  <c r="G27" i="15"/>
  <c r="G25" i="15"/>
  <c r="F25" i="15"/>
  <c r="I24" i="15"/>
  <c r="H24" i="15"/>
  <c r="F24" i="15"/>
  <c r="G23" i="15"/>
  <c r="H23" i="15" s="1"/>
  <c r="I23" i="15"/>
  <c r="F23" i="15"/>
  <c r="I22" i="15"/>
  <c r="H22" i="15"/>
  <c r="F22" i="15"/>
  <c r="I21" i="15"/>
  <c r="H21" i="15"/>
  <c r="F21" i="15"/>
  <c r="E20" i="15"/>
  <c r="P403" i="37"/>
  <c r="S401" i="37"/>
  <c r="P401" i="37"/>
  <c r="Q401" i="37" s="1"/>
  <c r="R400" i="37"/>
  <c r="O400" i="37"/>
  <c r="N400" i="37"/>
  <c r="M400" i="37"/>
  <c r="L400" i="37"/>
  <c r="K400" i="37"/>
  <c r="J400" i="37"/>
  <c r="I400" i="37"/>
  <c r="H400" i="37"/>
  <c r="G400" i="37"/>
  <c r="F400" i="37"/>
  <c r="E400" i="37"/>
  <c r="C400" i="37"/>
  <c r="P399" i="37"/>
  <c r="S398" i="37"/>
  <c r="T398" i="37" s="1"/>
  <c r="P398" i="37"/>
  <c r="S397" i="37"/>
  <c r="P397" i="37"/>
  <c r="S396" i="37"/>
  <c r="T396" i="37"/>
  <c r="P396" i="37"/>
  <c r="S395" i="37"/>
  <c r="P395" i="37"/>
  <c r="S394" i="37"/>
  <c r="P394" i="37"/>
  <c r="S393" i="37"/>
  <c r="P393" i="37"/>
  <c r="S392" i="37"/>
  <c r="T392" i="37" s="1"/>
  <c r="P392" i="37"/>
  <c r="S391" i="37"/>
  <c r="P391" i="37"/>
  <c r="S390" i="37"/>
  <c r="T390" i="37"/>
  <c r="P390" i="37"/>
  <c r="S389" i="37"/>
  <c r="P389" i="37"/>
  <c r="S388" i="37"/>
  <c r="T388" i="37" s="1"/>
  <c r="P388" i="37"/>
  <c r="S387" i="37"/>
  <c r="O387" i="37"/>
  <c r="O386" i="37" s="1"/>
  <c r="N387" i="37"/>
  <c r="N386" i="37"/>
  <c r="M387" i="37"/>
  <c r="L387" i="37"/>
  <c r="K387" i="37"/>
  <c r="K386" i="37"/>
  <c r="J387" i="37"/>
  <c r="J386" i="37"/>
  <c r="I387" i="37"/>
  <c r="I386" i="37"/>
  <c r="H387" i="37"/>
  <c r="E387" i="37"/>
  <c r="F387" i="37"/>
  <c r="F386" i="37"/>
  <c r="G387" i="37"/>
  <c r="G386" i="37" s="1"/>
  <c r="C387" i="37"/>
  <c r="R386" i="37"/>
  <c r="S386" i="37"/>
  <c r="M386" i="37"/>
  <c r="E385" i="37"/>
  <c r="E384" i="37"/>
  <c r="E383" i="37"/>
  <c r="F383" i="37" s="1"/>
  <c r="G383" i="37"/>
  <c r="E382" i="37"/>
  <c r="E381" i="37"/>
  <c r="F381" i="37" s="1"/>
  <c r="E380" i="37"/>
  <c r="E379" i="37"/>
  <c r="F379" i="37"/>
  <c r="E378" i="37"/>
  <c r="E377" i="37"/>
  <c r="F377" i="37" s="1"/>
  <c r="E376" i="37"/>
  <c r="F376" i="37" s="1"/>
  <c r="G376" i="37" s="1"/>
  <c r="E375" i="37"/>
  <c r="E374" i="37"/>
  <c r="E373" i="37"/>
  <c r="E372" i="37"/>
  <c r="F372" i="37" s="1"/>
  <c r="G372" i="37" s="1"/>
  <c r="E371" i="37"/>
  <c r="E370" i="37"/>
  <c r="E369" i="37"/>
  <c r="E368" i="37"/>
  <c r="E367" i="37"/>
  <c r="E366" i="37"/>
  <c r="F366" i="37" s="1"/>
  <c r="G366" i="37" s="1"/>
  <c r="E365" i="37"/>
  <c r="F365" i="37" s="1"/>
  <c r="G365" i="37" s="1"/>
  <c r="E364" i="37"/>
  <c r="E363" i="37"/>
  <c r="F363" i="37" s="1"/>
  <c r="G363" i="37" s="1"/>
  <c r="H363" i="37" s="1"/>
  <c r="I363" i="37" s="1"/>
  <c r="E362" i="37"/>
  <c r="E361" i="37"/>
  <c r="F361" i="37"/>
  <c r="G361" i="37" s="1"/>
  <c r="E360" i="37"/>
  <c r="P359" i="37"/>
  <c r="P358" i="37"/>
  <c r="P357" i="37"/>
  <c r="P356" i="37"/>
  <c r="P355" i="37"/>
  <c r="P354" i="37"/>
  <c r="Q354" i="37" s="1"/>
  <c r="R354" i="37"/>
  <c r="S354" i="37" s="1"/>
  <c r="T354" i="37"/>
  <c r="U354" i="37" s="1"/>
  <c r="S353" i="37"/>
  <c r="O353" i="37"/>
  <c r="N353" i="37"/>
  <c r="N352" i="37" s="1"/>
  <c r="M353" i="37"/>
  <c r="M352" i="37" s="1"/>
  <c r="L353" i="37"/>
  <c r="L352" i="37" s="1"/>
  <c r="K353" i="37"/>
  <c r="K352" i="37"/>
  <c r="J353" i="37"/>
  <c r="I353" i="37"/>
  <c r="I352" i="37" s="1"/>
  <c r="H353" i="37"/>
  <c r="H352" i="37" s="1"/>
  <c r="G353" i="37"/>
  <c r="G352" i="37" s="1"/>
  <c r="F353" i="37"/>
  <c r="F352" i="37" s="1"/>
  <c r="E353" i="37"/>
  <c r="C353" i="37"/>
  <c r="S352" i="37"/>
  <c r="J352" i="37"/>
  <c r="C352" i="37"/>
  <c r="R351" i="37"/>
  <c r="S351" i="37" s="1"/>
  <c r="T351" i="37"/>
  <c r="U351" i="37" s="1"/>
  <c r="E350" i="37"/>
  <c r="F350" i="37" s="1"/>
  <c r="E349" i="37"/>
  <c r="P348" i="37"/>
  <c r="M347" i="37"/>
  <c r="M346" i="37" s="1"/>
  <c r="L347" i="37"/>
  <c r="K347" i="37"/>
  <c r="K346" i="37" s="1"/>
  <c r="J347" i="37"/>
  <c r="J346" i="37"/>
  <c r="I347" i="37"/>
  <c r="I346" i="37"/>
  <c r="H347" i="37"/>
  <c r="H346" i="37"/>
  <c r="G347" i="37"/>
  <c r="G346" i="37"/>
  <c r="F347" i="37"/>
  <c r="E347" i="37"/>
  <c r="E346" i="37" s="1"/>
  <c r="C347" i="37"/>
  <c r="O346" i="37"/>
  <c r="N346" i="37"/>
  <c r="L346" i="37"/>
  <c r="F346" i="37"/>
  <c r="C346" i="37"/>
  <c r="P345" i="37"/>
  <c r="O344" i="37"/>
  <c r="N344" i="37"/>
  <c r="M344" i="37"/>
  <c r="L344" i="37"/>
  <c r="K344" i="37"/>
  <c r="J344" i="37"/>
  <c r="I344" i="37"/>
  <c r="I323" i="37" s="1"/>
  <c r="I322" i="37" s="1"/>
  <c r="H344" i="37"/>
  <c r="G344" i="37"/>
  <c r="G322" i="37"/>
  <c r="F344" i="37"/>
  <c r="E344" i="37"/>
  <c r="C344" i="37"/>
  <c r="P339" i="37"/>
  <c r="Q339" i="37" s="1"/>
  <c r="P338" i="37"/>
  <c r="Q338" i="37" s="1"/>
  <c r="E337" i="37"/>
  <c r="S336" i="37"/>
  <c r="P336" i="37"/>
  <c r="Q336" i="37" s="1"/>
  <c r="S335" i="37"/>
  <c r="P335" i="37"/>
  <c r="S334" i="37"/>
  <c r="P334" i="37"/>
  <c r="Q334" i="37"/>
  <c r="S333" i="37"/>
  <c r="T333" i="37"/>
  <c r="P333" i="37"/>
  <c r="C333" i="37"/>
  <c r="P332" i="37"/>
  <c r="P331" i="37"/>
  <c r="P330" i="37"/>
  <c r="P329" i="37"/>
  <c r="P328" i="37"/>
  <c r="Q328" i="37"/>
  <c r="R328" i="37" s="1"/>
  <c r="P327" i="37"/>
  <c r="P326" i="37"/>
  <c r="P325" i="37"/>
  <c r="R325" i="37" s="1"/>
  <c r="O324" i="37"/>
  <c r="N324" i="37"/>
  <c r="N323" i="37"/>
  <c r="N322" i="37" s="1"/>
  <c r="M324" i="37"/>
  <c r="L324" i="37"/>
  <c r="K324" i="37"/>
  <c r="K323" i="37" s="1"/>
  <c r="K322" i="37" s="1"/>
  <c r="J324" i="37"/>
  <c r="J323" i="37" s="1"/>
  <c r="J322" i="37" s="1"/>
  <c r="I324" i="37"/>
  <c r="H324" i="37"/>
  <c r="H323" i="37"/>
  <c r="G324" i="37"/>
  <c r="G323" i="37" s="1"/>
  <c r="F324" i="37"/>
  <c r="F323" i="37" s="1"/>
  <c r="E324" i="37"/>
  <c r="E323" i="37" s="1"/>
  <c r="P321" i="37"/>
  <c r="R321" i="37" s="1"/>
  <c r="O320" i="37"/>
  <c r="N320" i="37"/>
  <c r="M320" i="37"/>
  <c r="L320" i="37"/>
  <c r="K320" i="37"/>
  <c r="J320" i="37"/>
  <c r="I320" i="37"/>
  <c r="H320" i="37"/>
  <c r="G320" i="37"/>
  <c r="F320" i="37"/>
  <c r="E320" i="37"/>
  <c r="C320" i="37"/>
  <c r="E319" i="37"/>
  <c r="F319" i="37"/>
  <c r="G319" i="37" s="1"/>
  <c r="E318" i="37"/>
  <c r="E317" i="37"/>
  <c r="E316" i="37"/>
  <c r="F316" i="37" s="1"/>
  <c r="G316" i="37"/>
  <c r="E315" i="37"/>
  <c r="F315" i="37"/>
  <c r="G315" i="37" s="1"/>
  <c r="H315" i="37" s="1"/>
  <c r="E314" i="37"/>
  <c r="F314" i="37"/>
  <c r="G314" i="37" s="1"/>
  <c r="E313" i="37"/>
  <c r="E312" i="37"/>
  <c r="E311" i="37"/>
  <c r="F311" i="37" s="1"/>
  <c r="G311" i="37"/>
  <c r="E310" i="37"/>
  <c r="F310" i="37"/>
  <c r="G310" i="37" s="1"/>
  <c r="E309" i="37"/>
  <c r="S308" i="37"/>
  <c r="T308" i="37"/>
  <c r="P308" i="37"/>
  <c r="E307" i="37"/>
  <c r="F307" i="37" s="1"/>
  <c r="E306" i="37"/>
  <c r="F306" i="37" s="1"/>
  <c r="E305" i="37"/>
  <c r="F305" i="37" s="1"/>
  <c r="E304" i="37"/>
  <c r="E303" i="37"/>
  <c r="F303" i="37"/>
  <c r="E302" i="37"/>
  <c r="E301" i="37"/>
  <c r="F301" i="37" s="1"/>
  <c r="E300" i="37"/>
  <c r="F300" i="37" s="1"/>
  <c r="E299" i="37"/>
  <c r="F299" i="37" s="1"/>
  <c r="G299" i="37" s="1"/>
  <c r="E298" i="37"/>
  <c r="F298" i="37"/>
  <c r="E297" i="37"/>
  <c r="F297" i="37"/>
  <c r="G297" i="37" s="1"/>
  <c r="E296" i="37"/>
  <c r="F296" i="37" s="1"/>
  <c r="E295" i="37"/>
  <c r="F295" i="37" s="1"/>
  <c r="E294" i="37"/>
  <c r="F294" i="37" s="1"/>
  <c r="R293" i="37"/>
  <c r="O293" i="37"/>
  <c r="N293" i="37"/>
  <c r="M293" i="37"/>
  <c r="L293" i="37"/>
  <c r="K293" i="37"/>
  <c r="J293" i="37"/>
  <c r="I293" i="37"/>
  <c r="H293" i="37"/>
  <c r="G293" i="37"/>
  <c r="G253" i="37"/>
  <c r="G263" i="37"/>
  <c r="G279" i="37"/>
  <c r="F293" i="37"/>
  <c r="E293" i="37"/>
  <c r="C293" i="37"/>
  <c r="S292" i="37"/>
  <c r="T292" i="37" s="1"/>
  <c r="U292" i="37" s="1"/>
  <c r="V292" i="37" s="1"/>
  <c r="W292" i="37" s="1"/>
  <c r="P292" i="37"/>
  <c r="Q292" i="37" s="1"/>
  <c r="P291" i="37"/>
  <c r="P290" i="37"/>
  <c r="Q290" i="37"/>
  <c r="R290" i="37"/>
  <c r="S290" i="37" s="1"/>
  <c r="P289" i="37"/>
  <c r="S288" i="37"/>
  <c r="P288" i="37"/>
  <c r="Q288" i="37"/>
  <c r="S287" i="37"/>
  <c r="P287" i="37"/>
  <c r="P286" i="37"/>
  <c r="R286" i="37"/>
  <c r="S286" i="37" s="1"/>
  <c r="S285" i="37"/>
  <c r="P285" i="37"/>
  <c r="Q285" i="37"/>
  <c r="P284" i="37"/>
  <c r="Q284" i="37"/>
  <c r="R284" i="37"/>
  <c r="S284" i="37"/>
  <c r="P283" i="37"/>
  <c r="P282" i="37"/>
  <c r="P281" i="37"/>
  <c r="E280" i="37"/>
  <c r="F280" i="37" s="1"/>
  <c r="G280" i="37" s="1"/>
  <c r="H280" i="37" s="1"/>
  <c r="I280" i="37" s="1"/>
  <c r="O279" i="37"/>
  <c r="N279" i="37"/>
  <c r="M279" i="37"/>
  <c r="L279" i="37"/>
  <c r="K279" i="37"/>
  <c r="J279" i="37"/>
  <c r="I279" i="37"/>
  <c r="H279" i="37"/>
  <c r="F279" i="37"/>
  <c r="E279" i="37"/>
  <c r="P279" i="37" s="1"/>
  <c r="Q279" i="37" s="1"/>
  <c r="C279" i="37"/>
  <c r="S278" i="37"/>
  <c r="T278" i="37"/>
  <c r="P278" i="37"/>
  <c r="P277" i="37"/>
  <c r="Q277" i="37"/>
  <c r="R277" i="37"/>
  <c r="S277" i="37" s="1"/>
  <c r="P276" i="37"/>
  <c r="Q276" i="37"/>
  <c r="R276" i="37"/>
  <c r="P275" i="37"/>
  <c r="P274" i="37"/>
  <c r="P273" i="37"/>
  <c r="P272" i="37"/>
  <c r="Q272" i="37" s="1"/>
  <c r="R272" i="37" s="1"/>
  <c r="S272" i="37" s="1"/>
  <c r="P271" i="37"/>
  <c r="Q271" i="37" s="1"/>
  <c r="P270" i="37"/>
  <c r="Q270" i="37" s="1"/>
  <c r="S269" i="37"/>
  <c r="T269" i="37"/>
  <c r="P269" i="37"/>
  <c r="P268" i="37"/>
  <c r="P267" i="37"/>
  <c r="P266" i="37"/>
  <c r="Q266" i="37" s="1"/>
  <c r="R266" i="37" s="1"/>
  <c r="S266" i="37" s="1"/>
  <c r="P265" i="37"/>
  <c r="Q265" i="37" s="1"/>
  <c r="R265" i="37" s="1"/>
  <c r="S265" i="37"/>
  <c r="R264" i="37"/>
  <c r="S264" i="37" s="1"/>
  <c r="T264" i="37" s="1"/>
  <c r="U264" i="37"/>
  <c r="P264" i="37"/>
  <c r="Q264" i="37" s="1"/>
  <c r="O263" i="37"/>
  <c r="N263" i="37"/>
  <c r="M263" i="37"/>
  <c r="L263" i="37"/>
  <c r="K263" i="37"/>
  <c r="J263" i="37"/>
  <c r="I263" i="37"/>
  <c r="H263" i="37"/>
  <c r="F263" i="37"/>
  <c r="E263" i="37"/>
  <c r="C263" i="37"/>
  <c r="P262" i="37"/>
  <c r="Q262" i="37"/>
  <c r="R262" i="37"/>
  <c r="S262" i="37" s="1"/>
  <c r="S261" i="37"/>
  <c r="T261" i="37"/>
  <c r="U261" i="37"/>
  <c r="V261" i="37" s="1"/>
  <c r="P261" i="37"/>
  <c r="S260" i="37"/>
  <c r="T260" i="37"/>
  <c r="P260" i="37"/>
  <c r="Q260" i="37" s="1"/>
  <c r="S259" i="37"/>
  <c r="T259" i="37"/>
  <c r="U259" i="37" s="1"/>
  <c r="P259" i="37"/>
  <c r="Q259" i="37"/>
  <c r="S258" i="37"/>
  <c r="T258" i="37" s="1"/>
  <c r="P258" i="37"/>
  <c r="S257" i="37"/>
  <c r="T257" i="37" s="1"/>
  <c r="P257" i="37"/>
  <c r="Q257" i="37" s="1"/>
  <c r="S256" i="37"/>
  <c r="P256" i="37"/>
  <c r="Q256" i="37"/>
  <c r="S255" i="37"/>
  <c r="P255" i="37"/>
  <c r="Q255" i="37"/>
  <c r="S254" i="37"/>
  <c r="T254" i="37" s="1"/>
  <c r="U254" i="37" s="1"/>
  <c r="P254" i="37"/>
  <c r="Q254" i="37"/>
  <c r="S253" i="37"/>
  <c r="T253" i="37" s="1"/>
  <c r="O253" i="37"/>
  <c r="N253" i="37"/>
  <c r="N252" i="37" s="1"/>
  <c r="M253" i="37"/>
  <c r="L253" i="37"/>
  <c r="K253" i="37"/>
  <c r="J253" i="37"/>
  <c r="J252" i="37" s="1"/>
  <c r="I253" i="37"/>
  <c r="I252" i="37" s="1"/>
  <c r="H253" i="37"/>
  <c r="F253" i="37"/>
  <c r="F252" i="37" s="1"/>
  <c r="E253" i="37"/>
  <c r="C253" i="37"/>
  <c r="E251" i="37"/>
  <c r="E250" i="37"/>
  <c r="E249" i="37"/>
  <c r="F249" i="37" s="1"/>
  <c r="P248" i="37"/>
  <c r="Q248" i="37"/>
  <c r="O247" i="37"/>
  <c r="N247" i="37"/>
  <c r="M247" i="37"/>
  <c r="L247" i="37"/>
  <c r="L177" i="37"/>
  <c r="K247" i="37"/>
  <c r="J247" i="37"/>
  <c r="I247" i="37"/>
  <c r="H247" i="37"/>
  <c r="G247" i="37"/>
  <c r="F247" i="37"/>
  <c r="E247" i="37"/>
  <c r="C247" i="37"/>
  <c r="C177" i="37" s="1"/>
  <c r="E246" i="37"/>
  <c r="E245" i="37"/>
  <c r="E244" i="37"/>
  <c r="F244" i="37"/>
  <c r="E243" i="37"/>
  <c r="F243" i="37" s="1"/>
  <c r="E242" i="37"/>
  <c r="F242" i="37"/>
  <c r="G242" i="37" s="1"/>
  <c r="H242" i="37" s="1"/>
  <c r="I242" i="37" s="1"/>
  <c r="J242" i="37" s="1"/>
  <c r="K242" i="37" s="1"/>
  <c r="L242" i="37" s="1"/>
  <c r="M242" i="37" s="1"/>
  <c r="N242" i="37" s="1"/>
  <c r="E241" i="37"/>
  <c r="E240" i="37"/>
  <c r="F240" i="37"/>
  <c r="E239" i="37"/>
  <c r="F239" i="37" s="1"/>
  <c r="E238" i="37"/>
  <c r="F238" i="37"/>
  <c r="E237" i="37"/>
  <c r="E236" i="37"/>
  <c r="E235" i="37"/>
  <c r="F235" i="37"/>
  <c r="E234" i="37"/>
  <c r="F234" i="37" s="1"/>
  <c r="G234" i="37" s="1"/>
  <c r="E233" i="37"/>
  <c r="E232" i="37"/>
  <c r="F232" i="37" s="1"/>
  <c r="E231" i="37"/>
  <c r="E230" i="37"/>
  <c r="F230" i="37"/>
  <c r="E229" i="37"/>
  <c r="E228" i="37"/>
  <c r="F228" i="37"/>
  <c r="E227" i="37"/>
  <c r="F227" i="37" s="1"/>
  <c r="G227" i="37" s="1"/>
  <c r="H227" i="37" s="1"/>
  <c r="I227" i="37" s="1"/>
  <c r="E226" i="37"/>
  <c r="F226" i="37"/>
  <c r="G226" i="37"/>
  <c r="E225" i="37"/>
  <c r="E224" i="37"/>
  <c r="F224" i="37"/>
  <c r="E223" i="37"/>
  <c r="F223" i="37" s="1"/>
  <c r="E222" i="37"/>
  <c r="E221" i="37"/>
  <c r="E220" i="37"/>
  <c r="F220" i="37" s="1"/>
  <c r="G220" i="37" s="1"/>
  <c r="H220" i="37" s="1"/>
  <c r="E219" i="37"/>
  <c r="F219" i="37"/>
  <c r="E218" i="37"/>
  <c r="F218" i="37" s="1"/>
  <c r="E217" i="37"/>
  <c r="E216" i="37"/>
  <c r="F216" i="37" s="1"/>
  <c r="E215" i="37"/>
  <c r="F215" i="37" s="1"/>
  <c r="G215" i="37" s="1"/>
  <c r="E214" i="37"/>
  <c r="F214" i="37" s="1"/>
  <c r="E213" i="37"/>
  <c r="E212" i="37"/>
  <c r="F212" i="37"/>
  <c r="E211" i="37"/>
  <c r="E210" i="37"/>
  <c r="F210" i="37"/>
  <c r="E209" i="37"/>
  <c r="E208" i="37"/>
  <c r="F208" i="37" s="1"/>
  <c r="E207" i="37"/>
  <c r="F207" i="37"/>
  <c r="E206" i="37"/>
  <c r="E205" i="37"/>
  <c r="E204" i="37"/>
  <c r="F204" i="37"/>
  <c r="G204" i="37" s="1"/>
  <c r="E203" i="37"/>
  <c r="F203" i="37"/>
  <c r="E202" i="37"/>
  <c r="F202" i="37" s="1"/>
  <c r="E201" i="37"/>
  <c r="E200" i="37"/>
  <c r="F200" i="37"/>
  <c r="G200" i="37" s="1"/>
  <c r="E199" i="37"/>
  <c r="E198" i="37"/>
  <c r="F198" i="37"/>
  <c r="E197" i="37"/>
  <c r="E196" i="37"/>
  <c r="F196" i="37"/>
  <c r="G196" i="37"/>
  <c r="E195" i="37"/>
  <c r="F195" i="37" s="1"/>
  <c r="E194" i="37"/>
  <c r="F194" i="37"/>
  <c r="E193" i="37"/>
  <c r="E192" i="37"/>
  <c r="E191" i="37"/>
  <c r="F191" i="37"/>
  <c r="G191" i="37" s="1"/>
  <c r="H191" i="37" s="1"/>
  <c r="E190" i="37"/>
  <c r="P189" i="37"/>
  <c r="P188" i="37"/>
  <c r="Q188" i="37" s="1"/>
  <c r="R188" i="37" s="1"/>
  <c r="S188" i="37" s="1"/>
  <c r="T188" i="37" s="1"/>
  <c r="P187" i="37"/>
  <c r="P186" i="37"/>
  <c r="Q186" i="37"/>
  <c r="R186" i="37"/>
  <c r="P185" i="37"/>
  <c r="P184" i="37"/>
  <c r="P183" i="37"/>
  <c r="P182" i="37"/>
  <c r="Q182" i="37" s="1"/>
  <c r="R182" i="37" s="1"/>
  <c r="S182" i="37" s="1"/>
  <c r="T182" i="37" s="1"/>
  <c r="P181" i="37"/>
  <c r="P180" i="37"/>
  <c r="Q180" i="37" s="1"/>
  <c r="R180" i="37" s="1"/>
  <c r="S179" i="37"/>
  <c r="O179" i="37"/>
  <c r="N179" i="37"/>
  <c r="M179" i="37"/>
  <c r="M178" i="37"/>
  <c r="M177" i="37"/>
  <c r="L179" i="37"/>
  <c r="L178" i="37"/>
  <c r="K179" i="37"/>
  <c r="K178" i="37" s="1"/>
  <c r="K177" i="37" s="1"/>
  <c r="J179" i="37"/>
  <c r="I179" i="37"/>
  <c r="I178" i="37" s="1"/>
  <c r="I177" i="37" s="1"/>
  <c r="H179" i="37"/>
  <c r="H178" i="37"/>
  <c r="G179" i="37"/>
  <c r="G178" i="37" s="1"/>
  <c r="G177" i="37" s="1"/>
  <c r="F179" i="37"/>
  <c r="F178" i="37" s="1"/>
  <c r="F177" i="37" s="1"/>
  <c r="E179" i="37"/>
  <c r="O178" i="37"/>
  <c r="O177" i="37" s="1"/>
  <c r="C178" i="37"/>
  <c r="E175" i="37"/>
  <c r="E174" i="37"/>
  <c r="F174" i="37" s="1"/>
  <c r="P173" i="37"/>
  <c r="Q173" i="37"/>
  <c r="Z173" i="37"/>
  <c r="P172" i="37"/>
  <c r="P171" i="37"/>
  <c r="P170" i="37"/>
  <c r="P169" i="37"/>
  <c r="P168" i="37"/>
  <c r="O167" i="37"/>
  <c r="N167" i="37"/>
  <c r="M167" i="37"/>
  <c r="L167" i="37"/>
  <c r="K167" i="37"/>
  <c r="J167" i="37"/>
  <c r="I167" i="37"/>
  <c r="H167" i="37"/>
  <c r="E167" i="37"/>
  <c r="F167" i="37"/>
  <c r="G167" i="37"/>
  <c r="C167" i="37"/>
  <c r="P166" i="37"/>
  <c r="Q166" i="37" s="1"/>
  <c r="P165" i="37"/>
  <c r="P164" i="37"/>
  <c r="R164" i="37" s="1"/>
  <c r="S164" i="37" s="1"/>
  <c r="T164" i="37" s="1"/>
  <c r="P163" i="37"/>
  <c r="Q163" i="37"/>
  <c r="O162" i="37"/>
  <c r="N162" i="37"/>
  <c r="M162" i="37"/>
  <c r="L162" i="37"/>
  <c r="K162" i="37"/>
  <c r="J162" i="37"/>
  <c r="I162" i="37"/>
  <c r="H162" i="37"/>
  <c r="G162" i="37"/>
  <c r="F162" i="37"/>
  <c r="E162" i="37"/>
  <c r="C162" i="37"/>
  <c r="P161" i="37"/>
  <c r="P160" i="37"/>
  <c r="R160" i="37"/>
  <c r="S160" i="37"/>
  <c r="T160" i="37" s="1"/>
  <c r="O159" i="37"/>
  <c r="N159" i="37"/>
  <c r="M159" i="37"/>
  <c r="L159" i="37"/>
  <c r="K159" i="37"/>
  <c r="J159" i="37"/>
  <c r="I159" i="37"/>
  <c r="H159" i="37"/>
  <c r="G159" i="37"/>
  <c r="F159" i="37"/>
  <c r="E159" i="37"/>
  <c r="C159" i="37"/>
  <c r="P158" i="37"/>
  <c r="Q158" i="37"/>
  <c r="P157" i="37"/>
  <c r="O156" i="37"/>
  <c r="N156" i="37"/>
  <c r="M156" i="37"/>
  <c r="L156" i="37"/>
  <c r="K156" i="37"/>
  <c r="J156" i="37"/>
  <c r="I156" i="37"/>
  <c r="H156" i="37"/>
  <c r="G156" i="37"/>
  <c r="F156" i="37"/>
  <c r="E156" i="37"/>
  <c r="C156" i="37"/>
  <c r="F155" i="37"/>
  <c r="E155" i="37"/>
  <c r="F154" i="37"/>
  <c r="H154" i="37" s="1"/>
  <c r="E154" i="37"/>
  <c r="G154" i="37"/>
  <c r="P153" i="37"/>
  <c r="Q153" i="37"/>
  <c r="O152" i="37"/>
  <c r="N152" i="37"/>
  <c r="M152" i="37"/>
  <c r="L152" i="37"/>
  <c r="L129" i="37" s="1"/>
  <c r="K152" i="37"/>
  <c r="J152" i="37"/>
  <c r="I152" i="37"/>
  <c r="H152" i="37"/>
  <c r="G152" i="37"/>
  <c r="F152" i="37"/>
  <c r="E152" i="37"/>
  <c r="C152" i="37"/>
  <c r="E151" i="37"/>
  <c r="E150" i="37"/>
  <c r="F150" i="37"/>
  <c r="G150" i="37"/>
  <c r="E149" i="37"/>
  <c r="F149" i="37"/>
  <c r="G149" i="37" s="1"/>
  <c r="E148" i="37"/>
  <c r="P147" i="37"/>
  <c r="P146" i="37"/>
  <c r="P145" i="37"/>
  <c r="Q145" i="37"/>
  <c r="P144" i="37"/>
  <c r="Q144" i="37"/>
  <c r="P143" i="37"/>
  <c r="R143" i="37" s="1"/>
  <c r="S143" i="37" s="1"/>
  <c r="T143" i="37" s="1"/>
  <c r="U143" i="37" s="1"/>
  <c r="V143" i="37" s="1"/>
  <c r="O142" i="37"/>
  <c r="N142" i="37"/>
  <c r="M142" i="37"/>
  <c r="L142" i="37"/>
  <c r="K142" i="37"/>
  <c r="J142" i="37"/>
  <c r="I142" i="37"/>
  <c r="H142" i="37"/>
  <c r="H130" i="37"/>
  <c r="H129" i="37" s="1"/>
  <c r="G130" i="37"/>
  <c r="G142" i="37"/>
  <c r="F142" i="37"/>
  <c r="E142" i="37"/>
  <c r="P142" i="37" s="1"/>
  <c r="Q142" i="37" s="1"/>
  <c r="C142" i="37"/>
  <c r="E141" i="37"/>
  <c r="F141" i="37"/>
  <c r="G141" i="37"/>
  <c r="P140" i="37"/>
  <c r="P139" i="37"/>
  <c r="R139" i="37"/>
  <c r="S139" i="37"/>
  <c r="T139" i="37" s="1"/>
  <c r="U139" i="37" s="1"/>
  <c r="V139" i="37" s="1"/>
  <c r="P138" i="37"/>
  <c r="Q138" i="37" s="1"/>
  <c r="P137" i="37"/>
  <c r="P136" i="37"/>
  <c r="Q136" i="37" s="1"/>
  <c r="P135" i="37"/>
  <c r="P134" i="37"/>
  <c r="P133" i="37"/>
  <c r="Q133" i="37" s="1"/>
  <c r="P132" i="37"/>
  <c r="Q132" i="37"/>
  <c r="P131" i="37"/>
  <c r="R131" i="37" s="1"/>
  <c r="S131" i="37" s="1"/>
  <c r="P130" i="37"/>
  <c r="O130" i="37"/>
  <c r="O129" i="37" s="1"/>
  <c r="N130" i="37"/>
  <c r="M130" i="37"/>
  <c r="L130" i="37"/>
  <c r="K130" i="37"/>
  <c r="K129" i="37" s="1"/>
  <c r="J130" i="37"/>
  <c r="I130" i="37"/>
  <c r="F130" i="37"/>
  <c r="F129" i="37" s="1"/>
  <c r="E130" i="37"/>
  <c r="C130" i="37"/>
  <c r="P128" i="37"/>
  <c r="O127" i="37"/>
  <c r="N127" i="37"/>
  <c r="M127" i="37"/>
  <c r="L127" i="37"/>
  <c r="K127" i="37"/>
  <c r="J127" i="37"/>
  <c r="I127" i="37"/>
  <c r="H127" i="37"/>
  <c r="H99" i="37" s="1"/>
  <c r="G127" i="37"/>
  <c r="F127" i="37"/>
  <c r="E127" i="37"/>
  <c r="P127" i="37" s="1"/>
  <c r="C127" i="37"/>
  <c r="E126" i="37"/>
  <c r="F126" i="37" s="1"/>
  <c r="G126" i="37" s="1"/>
  <c r="E125" i="37"/>
  <c r="F125" i="37" s="1"/>
  <c r="E124" i="37"/>
  <c r="F124" i="37" s="1"/>
  <c r="E123" i="37"/>
  <c r="E122" i="37"/>
  <c r="F122" i="37"/>
  <c r="E121" i="37"/>
  <c r="E120" i="37"/>
  <c r="F120" i="37"/>
  <c r="E119" i="37"/>
  <c r="P118" i="37"/>
  <c r="Q118" i="37" s="1"/>
  <c r="R118" i="37" s="1"/>
  <c r="S118" i="37" s="1"/>
  <c r="T118" i="37" s="1"/>
  <c r="P117" i="37"/>
  <c r="P116" i="37"/>
  <c r="Q116" i="37"/>
  <c r="R116" i="37" s="1"/>
  <c r="S116" i="37" s="1"/>
  <c r="P115" i="37"/>
  <c r="P114" i="37"/>
  <c r="Q114" i="37" s="1"/>
  <c r="R114" i="37" s="1"/>
  <c r="S114" i="37" s="1"/>
  <c r="T114" i="37" s="1"/>
  <c r="P113" i="37"/>
  <c r="P112" i="37"/>
  <c r="Q112" i="37"/>
  <c r="R112" i="37" s="1"/>
  <c r="S112" i="37" s="1"/>
  <c r="T112" i="37" s="1"/>
  <c r="P111" i="37"/>
  <c r="P110" i="37"/>
  <c r="Q110" i="37" s="1"/>
  <c r="R110" i="37" s="1"/>
  <c r="S110" i="37" s="1"/>
  <c r="T110" i="37" s="1"/>
  <c r="U110" i="37" s="1"/>
  <c r="V110" i="37" s="1"/>
  <c r="P109" i="37"/>
  <c r="P108" i="37"/>
  <c r="P107" i="37"/>
  <c r="P106" i="37"/>
  <c r="Q106" i="37"/>
  <c r="R106" i="37"/>
  <c r="P105" i="37"/>
  <c r="Q105" i="37"/>
  <c r="R105" i="37"/>
  <c r="S105" i="37"/>
  <c r="P104" i="37"/>
  <c r="O103" i="37"/>
  <c r="N103" i="37"/>
  <c r="N99" i="37"/>
  <c r="M103" i="37"/>
  <c r="L103" i="37"/>
  <c r="K103" i="37"/>
  <c r="J103" i="37"/>
  <c r="I103" i="37"/>
  <c r="H103" i="37"/>
  <c r="G103" i="37"/>
  <c r="F103" i="37"/>
  <c r="E103" i="37"/>
  <c r="C103" i="37"/>
  <c r="P102" i="37"/>
  <c r="P101" i="37"/>
  <c r="O100" i="37"/>
  <c r="N100" i="37"/>
  <c r="M100" i="37"/>
  <c r="M99" i="37"/>
  <c r="L100" i="37"/>
  <c r="K100" i="37"/>
  <c r="J100" i="37"/>
  <c r="I100" i="37"/>
  <c r="I99" i="37" s="1"/>
  <c r="H100" i="37"/>
  <c r="G100" i="37"/>
  <c r="F100" i="37"/>
  <c r="E100" i="37"/>
  <c r="E99" i="37"/>
  <c r="C100" i="37"/>
  <c r="E98" i="37"/>
  <c r="F98" i="37" s="1"/>
  <c r="G98" i="37" s="1"/>
  <c r="Q97" i="37"/>
  <c r="Q96" i="37"/>
  <c r="Q95" i="37"/>
  <c r="Q94" i="37"/>
  <c r="Q93" i="37"/>
  <c r="Q92" i="37"/>
  <c r="Q91" i="37"/>
  <c r="Q90" i="37"/>
  <c r="Q89" i="37"/>
  <c r="Q88" i="37"/>
  <c r="Q87" i="37"/>
  <c r="Q86" i="37"/>
  <c r="Q85" i="37"/>
  <c r="Q84" i="37"/>
  <c r="Q83" i="37"/>
  <c r="Q82" i="37"/>
  <c r="Q81" i="37"/>
  <c r="Q80" i="37"/>
  <c r="Q79" i="37"/>
  <c r="Q78" i="37"/>
  <c r="Q77" i="37"/>
  <c r="Q76" i="37"/>
  <c r="Q75" i="37"/>
  <c r="Q74" i="37"/>
  <c r="Q73" i="37"/>
  <c r="Q72" i="37"/>
  <c r="Q71" i="37"/>
  <c r="Q70" i="37"/>
  <c r="Q69" i="37"/>
  <c r="Q68" i="37"/>
  <c r="Q67" i="37"/>
  <c r="Q66" i="37"/>
  <c r="Q65" i="37"/>
  <c r="Q64" i="37"/>
  <c r="Q63" i="37"/>
  <c r="Q62" i="37"/>
  <c r="Q61" i="37"/>
  <c r="Q60" i="37"/>
  <c r="Q59" i="37"/>
  <c r="Q58" i="37"/>
  <c r="Q57" i="37"/>
  <c r="Q56" i="37"/>
  <c r="Q55" i="37"/>
  <c r="Q54" i="37"/>
  <c r="Q53" i="37"/>
  <c r="Q52" i="37"/>
  <c r="Q51" i="37"/>
  <c r="Q50" i="37"/>
  <c r="Q49" i="37"/>
  <c r="P48" i="37"/>
  <c r="Q48" i="37" s="1"/>
  <c r="P47" i="37"/>
  <c r="Q47" i="37"/>
  <c r="P46" i="37"/>
  <c r="P45" i="37"/>
  <c r="P44" i="37"/>
  <c r="Q44" i="37"/>
  <c r="P43" i="37"/>
  <c r="Q43" i="37" s="1"/>
  <c r="P42" i="37"/>
  <c r="P41" i="37"/>
  <c r="Q41" i="37"/>
  <c r="P40" i="37"/>
  <c r="Q40" i="37" s="1"/>
  <c r="P39" i="37"/>
  <c r="P38" i="37"/>
  <c r="Q38" i="37" s="1"/>
  <c r="P37" i="37"/>
  <c r="Q37" i="37" s="1"/>
  <c r="P36" i="37"/>
  <c r="Q36" i="37"/>
  <c r="P35" i="37"/>
  <c r="P34" i="37"/>
  <c r="Q34" i="37" s="1"/>
  <c r="P33" i="37"/>
  <c r="P32" i="37"/>
  <c r="Q32" i="37" s="1"/>
  <c r="P31" i="37"/>
  <c r="Q31" i="37"/>
  <c r="AA30" i="37"/>
  <c r="N30" i="37"/>
  <c r="M30" i="37"/>
  <c r="L30" i="37"/>
  <c r="L29" i="37"/>
  <c r="K30" i="37"/>
  <c r="K29" i="37"/>
  <c r="J30" i="37"/>
  <c r="J29" i="37"/>
  <c r="I30" i="37"/>
  <c r="I29" i="37"/>
  <c r="H30" i="37"/>
  <c r="H29" i="37"/>
  <c r="G30" i="37"/>
  <c r="F30" i="37"/>
  <c r="F29" i="37"/>
  <c r="E30" i="37"/>
  <c r="C30" i="37"/>
  <c r="M29" i="37"/>
  <c r="G29" i="37"/>
  <c r="E29" i="37"/>
  <c r="P28" i="37"/>
  <c r="Q28" i="37" s="1"/>
  <c r="O27" i="37"/>
  <c r="N27" i="37"/>
  <c r="P27" i="37" s="1"/>
  <c r="Q27" i="37" s="1"/>
  <c r="M27" i="37"/>
  <c r="L27" i="37"/>
  <c r="D26" i="37"/>
  <c r="P25" i="37"/>
  <c r="P24" i="37"/>
  <c r="Q24" i="37" s="1"/>
  <c r="P23" i="37"/>
  <c r="Q23" i="37"/>
  <c r="O22" i="37"/>
  <c r="N22" i="37"/>
  <c r="M22" i="37"/>
  <c r="L22" i="37"/>
  <c r="K22" i="37"/>
  <c r="J22" i="37"/>
  <c r="I22" i="37"/>
  <c r="H22" i="37"/>
  <c r="G22" i="37"/>
  <c r="F22" i="37"/>
  <c r="E22" i="37"/>
  <c r="P22" i="37" s="1"/>
  <c r="C22" i="37"/>
  <c r="AA21" i="37"/>
  <c r="P21" i="37"/>
  <c r="Q21" i="37"/>
  <c r="P20" i="37"/>
  <c r="Q20" i="37"/>
  <c r="O19" i="37"/>
  <c r="N19" i="37"/>
  <c r="M19" i="37"/>
  <c r="L19" i="37"/>
  <c r="L12" i="37"/>
  <c r="K19" i="37"/>
  <c r="K12" i="37" s="1"/>
  <c r="J19" i="37"/>
  <c r="J12" i="37" s="1"/>
  <c r="J11" i="37"/>
  <c r="I11" i="37"/>
  <c r="I19" i="37"/>
  <c r="I12" i="37" s="1"/>
  <c r="H19" i="37"/>
  <c r="G19" i="37"/>
  <c r="G12" i="37"/>
  <c r="F19" i="37"/>
  <c r="F12" i="37"/>
  <c r="E19" i="37"/>
  <c r="E12" i="37"/>
  <c r="C19" i="37"/>
  <c r="Y16" i="37"/>
  <c r="X16" i="37"/>
  <c r="W16" i="37"/>
  <c r="V16" i="37"/>
  <c r="U16" i="37"/>
  <c r="T16" i="37"/>
  <c r="S16" i="37"/>
  <c r="R16" i="37"/>
  <c r="M16" i="37"/>
  <c r="L16" i="37"/>
  <c r="K16" i="37"/>
  <c r="J16" i="37"/>
  <c r="I16" i="37"/>
  <c r="H16" i="37"/>
  <c r="G16" i="37"/>
  <c r="F16" i="37"/>
  <c r="E16" i="37"/>
  <c r="C16" i="37"/>
  <c r="P15" i="37"/>
  <c r="C14" i="37"/>
  <c r="C11" i="37" s="1"/>
  <c r="P14" i="37"/>
  <c r="Q14" i="37" s="1"/>
  <c r="O13" i="37"/>
  <c r="N13" i="37"/>
  <c r="M13" i="37"/>
  <c r="L13" i="37"/>
  <c r="K13" i="37"/>
  <c r="J13" i="37"/>
  <c r="I13" i="37"/>
  <c r="H13" i="37"/>
  <c r="G13" i="37"/>
  <c r="F13" i="37"/>
  <c r="E13" i="37"/>
  <c r="C13" i="37"/>
  <c r="M12" i="37"/>
  <c r="H12" i="37"/>
  <c r="C12" i="37"/>
  <c r="C10" i="37" s="1"/>
  <c r="C9" i="37" s="1"/>
  <c r="M11" i="37"/>
  <c r="M10" i="37"/>
  <c r="L11" i="37"/>
  <c r="K11" i="37"/>
  <c r="K10" i="37" s="1"/>
  <c r="K9" i="37" s="1"/>
  <c r="H11" i="37"/>
  <c r="G11" i="37"/>
  <c r="F11" i="37"/>
  <c r="E11" i="37"/>
  <c r="X10" i="37"/>
  <c r="X9" i="37"/>
  <c r="W10" i="37"/>
  <c r="W9" i="37"/>
  <c r="V10" i="37"/>
  <c r="V9" i="37"/>
  <c r="U10" i="37"/>
  <c r="U9" i="37"/>
  <c r="T10" i="37"/>
  <c r="T9" i="37"/>
  <c r="S10" i="37"/>
  <c r="S9" i="37"/>
  <c r="R10" i="37"/>
  <c r="R9" i="37"/>
  <c r="U4" i="37"/>
  <c r="U3" i="37"/>
  <c r="Q1" i="37"/>
  <c r="P1" i="37"/>
  <c r="O1" i="37"/>
  <c r="O166" i="35"/>
  <c r="M166" i="35"/>
  <c r="M162" i="35" s="1"/>
  <c r="E160" i="35"/>
  <c r="C29" i="37"/>
  <c r="Q143" i="37"/>
  <c r="Q171" i="37"/>
  <c r="F206" i="37"/>
  <c r="Q131" i="37"/>
  <c r="F231" i="37"/>
  <c r="Q269" i="37"/>
  <c r="R281" i="37"/>
  <c r="Q281" i="37"/>
  <c r="T285" i="37"/>
  <c r="U285" i="37"/>
  <c r="C324" i="37"/>
  <c r="T353" i="37"/>
  <c r="U353" i="37" s="1"/>
  <c r="V353" i="37" s="1"/>
  <c r="W353" i="37" s="1"/>
  <c r="X353" i="37" s="1"/>
  <c r="F375" i="37"/>
  <c r="G375" i="37" s="1"/>
  <c r="F380" i="37"/>
  <c r="G380" i="37" s="1"/>
  <c r="H380" i="37" s="1"/>
  <c r="T116" i="37"/>
  <c r="R135" i="37"/>
  <c r="S135" i="37" s="1"/>
  <c r="Q168" i="37"/>
  <c r="Q172" i="37"/>
  <c r="T179" i="37"/>
  <c r="F190" i="37"/>
  <c r="Q273" i="37"/>
  <c r="R273" i="37" s="1"/>
  <c r="S273" i="37" s="1"/>
  <c r="T273" i="37" s="1"/>
  <c r="U273" i="37" s="1"/>
  <c r="V273" i="37" s="1"/>
  <c r="W273" i="37" s="1"/>
  <c r="X273" i="37" s="1"/>
  <c r="F371" i="37"/>
  <c r="G371" i="37"/>
  <c r="H371" i="37"/>
  <c r="I371" i="37" s="1"/>
  <c r="J371" i="37" s="1"/>
  <c r="K371" i="37" s="1"/>
  <c r="L371" i="37" s="1"/>
  <c r="M371" i="37" s="1"/>
  <c r="N371" i="37" s="1"/>
  <c r="Q137" i="37"/>
  <c r="F148" i="37"/>
  <c r="F151" i="37"/>
  <c r="Q170" i="37"/>
  <c r="Q107" i="37"/>
  <c r="R107" i="37" s="1"/>
  <c r="S107" i="37" s="1"/>
  <c r="F175" i="37"/>
  <c r="J178" i="37"/>
  <c r="J177" i="37" s="1"/>
  <c r="N178" i="37"/>
  <c r="N177" i="37" s="1"/>
  <c r="N176" i="37" s="1"/>
  <c r="F192" i="37"/>
  <c r="F199" i="37"/>
  <c r="F222" i="37"/>
  <c r="G222" i="37" s="1"/>
  <c r="H222" i="37" s="1"/>
  <c r="I222" i="37" s="1"/>
  <c r="J222" i="37" s="1"/>
  <c r="T255" i="37"/>
  <c r="Q261" i="37"/>
  <c r="L323" i="37"/>
  <c r="L322" i="37"/>
  <c r="M323" i="37"/>
  <c r="Q106" i="45"/>
  <c r="R106" i="45" s="1"/>
  <c r="S106" i="45" s="1"/>
  <c r="T106" i="45" s="1"/>
  <c r="U106" i="45" s="1"/>
  <c r="S293" i="37"/>
  <c r="R348" i="37"/>
  <c r="Q355" i="37"/>
  <c r="R355" i="37"/>
  <c r="S355" i="37" s="1"/>
  <c r="F385" i="37"/>
  <c r="Q107" i="45"/>
  <c r="E122" i="45"/>
  <c r="F122" i="45" s="1"/>
  <c r="G122" i="45" s="1"/>
  <c r="H122" i="45" s="1"/>
  <c r="R138" i="45"/>
  <c r="S138" i="45" s="1"/>
  <c r="T138" i="45" s="1"/>
  <c r="Q138" i="45"/>
  <c r="Q181" i="45"/>
  <c r="R181" i="45"/>
  <c r="S181" i="45" s="1"/>
  <c r="T181" i="45" s="1"/>
  <c r="U181" i="45" s="1"/>
  <c r="V181" i="45" s="1"/>
  <c r="W181" i="45" s="1"/>
  <c r="X181" i="45" s="1"/>
  <c r="E189" i="45"/>
  <c r="F189" i="45"/>
  <c r="E201" i="45"/>
  <c r="E205" i="45"/>
  <c r="E209" i="45"/>
  <c r="E213" i="45"/>
  <c r="E217" i="45"/>
  <c r="E221" i="45"/>
  <c r="E225" i="45"/>
  <c r="F225" i="45"/>
  <c r="G225" i="45"/>
  <c r="H225" i="45" s="1"/>
  <c r="E229" i="45"/>
  <c r="E233" i="45"/>
  <c r="F233" i="45" s="1"/>
  <c r="G233" i="45" s="1"/>
  <c r="E237" i="45"/>
  <c r="Q277" i="45"/>
  <c r="Q37" i="45"/>
  <c r="Q38" i="45"/>
  <c r="E304" i="45"/>
  <c r="Q33" i="37"/>
  <c r="Q45" i="37"/>
  <c r="Q42" i="37"/>
  <c r="Q46" i="37"/>
  <c r="Q128" i="37"/>
  <c r="Z128" i="37" s="1"/>
  <c r="Q140" i="37"/>
  <c r="R140" i="37"/>
  <c r="S140" i="37" s="1"/>
  <c r="T140" i="37" s="1"/>
  <c r="Q161" i="37"/>
  <c r="Q184" i="37"/>
  <c r="R184" i="37"/>
  <c r="S184" i="37" s="1"/>
  <c r="T184" i="37" s="1"/>
  <c r="U184" i="37" s="1"/>
  <c r="V184" i="37" s="1"/>
  <c r="W184" i="37" s="1"/>
  <c r="X184" i="37" s="1"/>
  <c r="F211" i="37"/>
  <c r="F236" i="37"/>
  <c r="F245" i="37"/>
  <c r="F250" i="37"/>
  <c r="G250" i="37"/>
  <c r="H250" i="37" s="1"/>
  <c r="T256" i="37"/>
  <c r="Q258" i="37"/>
  <c r="Q289" i="37"/>
  <c r="F304" i="37"/>
  <c r="F369" i="37"/>
  <c r="C386" i="37"/>
  <c r="F27" i="15"/>
  <c r="H71" i="15"/>
  <c r="H98" i="45"/>
  <c r="G98" i="45"/>
  <c r="L98" i="45"/>
  <c r="Q113" i="45"/>
  <c r="R113" i="45"/>
  <c r="S113" i="45"/>
  <c r="T113" i="45" s="1"/>
  <c r="U113" i="45" s="1"/>
  <c r="E124" i="45"/>
  <c r="S132" i="45"/>
  <c r="T132" i="45" s="1"/>
  <c r="U132" i="45" s="1"/>
  <c r="V132" i="45" s="1"/>
  <c r="R135" i="45"/>
  <c r="S135" i="45" s="1"/>
  <c r="Q135" i="45"/>
  <c r="Q269" i="45"/>
  <c r="E82" i="15"/>
  <c r="T127" i="45"/>
  <c r="Q15" i="37"/>
  <c r="Q35" i="37"/>
  <c r="Q39" i="37"/>
  <c r="F119" i="37"/>
  <c r="F121" i="37"/>
  <c r="F123" i="37"/>
  <c r="R270" i="37"/>
  <c r="R263" i="37" s="1"/>
  <c r="R271" i="37"/>
  <c r="Q278" i="37"/>
  <c r="Q286" i="37"/>
  <c r="Q287" i="37"/>
  <c r="T288" i="37"/>
  <c r="U288" i="37" s="1"/>
  <c r="V288" i="37" s="1"/>
  <c r="R289" i="37"/>
  <c r="F302" i="37"/>
  <c r="F309" i="37"/>
  <c r="F313" i="37"/>
  <c r="G313" i="37" s="1"/>
  <c r="H313" i="37" s="1"/>
  <c r="I313" i="37"/>
  <c r="P313" i="37" s="1"/>
  <c r="F317" i="37"/>
  <c r="G317" i="37" s="1"/>
  <c r="F318" i="37"/>
  <c r="G318" i="37"/>
  <c r="F349" i="37"/>
  <c r="G349" i="37" s="1"/>
  <c r="O352" i="37"/>
  <c r="O351" i="37" s="1"/>
  <c r="Q358" i="37"/>
  <c r="R358" i="37" s="1"/>
  <c r="S358" i="37" s="1"/>
  <c r="T358" i="37"/>
  <c r="F107" i="15"/>
  <c r="G106" i="15"/>
  <c r="E118" i="45"/>
  <c r="D128" i="45"/>
  <c r="H128" i="45"/>
  <c r="E154" i="45"/>
  <c r="R156" i="45"/>
  <c r="S156" i="45" s="1"/>
  <c r="T156" i="45" s="1"/>
  <c r="Q156" i="45"/>
  <c r="Q171" i="45"/>
  <c r="E203" i="45"/>
  <c r="E207" i="45"/>
  <c r="E219" i="45"/>
  <c r="E223" i="45"/>
  <c r="E235" i="45"/>
  <c r="F235" i="45" s="1"/>
  <c r="E239" i="45"/>
  <c r="Q308" i="37"/>
  <c r="Q335" i="37"/>
  <c r="H386" i="37"/>
  <c r="L386" i="37"/>
  <c r="Q388" i="37"/>
  <c r="Q389" i="37"/>
  <c r="Q390" i="37"/>
  <c r="Q391" i="37"/>
  <c r="Q392" i="37"/>
  <c r="Q393" i="37"/>
  <c r="Q394" i="37"/>
  <c r="Q395" i="37"/>
  <c r="Q396" i="37"/>
  <c r="Q397" i="37"/>
  <c r="Q398" i="37"/>
  <c r="Q399" i="37"/>
  <c r="F60" i="15"/>
  <c r="I68" i="15"/>
  <c r="H86" i="15"/>
  <c r="H99" i="15"/>
  <c r="H101" i="15"/>
  <c r="H107" i="15"/>
  <c r="G124" i="15"/>
  <c r="H124" i="15"/>
  <c r="H137" i="15"/>
  <c r="S9" i="45"/>
  <c r="R159" i="45"/>
  <c r="S159" i="45" s="1"/>
  <c r="T159" i="45" s="1"/>
  <c r="R170" i="45"/>
  <c r="S170" i="45"/>
  <c r="T170" i="45"/>
  <c r="U170" i="45" s="1"/>
  <c r="V170" i="45" s="1"/>
  <c r="W170" i="45" s="1"/>
  <c r="X170" i="45" s="1"/>
  <c r="Q178" i="45"/>
  <c r="Q263" i="45"/>
  <c r="Q265" i="45"/>
  <c r="R265" i="45"/>
  <c r="S265" i="45" s="1"/>
  <c r="T265" i="45" s="1"/>
  <c r="U265" i="45" s="1"/>
  <c r="V265" i="45" s="1"/>
  <c r="W265" i="45" s="1"/>
  <c r="X265" i="45" s="1"/>
  <c r="E295" i="45"/>
  <c r="P340" i="45"/>
  <c r="P339" i="45" s="1"/>
  <c r="Q341" i="45"/>
  <c r="F312" i="37"/>
  <c r="G312" i="37" s="1"/>
  <c r="H312" i="37" s="1"/>
  <c r="Q329" i="37"/>
  <c r="R329" i="37" s="1"/>
  <c r="S329" i="37" s="1"/>
  <c r="T335" i="37"/>
  <c r="U335" i="37"/>
  <c r="V335" i="37" s="1"/>
  <c r="F337" i="37"/>
  <c r="Q359" i="37"/>
  <c r="R359" i="37"/>
  <c r="S359" i="37"/>
  <c r="T359" i="37" s="1"/>
  <c r="F362" i="37"/>
  <c r="G362" i="37"/>
  <c r="H362" i="37" s="1"/>
  <c r="I362" i="37" s="1"/>
  <c r="J362" i="37" s="1"/>
  <c r="K362" i="37" s="1"/>
  <c r="L362" i="37" s="1"/>
  <c r="M362" i="37" s="1"/>
  <c r="N362" i="37" s="1"/>
  <c r="F367" i="37"/>
  <c r="F373" i="37"/>
  <c r="F384" i="37"/>
  <c r="G384" i="37" s="1"/>
  <c r="H384" i="37" s="1"/>
  <c r="T394" i="37"/>
  <c r="U394" i="37"/>
  <c r="F29" i="15"/>
  <c r="I71" i="15"/>
  <c r="H133" i="15"/>
  <c r="Q27" i="45"/>
  <c r="Q33" i="45"/>
  <c r="Q36" i="45"/>
  <c r="Q114" i="45"/>
  <c r="R114" i="45" s="1"/>
  <c r="Q130" i="45"/>
  <c r="Q131" i="45"/>
  <c r="E139" i="45"/>
  <c r="Q152" i="45"/>
  <c r="Q170" i="45"/>
  <c r="Q185" i="45"/>
  <c r="R185" i="45"/>
  <c r="S185" i="45" s="1"/>
  <c r="T185" i="45" s="1"/>
  <c r="U185" i="45" s="1"/>
  <c r="V185" i="45" s="1"/>
  <c r="W185" i="45" s="1"/>
  <c r="X185" i="45" s="1"/>
  <c r="E300" i="45"/>
  <c r="F300" i="45" s="1"/>
  <c r="G300" i="45" s="1"/>
  <c r="T394" i="45"/>
  <c r="U394" i="45"/>
  <c r="V394" i="45" s="1"/>
  <c r="W394" i="45" s="1"/>
  <c r="X394" i="45" s="1"/>
  <c r="D98" i="45"/>
  <c r="E242" i="45"/>
  <c r="F249" i="45"/>
  <c r="R280" i="45"/>
  <c r="Q280" i="45"/>
  <c r="E303" i="45"/>
  <c r="R262" i="45"/>
  <c r="S262" i="45" s="1"/>
  <c r="T262" i="45" s="1"/>
  <c r="U262" i="45"/>
  <c r="Q273" i="45"/>
  <c r="R273" i="45" s="1"/>
  <c r="S273" i="45" s="1"/>
  <c r="T273" i="45" s="1"/>
  <c r="U273" i="45" s="1"/>
  <c r="Q291" i="45"/>
  <c r="E294" i="45"/>
  <c r="F294" i="45" s="1"/>
  <c r="Q329" i="45"/>
  <c r="R329" i="45"/>
  <c r="S329" i="45"/>
  <c r="T329" i="45" s="1"/>
  <c r="S344" i="45"/>
  <c r="I345" i="45"/>
  <c r="I344" i="45" s="1"/>
  <c r="J344" i="45"/>
  <c r="C345" i="45"/>
  <c r="C344" i="45"/>
  <c r="K345" i="45"/>
  <c r="K344" i="45" s="1"/>
  <c r="T380" i="45"/>
  <c r="U380" i="45"/>
  <c r="G322" i="45"/>
  <c r="G321" i="45" s="1"/>
  <c r="E343" i="45"/>
  <c r="F343" i="45"/>
  <c r="M345" i="45"/>
  <c r="M344" i="45"/>
  <c r="T382" i="45"/>
  <c r="E191" i="45"/>
  <c r="F191" i="45" s="1"/>
  <c r="G191" i="45" s="1"/>
  <c r="H191" i="45" s="1"/>
  <c r="E202" i="45"/>
  <c r="F202" i="45" s="1"/>
  <c r="G202" i="45" s="1"/>
  <c r="H202" i="45" s="1"/>
  <c r="E206" i="45"/>
  <c r="E210" i="45"/>
  <c r="E214" i="45"/>
  <c r="F214" i="45"/>
  <c r="E218" i="45"/>
  <c r="E222" i="45"/>
  <c r="F222" i="45" s="1"/>
  <c r="E224" i="45"/>
  <c r="E226" i="45"/>
  <c r="E230" i="45"/>
  <c r="F230" i="45" s="1"/>
  <c r="E234" i="45"/>
  <c r="F234" i="45" s="1"/>
  <c r="G234" i="45" s="1"/>
  <c r="H234" i="45" s="1"/>
  <c r="E238" i="45"/>
  <c r="E241" i="45"/>
  <c r="F241" i="45" s="1"/>
  <c r="G241" i="45" s="1"/>
  <c r="E245" i="45"/>
  <c r="F245" i="45" s="1"/>
  <c r="Q247" i="45"/>
  <c r="E250" i="45"/>
  <c r="Q254" i="45"/>
  <c r="T257" i="45"/>
  <c r="U257" i="45"/>
  <c r="V257" i="45" s="1"/>
  <c r="R267" i="45"/>
  <c r="S267" i="45" s="1"/>
  <c r="Q270" i="45"/>
  <c r="R270" i="45"/>
  <c r="S270" i="45" s="1"/>
  <c r="T270" i="45" s="1"/>
  <c r="E296" i="45"/>
  <c r="E309" i="45"/>
  <c r="F309" i="45" s="1"/>
  <c r="E314" i="45"/>
  <c r="F314" i="45"/>
  <c r="G314" i="45"/>
  <c r="C322" i="45"/>
  <c r="C321" i="45" s="1"/>
  <c r="Q324" i="45"/>
  <c r="D322" i="45"/>
  <c r="D321" i="45" s="1"/>
  <c r="E345" i="45"/>
  <c r="E344" i="45"/>
  <c r="F344" i="45"/>
  <c r="Q352" i="45"/>
  <c r="T352" i="45"/>
  <c r="Q384" i="45"/>
  <c r="Q389" i="45"/>
  <c r="T390" i="45"/>
  <c r="G345" i="45"/>
  <c r="G344" i="45"/>
  <c r="Q348" i="45"/>
  <c r="K339" i="45"/>
  <c r="Q350" i="45"/>
  <c r="S379" i="45"/>
  <c r="Q382" i="45"/>
  <c r="Q390" i="45"/>
  <c r="Q139" i="37"/>
  <c r="Q160" i="37"/>
  <c r="C323" i="37"/>
  <c r="C322" i="37" s="1"/>
  <c r="F64" i="15"/>
  <c r="I64" i="15"/>
  <c r="Q348" i="37"/>
  <c r="S281" i="37"/>
  <c r="T281" i="37"/>
  <c r="S328" i="37"/>
  <c r="T328" i="37" s="1"/>
  <c r="U328" i="37" s="1"/>
  <c r="G379" i="37"/>
  <c r="S271" i="37"/>
  <c r="T271" i="37" s="1"/>
  <c r="U271" i="37" s="1"/>
  <c r="V271" i="37" s="1"/>
  <c r="W271" i="37" s="1"/>
  <c r="X271" i="37" s="1"/>
  <c r="Q135" i="37"/>
  <c r="Q321" i="37"/>
  <c r="U257" i="37"/>
  <c r="V257" i="37"/>
  <c r="W257" i="37" s="1"/>
  <c r="X257" i="37" s="1"/>
  <c r="Q164" i="37"/>
  <c r="W181" i="35"/>
  <c r="C10" i="45"/>
  <c r="J58" i="35"/>
  <c r="F104" i="35"/>
  <c r="X9" i="45"/>
  <c r="W9" i="45"/>
  <c r="O58" i="35"/>
  <c r="H58" i="35"/>
  <c r="I58" i="35"/>
  <c r="G58" i="35"/>
  <c r="K58" i="35"/>
  <c r="K147" i="35"/>
  <c r="L58" i="35"/>
  <c r="L147" i="35"/>
  <c r="P91" i="35"/>
  <c r="P307" i="16"/>
  <c r="P73" i="39" s="1"/>
  <c r="P72" i="39" s="1"/>
  <c r="P26" i="42" s="1"/>
  <c r="E18" i="39"/>
  <c r="F38" i="39"/>
  <c r="F14" i="42"/>
  <c r="G38" i="39"/>
  <c r="G14" i="42" s="1"/>
  <c r="F17" i="16"/>
  <c r="G18" i="39"/>
  <c r="H18" i="39"/>
  <c r="H38" i="39"/>
  <c r="H14" i="42" s="1"/>
  <c r="I17" i="16"/>
  <c r="I10" i="39" s="1"/>
  <c r="I18" i="39"/>
  <c r="I38" i="39"/>
  <c r="I14" i="42" s="1"/>
  <c r="J18" i="39"/>
  <c r="J38" i="39"/>
  <c r="J14" i="42" s="1"/>
  <c r="K17" i="16"/>
  <c r="K10" i="39" s="1"/>
  <c r="K18" i="39"/>
  <c r="K38" i="39"/>
  <c r="K14" i="42"/>
  <c r="L9" i="39"/>
  <c r="L18" i="39"/>
  <c r="L38" i="39"/>
  <c r="L14" i="42"/>
  <c r="M18" i="39"/>
  <c r="N38" i="39"/>
  <c r="N14" i="42" s="1"/>
  <c r="O18" i="39"/>
  <c r="O38" i="39"/>
  <c r="O14" i="42" s="1"/>
  <c r="P9" i="39"/>
  <c r="P18" i="39"/>
  <c r="P38" i="39"/>
  <c r="P14" i="42" s="1"/>
  <c r="E33" i="42"/>
  <c r="F30" i="42"/>
  <c r="F33" i="42"/>
  <c r="G33" i="42"/>
  <c r="H33" i="42"/>
  <c r="I33" i="42"/>
  <c r="J33" i="42"/>
  <c r="K33" i="42"/>
  <c r="L33" i="42"/>
  <c r="M33" i="42"/>
  <c r="N33" i="42"/>
  <c r="O33" i="42"/>
  <c r="P31" i="42"/>
  <c r="P30" i="42"/>
  <c r="P33" i="42"/>
  <c r="N391" i="16"/>
  <c r="O391" i="16"/>
  <c r="P391" i="16"/>
  <c r="Q168" i="16"/>
  <c r="U168" i="16" s="1"/>
  <c r="U349" i="16"/>
  <c r="O369" i="16"/>
  <c r="U103" i="16"/>
  <c r="E17" i="42"/>
  <c r="E51" i="39"/>
  <c r="E52" i="39"/>
  <c r="E54" i="39"/>
  <c r="E53" i="39" s="1"/>
  <c r="E20" i="42" s="1"/>
  <c r="E41" i="42"/>
  <c r="E42" i="42"/>
  <c r="E43" i="42"/>
  <c r="F43" i="42"/>
  <c r="G43" i="42"/>
  <c r="H43" i="42"/>
  <c r="I43" i="42"/>
  <c r="J43" i="42"/>
  <c r="E13" i="41"/>
  <c r="E11" i="41" s="1"/>
  <c r="E56" i="42"/>
  <c r="F56" i="42"/>
  <c r="G56" i="42"/>
  <c r="H56" i="42"/>
  <c r="I56" i="42"/>
  <c r="J56" i="42"/>
  <c r="K56" i="42"/>
  <c r="L56" i="42"/>
  <c r="M56" i="42"/>
  <c r="N56" i="42"/>
  <c r="O56" i="42"/>
  <c r="P56" i="42"/>
  <c r="E57" i="42"/>
  <c r="F57" i="42"/>
  <c r="G57" i="42"/>
  <c r="E58" i="42"/>
  <c r="F17" i="42"/>
  <c r="F51" i="39"/>
  <c r="F52" i="39"/>
  <c r="F54" i="39"/>
  <c r="F41" i="42"/>
  <c r="F42" i="42"/>
  <c r="F13" i="41"/>
  <c r="F58" i="42"/>
  <c r="G17" i="42"/>
  <c r="G51" i="39"/>
  <c r="G52" i="39"/>
  <c r="G54" i="39"/>
  <c r="G41" i="42"/>
  <c r="G42" i="42"/>
  <c r="G13" i="41"/>
  <c r="G58" i="42"/>
  <c r="H17" i="42"/>
  <c r="H51" i="39"/>
  <c r="H52" i="39"/>
  <c r="H54" i="39"/>
  <c r="H53" i="39" s="1"/>
  <c r="H20" i="42" s="1"/>
  <c r="H41" i="42"/>
  <c r="H42" i="42"/>
  <c r="H13" i="41"/>
  <c r="H57" i="42"/>
  <c r="H58" i="42"/>
  <c r="I58" i="42"/>
  <c r="J58" i="42"/>
  <c r="K58" i="42"/>
  <c r="L58" i="42"/>
  <c r="M58" i="42"/>
  <c r="N58" i="42"/>
  <c r="O58" i="42"/>
  <c r="P58" i="42"/>
  <c r="I17" i="42"/>
  <c r="I15" i="42"/>
  <c r="I52" i="39"/>
  <c r="I54" i="39"/>
  <c r="I53" i="39"/>
  <c r="I20" i="42" s="1"/>
  <c r="I41" i="42"/>
  <c r="I42" i="42"/>
  <c r="I13" i="41"/>
  <c r="I11" i="41" s="1"/>
  <c r="I57" i="42"/>
  <c r="J17" i="42"/>
  <c r="J15" i="42" s="1"/>
  <c r="J51" i="39"/>
  <c r="J52" i="39"/>
  <c r="J50" i="39" s="1"/>
  <c r="J54" i="39"/>
  <c r="J41" i="42"/>
  <c r="J42" i="42"/>
  <c r="J13" i="41"/>
  <c r="J57" i="42"/>
  <c r="K17" i="42"/>
  <c r="K15" i="42" s="1"/>
  <c r="K51" i="39"/>
  <c r="K52" i="39"/>
  <c r="K54" i="39"/>
  <c r="K53" i="39" s="1"/>
  <c r="K20" i="42" s="1"/>
  <c r="K41" i="42"/>
  <c r="K42" i="42"/>
  <c r="L42" i="42"/>
  <c r="M42" i="42"/>
  <c r="N42" i="42"/>
  <c r="O42" i="42"/>
  <c r="P42" i="42"/>
  <c r="K43" i="42"/>
  <c r="K13" i="41"/>
  <c r="K57" i="42"/>
  <c r="L17" i="42"/>
  <c r="L15" i="42"/>
  <c r="L51" i="39"/>
  <c r="L52" i="39"/>
  <c r="L50" i="39" s="1"/>
  <c r="L54" i="39"/>
  <c r="L53" i="39"/>
  <c r="L20" i="42" s="1"/>
  <c r="L41" i="42"/>
  <c r="L43" i="42"/>
  <c r="L13" i="41"/>
  <c r="L57" i="42"/>
  <c r="M17" i="42"/>
  <c r="M15" i="42" s="1"/>
  <c r="M51" i="39"/>
  <c r="M52" i="39"/>
  <c r="M50" i="39"/>
  <c r="M19" i="42" s="1"/>
  <c r="M54" i="39"/>
  <c r="M41" i="42"/>
  <c r="M43" i="42"/>
  <c r="M13" i="41"/>
  <c r="M11" i="41" s="1"/>
  <c r="M57" i="42"/>
  <c r="N16" i="42"/>
  <c r="N15" i="42" s="1"/>
  <c r="N17" i="42"/>
  <c r="N51" i="39"/>
  <c r="N52" i="39"/>
  <c r="N54" i="39"/>
  <c r="N41" i="42"/>
  <c r="N43" i="42"/>
  <c r="N13" i="41"/>
  <c r="N11" i="41" s="1"/>
  <c r="N57" i="42"/>
  <c r="O16" i="42"/>
  <c r="O17" i="42"/>
  <c r="O51" i="39"/>
  <c r="O52" i="39"/>
  <c r="O54" i="39"/>
  <c r="O55" i="39"/>
  <c r="O41" i="42"/>
  <c r="O43" i="42"/>
  <c r="O13" i="41"/>
  <c r="O11" i="41"/>
  <c r="O57" i="42"/>
  <c r="P16" i="42"/>
  <c r="P17" i="42"/>
  <c r="P51" i="39"/>
  <c r="P52" i="39"/>
  <c r="P54" i="39"/>
  <c r="P55" i="39"/>
  <c r="P41" i="42"/>
  <c r="P43" i="42"/>
  <c r="P13" i="41"/>
  <c r="P57" i="42"/>
  <c r="E390" i="16"/>
  <c r="F390" i="16"/>
  <c r="G390" i="16"/>
  <c r="H390" i="16"/>
  <c r="I390" i="16"/>
  <c r="K390" i="16"/>
  <c r="N390" i="16"/>
  <c r="O390" i="16"/>
  <c r="P390" i="16"/>
  <c r="O389" i="16"/>
  <c r="E15" i="41"/>
  <c r="I15" i="41"/>
  <c r="N15" i="41"/>
  <c r="U32" i="42"/>
  <c r="U52" i="42"/>
  <c r="J17" i="16"/>
  <c r="P149" i="35"/>
  <c r="P147" i="35" s="1"/>
  <c r="P218" i="35"/>
  <c r="P220" i="35"/>
  <c r="P344" i="16"/>
  <c r="P389" i="16" s="1"/>
  <c r="P10" i="40"/>
  <c r="P34" i="42" s="1"/>
  <c r="D45" i="23"/>
  <c r="D50" i="23" s="1"/>
  <c r="E45" i="23"/>
  <c r="E50" i="23"/>
  <c r="F46" i="18"/>
  <c r="F45" i="23"/>
  <c r="F50" i="23" s="1"/>
  <c r="G30" i="18"/>
  <c r="G46" i="18"/>
  <c r="G86" i="18"/>
  <c r="G109" i="18" s="1"/>
  <c r="G45" i="23"/>
  <c r="G50" i="23" s="1"/>
  <c r="H9" i="18"/>
  <c r="H58" i="18" s="1"/>
  <c r="H121" i="18" s="1"/>
  <c r="H30" i="18"/>
  <c r="H46" i="18"/>
  <c r="H86" i="18"/>
  <c r="H109" i="18"/>
  <c r="H45" i="23"/>
  <c r="H50" i="23" s="1"/>
  <c r="I45" i="23"/>
  <c r="I50" i="23" s="1"/>
  <c r="J45" i="23"/>
  <c r="J50" i="23"/>
  <c r="J58" i="23" s="1"/>
  <c r="L385" i="16"/>
  <c r="M234" i="35" s="1"/>
  <c r="K45" i="23"/>
  <c r="K50" i="23"/>
  <c r="L45" i="23"/>
  <c r="L50" i="23"/>
  <c r="L58" i="23" s="1"/>
  <c r="N385" i="16"/>
  <c r="N59" i="18"/>
  <c r="N46" i="18"/>
  <c r="N58" i="18"/>
  <c r="N17" i="45"/>
  <c r="M45" i="23"/>
  <c r="M50" i="23"/>
  <c r="M58" i="23" s="1"/>
  <c r="O385" i="16"/>
  <c r="P234" i="35" s="1"/>
  <c r="O59" i="18"/>
  <c r="O109" i="18" s="1"/>
  <c r="O18" i="45" s="1"/>
  <c r="O86" i="18"/>
  <c r="O9" i="18"/>
  <c r="O46" i="18"/>
  <c r="N45" i="23"/>
  <c r="N50" i="23"/>
  <c r="N58" i="23" s="1"/>
  <c r="F321" i="45"/>
  <c r="H18" i="45"/>
  <c r="I322" i="45"/>
  <c r="I321" i="45" s="1"/>
  <c r="K322" i="45"/>
  <c r="K321" i="45"/>
  <c r="M322" i="45"/>
  <c r="M321" i="45"/>
  <c r="O28" i="45"/>
  <c r="O322" i="45"/>
  <c r="O339" i="45"/>
  <c r="O321" i="45"/>
  <c r="O345" i="45"/>
  <c r="O344" i="45" s="1"/>
  <c r="G82" i="15"/>
  <c r="G81" i="15"/>
  <c r="G80" i="15" s="1"/>
  <c r="H80" i="15" s="1"/>
  <c r="G351" i="37"/>
  <c r="H322" i="37"/>
  <c r="H351" i="37"/>
  <c r="I351" i="37"/>
  <c r="J351" i="37"/>
  <c r="K351" i="37"/>
  <c r="L351" i="37"/>
  <c r="M322" i="37"/>
  <c r="M351" i="37"/>
  <c r="N29" i="37"/>
  <c r="N351" i="37"/>
  <c r="Q375" i="16"/>
  <c r="U375" i="16"/>
  <c r="M9" i="37"/>
  <c r="Q403" i="37"/>
  <c r="I384" i="37"/>
  <c r="J384" i="37" s="1"/>
  <c r="K384" i="37" s="1"/>
  <c r="L384" i="37" s="1"/>
  <c r="M384" i="37" s="1"/>
  <c r="N384" i="37" s="1"/>
  <c r="U164" i="37"/>
  <c r="R132" i="37"/>
  <c r="R133" i="37"/>
  <c r="S133" i="37" s="1"/>
  <c r="R136" i="37"/>
  <c r="R137" i="37"/>
  <c r="S137" i="37"/>
  <c r="T137" i="37"/>
  <c r="U137" i="37" s="1"/>
  <c r="R138" i="37"/>
  <c r="R153" i="37"/>
  <c r="R152" i="37"/>
  <c r="S152" i="37"/>
  <c r="T152" i="37" s="1"/>
  <c r="R158" i="37"/>
  <c r="R161" i="37"/>
  <c r="R159" i="37"/>
  <c r="S159" i="37"/>
  <c r="T159" i="37" s="1"/>
  <c r="U159" i="37" s="1"/>
  <c r="V159" i="37" s="1"/>
  <c r="W159" i="37" s="1"/>
  <c r="X159" i="37" s="1"/>
  <c r="R163" i="37"/>
  <c r="S163" i="37"/>
  <c r="R166" i="37"/>
  <c r="R168" i="37"/>
  <c r="R170" i="37"/>
  <c r="R171" i="37"/>
  <c r="R172" i="37"/>
  <c r="U160" i="37"/>
  <c r="T135" i="37"/>
  <c r="U135" i="37" s="1"/>
  <c r="V135" i="37" s="1"/>
  <c r="W135" i="37"/>
  <c r="X135" i="37" s="1"/>
  <c r="P177" i="45"/>
  <c r="V328" i="37"/>
  <c r="U329" i="45"/>
  <c r="V329" i="45" s="1"/>
  <c r="W329" i="45" s="1"/>
  <c r="X329" i="45" s="1"/>
  <c r="U138" i="45"/>
  <c r="V138" i="45" s="1"/>
  <c r="W138" i="45" s="1"/>
  <c r="X138" i="45" s="1"/>
  <c r="P346" i="45"/>
  <c r="T386" i="37"/>
  <c r="U386" i="37"/>
  <c r="V386" i="37"/>
  <c r="X292" i="37"/>
  <c r="H379" i="37"/>
  <c r="I379" i="37" s="1"/>
  <c r="J379" i="37" s="1"/>
  <c r="K379" i="37" s="1"/>
  <c r="U358" i="37"/>
  <c r="U278" i="37"/>
  <c r="V278" i="37"/>
  <c r="S161" i="37"/>
  <c r="T161" i="37"/>
  <c r="G123" i="37"/>
  <c r="H123" i="37" s="1"/>
  <c r="I123" i="37" s="1"/>
  <c r="J123" i="37"/>
  <c r="K123" i="37" s="1"/>
  <c r="L123" i="37" s="1"/>
  <c r="M123" i="37" s="1"/>
  <c r="G367" i="37"/>
  <c r="H367" i="37" s="1"/>
  <c r="T344" i="45"/>
  <c r="U344" i="45"/>
  <c r="V344" i="45"/>
  <c r="U388" i="37"/>
  <c r="V388" i="37" s="1"/>
  <c r="G148" i="37"/>
  <c r="H148" i="37" s="1"/>
  <c r="I148" i="37" s="1"/>
  <c r="F217" i="45"/>
  <c r="G217" i="45" s="1"/>
  <c r="H217" i="45" s="1"/>
  <c r="T282" i="45"/>
  <c r="G385" i="37"/>
  <c r="H385" i="37" s="1"/>
  <c r="I385" i="37"/>
  <c r="J385" i="37" s="1"/>
  <c r="K385" i="37" s="1"/>
  <c r="L385" i="37" s="1"/>
  <c r="M385" i="37" s="1"/>
  <c r="N385" i="37" s="1"/>
  <c r="S166" i="37"/>
  <c r="T166" i="37" s="1"/>
  <c r="S168" i="37"/>
  <c r="G304" i="37"/>
  <c r="F242" i="45"/>
  <c r="H317" i="37"/>
  <c r="I317" i="37" s="1"/>
  <c r="U398" i="37"/>
  <c r="V398" i="37"/>
  <c r="W398" i="37" s="1"/>
  <c r="X398" i="37" s="1"/>
  <c r="U270" i="45"/>
  <c r="F210" i="45"/>
  <c r="F243" i="45"/>
  <c r="T266" i="37"/>
  <c r="U266" i="37" s="1"/>
  <c r="V266" i="37" s="1"/>
  <c r="W266" i="37" s="1"/>
  <c r="X266" i="37" s="1"/>
  <c r="G125" i="37"/>
  <c r="H125" i="37"/>
  <c r="I125" i="37" s="1"/>
  <c r="J125" i="37"/>
  <c r="K125" i="37" s="1"/>
  <c r="L125" i="37" s="1"/>
  <c r="M125" i="37" s="1"/>
  <c r="R341" i="45"/>
  <c r="S114" i="45"/>
  <c r="T114" i="45" s="1"/>
  <c r="U114" i="45" s="1"/>
  <c r="V114" i="45" s="1"/>
  <c r="W114" i="45"/>
  <c r="X114" i="45" s="1"/>
  <c r="Q189" i="37"/>
  <c r="R189" i="37" s="1"/>
  <c r="S189" i="37" s="1"/>
  <c r="R178" i="37"/>
  <c r="S178" i="37" s="1"/>
  <c r="T178" i="37" s="1"/>
  <c r="U178" i="37" s="1"/>
  <c r="V178" i="37" s="1"/>
  <c r="W178" i="37" s="1"/>
  <c r="X178" i="37" s="1"/>
  <c r="P247" i="37"/>
  <c r="Q247" i="37"/>
  <c r="R247" i="37" s="1"/>
  <c r="S247" i="37" s="1"/>
  <c r="T247" i="37" s="1"/>
  <c r="U247" i="37"/>
  <c r="V247" i="37" s="1"/>
  <c r="W247" i="37" s="1"/>
  <c r="X247" i="37" s="1"/>
  <c r="G119" i="37"/>
  <c r="R160" i="45"/>
  <c r="G204" i="45"/>
  <c r="H204" i="45" s="1"/>
  <c r="V394" i="37"/>
  <c r="F206" i="45"/>
  <c r="G206" i="45"/>
  <c r="H206" i="45" s="1"/>
  <c r="G206" i="37"/>
  <c r="H206" i="37"/>
  <c r="Q101" i="37"/>
  <c r="R101" i="37"/>
  <c r="S101" i="37" s="1"/>
  <c r="Q102" i="37"/>
  <c r="R102" i="37"/>
  <c r="S102" i="37" s="1"/>
  <c r="T102" i="37" s="1"/>
  <c r="H233" i="45"/>
  <c r="T387" i="37"/>
  <c r="U387" i="37"/>
  <c r="G238" i="37"/>
  <c r="H238" i="37"/>
  <c r="I238" i="37" s="1"/>
  <c r="J238" i="37" s="1"/>
  <c r="K238" i="37" s="1"/>
  <c r="L238" i="37" s="1"/>
  <c r="M238" i="37" s="1"/>
  <c r="N238" i="37" s="1"/>
  <c r="H215" i="37"/>
  <c r="F205" i="45"/>
  <c r="G205" i="45"/>
  <c r="T352" i="37"/>
  <c r="U352" i="37"/>
  <c r="V352" i="37" s="1"/>
  <c r="R152" i="45"/>
  <c r="S136" i="37"/>
  <c r="T136" i="37"/>
  <c r="U136" i="37" s="1"/>
  <c r="V136" i="37" s="1"/>
  <c r="W136" i="37" s="1"/>
  <c r="X136" i="37"/>
  <c r="G218" i="37"/>
  <c r="H218" i="37"/>
  <c r="S325" i="37"/>
  <c r="T325" i="37" s="1"/>
  <c r="U179" i="37"/>
  <c r="V179" i="37" s="1"/>
  <c r="F229" i="45"/>
  <c r="G229" i="45" s="1"/>
  <c r="H229" i="45" s="1"/>
  <c r="G120" i="45"/>
  <c r="H120" i="45"/>
  <c r="F227" i="45"/>
  <c r="G227" i="45"/>
  <c r="H227" i="45" s="1"/>
  <c r="V380" i="45"/>
  <c r="V350" i="45"/>
  <c r="W350" i="45"/>
  <c r="X350" i="45" s="1"/>
  <c r="H375" i="37"/>
  <c r="I375" i="37" s="1"/>
  <c r="J375" i="37" s="1"/>
  <c r="K375" i="37" s="1"/>
  <c r="L375" i="37"/>
  <c r="M375" i="37" s="1"/>
  <c r="N375" i="37" s="1"/>
  <c r="T267" i="45"/>
  <c r="U267" i="45" s="1"/>
  <c r="V267" i="45" s="1"/>
  <c r="W267" i="45" s="1"/>
  <c r="X267" i="45" s="1"/>
  <c r="P324" i="37"/>
  <c r="Q324" i="37"/>
  <c r="T292" i="45"/>
  <c r="U292" i="45"/>
  <c r="V292" i="45" s="1"/>
  <c r="W292" i="45" s="1"/>
  <c r="X292" i="45" s="1"/>
  <c r="U384" i="45"/>
  <c r="V384" i="45" s="1"/>
  <c r="W384" i="45" s="1"/>
  <c r="X384" i="45" s="1"/>
  <c r="T293" i="37"/>
  <c r="H314" i="37"/>
  <c r="I314" i="37"/>
  <c r="P228" i="45"/>
  <c r="T284" i="37"/>
  <c r="U284" i="37" s="1"/>
  <c r="V284" i="37" s="1"/>
  <c r="W284" i="37" s="1"/>
  <c r="X284" i="37" s="1"/>
  <c r="H366" i="37"/>
  <c r="I366" i="37"/>
  <c r="J366" i="37" s="1"/>
  <c r="K366" i="37"/>
  <c r="L366" i="37" s="1"/>
  <c r="M366" i="37" s="1"/>
  <c r="N366" i="37" s="1"/>
  <c r="T269" i="45"/>
  <c r="U269" i="45" s="1"/>
  <c r="V269" i="45" s="1"/>
  <c r="W269" i="45" s="1"/>
  <c r="X269" i="45"/>
  <c r="G231" i="45"/>
  <c r="H231" i="45"/>
  <c r="P231" i="45" s="1"/>
  <c r="U253" i="45"/>
  <c r="V253" i="45" s="1"/>
  <c r="W253" i="45" s="1"/>
  <c r="X253" i="45" s="1"/>
  <c r="H234" i="37"/>
  <c r="I234" i="37" s="1"/>
  <c r="J234" i="37" s="1"/>
  <c r="K234" i="37" s="1"/>
  <c r="L234" i="37" s="1"/>
  <c r="M234" i="37" s="1"/>
  <c r="N234" i="37" s="1"/>
  <c r="F295" i="45"/>
  <c r="G295" i="45"/>
  <c r="H295" i="45" s="1"/>
  <c r="F118" i="45"/>
  <c r="G118" i="45" s="1"/>
  <c r="H118" i="45" s="1"/>
  <c r="F213" i="45"/>
  <c r="G213" i="45"/>
  <c r="H213" i="45" s="1"/>
  <c r="F211" i="45"/>
  <c r="G211" i="45" s="1"/>
  <c r="H211" i="45" s="1"/>
  <c r="U390" i="45"/>
  <c r="V390" i="45"/>
  <c r="G235" i="45"/>
  <c r="H235" i="45"/>
  <c r="U118" i="37"/>
  <c r="V118" i="37" s="1"/>
  <c r="W118" i="37" s="1"/>
  <c r="X118" i="37" s="1"/>
  <c r="G343" i="45"/>
  <c r="F218" i="45"/>
  <c r="G218" i="45"/>
  <c r="H218" i="45" s="1"/>
  <c r="P218" i="45"/>
  <c r="Q218" i="45" s="1"/>
  <c r="R218" i="45" s="1"/>
  <c r="V385" i="45"/>
  <c r="W385" i="45"/>
  <c r="X385" i="45" s="1"/>
  <c r="F238" i="45"/>
  <c r="G238" i="45" s="1"/>
  <c r="H238" i="45" s="1"/>
  <c r="S289" i="37"/>
  <c r="T289" i="37"/>
  <c r="U289" i="37" s="1"/>
  <c r="V289" i="37" s="1"/>
  <c r="W289" i="37" s="1"/>
  <c r="X289" i="37"/>
  <c r="U396" i="37"/>
  <c r="V396" i="37"/>
  <c r="W396" i="37" s="1"/>
  <c r="X396" i="37" s="1"/>
  <c r="F232" i="45"/>
  <c r="G232" i="45"/>
  <c r="H232" i="45" s="1"/>
  <c r="T255" i="45"/>
  <c r="U291" i="45"/>
  <c r="G230" i="45"/>
  <c r="U269" i="37"/>
  <c r="V269" i="37" s="1"/>
  <c r="G175" i="37"/>
  <c r="J363" i="37"/>
  <c r="J227" i="37"/>
  <c r="K227" i="37" s="1"/>
  <c r="L227" i="37" s="1"/>
  <c r="M227" i="37" s="1"/>
  <c r="N227" i="37"/>
  <c r="T287" i="37"/>
  <c r="U287" i="37"/>
  <c r="T182" i="45"/>
  <c r="U182" i="45"/>
  <c r="T391" i="37"/>
  <c r="U391" i="37"/>
  <c r="G249" i="45"/>
  <c r="H249" i="45"/>
  <c r="P249" i="45" s="1"/>
  <c r="Q249" i="45" s="1"/>
  <c r="U332" i="45"/>
  <c r="V332" i="45" s="1"/>
  <c r="W332" i="45"/>
  <c r="X332" i="45" s="1"/>
  <c r="T131" i="37"/>
  <c r="U131" i="37" s="1"/>
  <c r="V131" i="37"/>
  <c r="W131" i="37" s="1"/>
  <c r="X131" i="37" s="1"/>
  <c r="F221" i="45"/>
  <c r="G221" i="45"/>
  <c r="H221" i="45" s="1"/>
  <c r="R130" i="45"/>
  <c r="S130" i="45" s="1"/>
  <c r="R167" i="45"/>
  <c r="S167" i="45"/>
  <c r="R171" i="45"/>
  <c r="S171" i="45"/>
  <c r="T171" i="45" s="1"/>
  <c r="U171" i="45" s="1"/>
  <c r="U260" i="37"/>
  <c r="V260" i="37"/>
  <c r="W260" i="37" s="1"/>
  <c r="X260" i="37"/>
  <c r="W132" i="45"/>
  <c r="X132" i="45" s="1"/>
  <c r="T389" i="37"/>
  <c r="U389" i="37" s="1"/>
  <c r="V389" i="37" s="1"/>
  <c r="W389" i="37" s="1"/>
  <c r="X389" i="37" s="1"/>
  <c r="T336" i="37"/>
  <c r="U336" i="37"/>
  <c r="V336" i="37" s="1"/>
  <c r="W336" i="37" s="1"/>
  <c r="X336" i="37" s="1"/>
  <c r="U352" i="45"/>
  <c r="V352" i="45" s="1"/>
  <c r="U255" i="37"/>
  <c r="V255" i="37" s="1"/>
  <c r="G243" i="37"/>
  <c r="H243" i="37" s="1"/>
  <c r="I243" i="37" s="1"/>
  <c r="J243" i="37" s="1"/>
  <c r="K243" i="37" s="1"/>
  <c r="L243" i="37" s="1"/>
  <c r="M243" i="37" s="1"/>
  <c r="N243" i="37" s="1"/>
  <c r="T286" i="37"/>
  <c r="U286" i="37" s="1"/>
  <c r="V286" i="37" s="1"/>
  <c r="W286" i="37" s="1"/>
  <c r="X286" i="37" s="1"/>
  <c r="U390" i="37"/>
  <c r="V390" i="37"/>
  <c r="W390" i="37" s="1"/>
  <c r="X390" i="37"/>
  <c r="U382" i="45"/>
  <c r="V382" i="45"/>
  <c r="W382" i="45" s="1"/>
  <c r="X382" i="45" s="1"/>
  <c r="R115" i="45"/>
  <c r="T107" i="37"/>
  <c r="U107" i="37"/>
  <c r="U140" i="37"/>
  <c r="V140" i="37" s="1"/>
  <c r="W140" i="37" s="1"/>
  <c r="X140" i="37" s="1"/>
  <c r="G121" i="37"/>
  <c r="G373" i="37"/>
  <c r="H373" i="37"/>
  <c r="H316" i="37"/>
  <c r="T268" i="45"/>
  <c r="U268" i="45"/>
  <c r="R320" i="45"/>
  <c r="R319" i="45"/>
  <c r="U392" i="37"/>
  <c r="V392" i="37"/>
  <c r="F139" i="45"/>
  <c r="T260" i="45"/>
  <c r="U260" i="45" s="1"/>
  <c r="V260" i="45" s="1"/>
  <c r="W260" i="45" s="1"/>
  <c r="X260" i="45" s="1"/>
  <c r="U308" i="37"/>
  <c r="V308" i="37"/>
  <c r="U348" i="45"/>
  <c r="V348" i="45"/>
  <c r="W348" i="45" s="1"/>
  <c r="X348" i="45" s="1"/>
  <c r="G337" i="37"/>
  <c r="F97" i="45"/>
  <c r="G97" i="45" s="1"/>
  <c r="H97" i="45" s="1"/>
  <c r="R97" i="45" s="1"/>
  <c r="F208" i="45"/>
  <c r="W261" i="37"/>
  <c r="F201" i="45"/>
  <c r="G302" i="37"/>
  <c r="H302" i="37" s="1"/>
  <c r="I302" i="37" s="1"/>
  <c r="F215" i="45"/>
  <c r="G215" i="45"/>
  <c r="T395" i="37"/>
  <c r="U395" i="37"/>
  <c r="V395" i="37" s="1"/>
  <c r="W395" i="37" s="1"/>
  <c r="X395" i="37" s="1"/>
  <c r="T105" i="37"/>
  <c r="U105" i="37" s="1"/>
  <c r="V105" i="37" s="1"/>
  <c r="W105" i="37" s="1"/>
  <c r="X105" i="37" s="1"/>
  <c r="G120" i="37"/>
  <c r="H120" i="37"/>
  <c r="G199" i="37"/>
  <c r="H199" i="37"/>
  <c r="F237" i="45"/>
  <c r="F219" i="45"/>
  <c r="G122" i="37"/>
  <c r="H122" i="37"/>
  <c r="I122" i="37" s="1"/>
  <c r="J122" i="37" s="1"/>
  <c r="G369" i="37"/>
  <c r="H369" i="37"/>
  <c r="T397" i="37"/>
  <c r="U397" i="37"/>
  <c r="V397" i="37" s="1"/>
  <c r="W397" i="37" s="1"/>
  <c r="X397" i="37" s="1"/>
  <c r="V389" i="45"/>
  <c r="G189" i="45"/>
  <c r="H189" i="45"/>
  <c r="P189" i="45" s="1"/>
  <c r="Q189" i="45" s="1"/>
  <c r="R189" i="45" s="1"/>
  <c r="S189" i="45" s="1"/>
  <c r="T189" i="45" s="1"/>
  <c r="U189" i="45"/>
  <c r="V189" i="45" s="1"/>
  <c r="W189" i="45" s="1"/>
  <c r="X189" i="45" s="1"/>
  <c r="U256" i="37"/>
  <c r="V256" i="37" s="1"/>
  <c r="F203" i="45"/>
  <c r="G203" i="45" s="1"/>
  <c r="F375" i="45"/>
  <c r="F363" i="45"/>
  <c r="F368" i="45"/>
  <c r="T345" i="45"/>
  <c r="Q339" i="45"/>
  <c r="R331" i="45"/>
  <c r="R323" i="45"/>
  <c r="G310" i="45"/>
  <c r="H310" i="45"/>
  <c r="P310" i="45" s="1"/>
  <c r="Q310" i="45" s="1"/>
  <c r="T289" i="45"/>
  <c r="U289" i="45" s="1"/>
  <c r="V289" i="45" s="1"/>
  <c r="W289" i="45" s="1"/>
  <c r="X289" i="45" s="1"/>
  <c r="F370" i="45"/>
  <c r="G370" i="45"/>
  <c r="H370" i="45" s="1"/>
  <c r="T272" i="45"/>
  <c r="U272" i="45"/>
  <c r="V272" i="45" s="1"/>
  <c r="W272" i="45"/>
  <c r="X272" i="45" s="1"/>
  <c r="H300" i="45"/>
  <c r="S131" i="45"/>
  <c r="T131" i="45"/>
  <c r="U131" i="45" s="1"/>
  <c r="V131" i="45" s="1"/>
  <c r="W131" i="45" s="1"/>
  <c r="X131" i="45"/>
  <c r="Q188" i="45"/>
  <c r="R188" i="45"/>
  <c r="R177" i="45" s="1"/>
  <c r="G298" i="37"/>
  <c r="P263" i="37"/>
  <c r="Q263" i="37"/>
  <c r="T111" i="45"/>
  <c r="H310" i="37"/>
  <c r="T277" i="37"/>
  <c r="U277" i="37" s="1"/>
  <c r="V277" i="37" s="1"/>
  <c r="W277" i="37" s="1"/>
  <c r="X277" i="37" s="1"/>
  <c r="G306" i="37"/>
  <c r="G235" i="37"/>
  <c r="H235" i="37" s="1"/>
  <c r="U333" i="37"/>
  <c r="V333" i="37" s="1"/>
  <c r="G124" i="37"/>
  <c r="H204" i="37"/>
  <c r="T272" i="37"/>
  <c r="U272" i="37"/>
  <c r="V272" i="37" s="1"/>
  <c r="W272" i="37" s="1"/>
  <c r="X272" i="37" s="1"/>
  <c r="U112" i="37"/>
  <c r="V112" i="37" s="1"/>
  <c r="W112" i="37" s="1"/>
  <c r="X112" i="37" s="1"/>
  <c r="V387" i="45"/>
  <c r="W387" i="45" s="1"/>
  <c r="U307" i="45"/>
  <c r="V307" i="45" s="1"/>
  <c r="R285" i="45"/>
  <c r="T324" i="45"/>
  <c r="U324" i="45" s="1"/>
  <c r="U388" i="45"/>
  <c r="V388" i="45" s="1"/>
  <c r="W388" i="45" s="1"/>
  <c r="X388" i="45" s="1"/>
  <c r="F364" i="45"/>
  <c r="T327" i="45"/>
  <c r="U327" i="45"/>
  <c r="T259" i="45"/>
  <c r="U259" i="45"/>
  <c r="V259" i="45" s="1"/>
  <c r="W259" i="45" s="1"/>
  <c r="X259" i="45" s="1"/>
  <c r="T349" i="45"/>
  <c r="U349" i="45" s="1"/>
  <c r="V349" i="45" s="1"/>
  <c r="W349" i="45" s="1"/>
  <c r="X349" i="45" s="1"/>
  <c r="S393" i="45"/>
  <c r="T393" i="45"/>
  <c r="U393" i="45" s="1"/>
  <c r="P380" i="45"/>
  <c r="P379" i="45" s="1"/>
  <c r="Q379" i="45" s="1"/>
  <c r="T379" i="45"/>
  <c r="U379" i="45"/>
  <c r="V379" i="45" s="1"/>
  <c r="W379" i="45"/>
  <c r="X379" i="45" s="1"/>
  <c r="Q100" i="45"/>
  <c r="R100" i="45" s="1"/>
  <c r="Q101" i="45"/>
  <c r="R101" i="45" s="1"/>
  <c r="S101" i="45" s="1"/>
  <c r="T101" i="45" s="1"/>
  <c r="U101" i="45" s="1"/>
  <c r="F193" i="45"/>
  <c r="G153" i="45"/>
  <c r="H319" i="37"/>
  <c r="I319" i="37"/>
  <c r="P319" i="37" s="1"/>
  <c r="Q319" i="37" s="1"/>
  <c r="R319" i="37" s="1"/>
  <c r="T262" i="37"/>
  <c r="U262" i="37" s="1"/>
  <c r="V262" i="37" s="1"/>
  <c r="W262" i="37" s="1"/>
  <c r="X262" i="37" s="1"/>
  <c r="G211" i="37"/>
  <c r="H211" i="37"/>
  <c r="G195" i="37"/>
  <c r="H195" i="37"/>
  <c r="R144" i="37"/>
  <c r="Q113" i="37"/>
  <c r="R113" i="37" s="1"/>
  <c r="S113" i="37" s="1"/>
  <c r="T113" i="37" s="1"/>
  <c r="U113" i="37" s="1"/>
  <c r="V113" i="37" s="1"/>
  <c r="W113" i="37"/>
  <c r="X113" i="37" s="1"/>
  <c r="Q22" i="37"/>
  <c r="U258" i="37"/>
  <c r="V258" i="37"/>
  <c r="W258" i="37" s="1"/>
  <c r="X258" i="37" s="1"/>
  <c r="H372" i="37"/>
  <c r="P159" i="37"/>
  <c r="Q159" i="37" s="1"/>
  <c r="S172" i="37"/>
  <c r="F251" i="37"/>
  <c r="G202" i="37"/>
  <c r="H202" i="37" s="1"/>
  <c r="F377" i="45"/>
  <c r="G377" i="45" s="1"/>
  <c r="F373" i="45"/>
  <c r="G373" i="45" s="1"/>
  <c r="F369" i="45"/>
  <c r="G369" i="45" s="1"/>
  <c r="F365" i="45"/>
  <c r="G365" i="45" s="1"/>
  <c r="F361" i="45"/>
  <c r="G361" i="45" s="1"/>
  <c r="F357" i="45"/>
  <c r="G357" i="45" s="1"/>
  <c r="F353" i="45"/>
  <c r="G353" i="45" s="1"/>
  <c r="F315" i="45"/>
  <c r="G315" i="45" s="1"/>
  <c r="V381" i="45"/>
  <c r="F376" i="45"/>
  <c r="G376" i="45"/>
  <c r="F360" i="45"/>
  <c r="G360" i="45"/>
  <c r="V333" i="45"/>
  <c r="W333" i="45"/>
  <c r="U391" i="45"/>
  <c r="V391" i="45"/>
  <c r="F362" i="45"/>
  <c r="G362" i="45"/>
  <c r="U275" i="45"/>
  <c r="V275" i="45" s="1"/>
  <c r="W275" i="45" s="1"/>
  <c r="X275" i="45" s="1"/>
  <c r="F192" i="45"/>
  <c r="G192" i="45" s="1"/>
  <c r="H192" i="45" s="1"/>
  <c r="T103" i="45"/>
  <c r="U103" i="45"/>
  <c r="V103" i="45" s="1"/>
  <c r="W103" i="45" s="1"/>
  <c r="X103" i="45" s="1"/>
  <c r="T164" i="45"/>
  <c r="U164" i="45" s="1"/>
  <c r="V164" i="45" s="1"/>
  <c r="W164" i="45" s="1"/>
  <c r="X164" i="45" s="1"/>
  <c r="V351" i="37"/>
  <c r="F198" i="45"/>
  <c r="G198" i="45" s="1"/>
  <c r="Q151" i="45"/>
  <c r="G294" i="37"/>
  <c r="H294" i="37"/>
  <c r="V259" i="37"/>
  <c r="W259" i="37"/>
  <c r="G381" i="37"/>
  <c r="S158" i="37"/>
  <c r="T158" i="37" s="1"/>
  <c r="U158" i="37" s="1"/>
  <c r="V158" i="37" s="1"/>
  <c r="W158" i="37" s="1"/>
  <c r="X158" i="37" s="1"/>
  <c r="S153" i="37"/>
  <c r="T153" i="37" s="1"/>
  <c r="U153" i="37"/>
  <c r="V153" i="37" s="1"/>
  <c r="W153" i="37" s="1"/>
  <c r="X153" i="37" s="1"/>
  <c r="Q108" i="37"/>
  <c r="R108" i="37" s="1"/>
  <c r="S108" i="37" s="1"/>
  <c r="T108" i="37" s="1"/>
  <c r="U108" i="37" s="1"/>
  <c r="V108" i="37" s="1"/>
  <c r="W108" i="37" s="1"/>
  <c r="X108" i="37" s="1"/>
  <c r="U127" i="45"/>
  <c r="G300" i="37"/>
  <c r="H300" i="37"/>
  <c r="S276" i="37"/>
  <c r="T276" i="37"/>
  <c r="U253" i="37"/>
  <c r="V253" i="37"/>
  <c r="G210" i="37"/>
  <c r="H210" i="37"/>
  <c r="T133" i="37"/>
  <c r="U133" i="37" s="1"/>
  <c r="V133" i="37" s="1"/>
  <c r="W133" i="37" s="1"/>
  <c r="X133" i="37"/>
  <c r="F378" i="37"/>
  <c r="G378" i="37"/>
  <c r="H378" i="37" s="1"/>
  <c r="G305" i="37"/>
  <c r="H305" i="37" s="1"/>
  <c r="I305" i="37"/>
  <c r="V254" i="37"/>
  <c r="W254" i="37"/>
  <c r="G244" i="37"/>
  <c r="H244" i="37" s="1"/>
  <c r="G194" i="37"/>
  <c r="H194" i="37" s="1"/>
  <c r="I194" i="37"/>
  <c r="J194" i="37" s="1"/>
  <c r="K194" i="37" s="1"/>
  <c r="L194" i="37" s="1"/>
  <c r="M194" i="37" s="1"/>
  <c r="N194" i="37" s="1"/>
  <c r="T265" i="37"/>
  <c r="G219" i="37"/>
  <c r="H219" i="37"/>
  <c r="F371" i="45"/>
  <c r="F367" i="45"/>
  <c r="F359" i="45"/>
  <c r="F355" i="45"/>
  <c r="F317" i="45"/>
  <c r="F311" i="45"/>
  <c r="U277" i="45"/>
  <c r="T351" i="45"/>
  <c r="U351" i="45" s="1"/>
  <c r="V351" i="45"/>
  <c r="W351" i="45" s="1"/>
  <c r="X351" i="45" s="1"/>
  <c r="U334" i="45"/>
  <c r="V334" i="45"/>
  <c r="R325" i="45"/>
  <c r="S325" i="45"/>
  <c r="T347" i="45"/>
  <c r="S331" i="45"/>
  <c r="T331" i="45" s="1"/>
  <c r="U383" i="45"/>
  <c r="V383" i="45" s="1"/>
  <c r="W383" i="45" s="1"/>
  <c r="X383" i="45" s="1"/>
  <c r="F354" i="45"/>
  <c r="G354" i="45"/>
  <c r="G245" i="45"/>
  <c r="H245" i="45"/>
  <c r="P245" i="45" s="1"/>
  <c r="Q108" i="45"/>
  <c r="R143" i="45"/>
  <c r="F382" i="37"/>
  <c r="G382" i="37" s="1"/>
  <c r="H382" i="37" s="1"/>
  <c r="I382" i="37" s="1"/>
  <c r="J382" i="37" s="1"/>
  <c r="F194" i="45"/>
  <c r="G194" i="45"/>
  <c r="F223" i="45"/>
  <c r="G223" i="45"/>
  <c r="F207" i="45"/>
  <c r="G207" i="45"/>
  <c r="T178" i="45"/>
  <c r="U178" i="45"/>
  <c r="F154" i="45"/>
  <c r="Q117" i="45"/>
  <c r="R117" i="45" s="1"/>
  <c r="T334" i="37"/>
  <c r="S132" i="37"/>
  <c r="T132" i="37"/>
  <c r="F124" i="45"/>
  <c r="R107" i="45"/>
  <c r="H318" i="37"/>
  <c r="V285" i="37"/>
  <c r="G174" i="45"/>
  <c r="H174" i="45"/>
  <c r="P174" i="45" s="1"/>
  <c r="Q174" i="45" s="1"/>
  <c r="R174" i="45" s="1"/>
  <c r="S174" i="45"/>
  <c r="T174" i="45" s="1"/>
  <c r="U174" i="45" s="1"/>
  <c r="V174" i="45" s="1"/>
  <c r="W174" i="45"/>
  <c r="X174" i="45" s="1"/>
  <c r="F209" i="45"/>
  <c r="G209" i="45" s="1"/>
  <c r="H209" i="45"/>
  <c r="G296" i="37"/>
  <c r="H296" i="37" s="1"/>
  <c r="I296" i="37" s="1"/>
  <c r="S138" i="37"/>
  <c r="T138" i="37"/>
  <c r="U138" i="37" s="1"/>
  <c r="V138" i="37"/>
  <c r="W138" i="37" s="1"/>
  <c r="X138" i="37" s="1"/>
  <c r="T290" i="37"/>
  <c r="U290" i="37"/>
  <c r="V290" i="37" s="1"/>
  <c r="W290" i="37"/>
  <c r="X290" i="37" s="1"/>
  <c r="K222" i="37"/>
  <c r="L222" i="37" s="1"/>
  <c r="M222" i="37"/>
  <c r="N222" i="37" s="1"/>
  <c r="T401" i="37"/>
  <c r="U401" i="37" s="1"/>
  <c r="G190" i="37"/>
  <c r="H190" i="37" s="1"/>
  <c r="S171" i="37"/>
  <c r="G231" i="37"/>
  <c r="H231" i="37" s="1"/>
  <c r="I231" i="37" s="1"/>
  <c r="J231" i="37" s="1"/>
  <c r="K231" i="37"/>
  <c r="L231" i="37" s="1"/>
  <c r="M231" i="37" s="1"/>
  <c r="N231" i="37" s="1"/>
  <c r="U386" i="45"/>
  <c r="V386" i="45" s="1"/>
  <c r="T287" i="45"/>
  <c r="F366" i="45"/>
  <c r="T256" i="45"/>
  <c r="F195" i="45"/>
  <c r="H311" i="37"/>
  <c r="G203" i="37"/>
  <c r="H203" i="37" s="1"/>
  <c r="F351" i="37"/>
  <c r="P30" i="37"/>
  <c r="Q30" i="37"/>
  <c r="H361" i="37"/>
  <c r="I361" i="37"/>
  <c r="T393" i="37"/>
  <c r="Q327" i="37"/>
  <c r="R327" i="37" s="1"/>
  <c r="H383" i="37"/>
  <c r="I383" i="37" s="1"/>
  <c r="J383" i="37"/>
  <c r="K383" i="37" s="1"/>
  <c r="L383" i="37" s="1"/>
  <c r="M383" i="37" s="1"/>
  <c r="N383" i="37" s="1"/>
  <c r="V264" i="37"/>
  <c r="H226" i="37"/>
  <c r="R145" i="37"/>
  <c r="S145" i="37"/>
  <c r="T145" i="37" s="1"/>
  <c r="U145" i="37" s="1"/>
  <c r="V145" i="37" s="1"/>
  <c r="W145" i="37" s="1"/>
  <c r="V335" i="45"/>
  <c r="F305" i="45"/>
  <c r="G305" i="45"/>
  <c r="F298" i="45"/>
  <c r="G298" i="45"/>
  <c r="F372" i="45"/>
  <c r="F356" i="45"/>
  <c r="T258" i="45"/>
  <c r="H248" i="45"/>
  <c r="P248" i="45" s="1"/>
  <c r="T252" i="45"/>
  <c r="F358" i="45"/>
  <c r="G358" i="45"/>
  <c r="U172" i="45"/>
  <c r="V172" i="45"/>
  <c r="F113" i="15"/>
  <c r="F360" i="37"/>
  <c r="P344" i="37"/>
  <c r="Q344" i="37"/>
  <c r="F197" i="45"/>
  <c r="H365" i="37"/>
  <c r="P293" i="37"/>
  <c r="Q293" i="37"/>
  <c r="F316" i="45"/>
  <c r="H376" i="37"/>
  <c r="I376" i="37"/>
  <c r="J376" i="37" s="1"/>
  <c r="K376" i="37" s="1"/>
  <c r="L376" i="37" s="1"/>
  <c r="M376" i="37" s="1"/>
  <c r="P152" i="37"/>
  <c r="U152" i="37"/>
  <c r="V152" i="37" s="1"/>
  <c r="W152" i="37" s="1"/>
  <c r="X152" i="37" s="1"/>
  <c r="F140" i="45"/>
  <c r="P162" i="37"/>
  <c r="Q162" i="37"/>
  <c r="H200" i="37"/>
  <c r="I200" i="37"/>
  <c r="J200" i="37" s="1"/>
  <c r="K200" i="37" s="1"/>
  <c r="L200" i="37" s="1"/>
  <c r="M200" i="37" s="1"/>
  <c r="G249" i="37"/>
  <c r="G155" i="37"/>
  <c r="I155" i="37"/>
  <c r="K155" i="37" s="1"/>
  <c r="M155" i="37"/>
  <c r="H155" i="37"/>
  <c r="J155" i="37"/>
  <c r="L155" i="37" s="1"/>
  <c r="G207" i="37"/>
  <c r="H207" i="37" s="1"/>
  <c r="F209" i="37"/>
  <c r="G214" i="37"/>
  <c r="H214" i="37"/>
  <c r="I214" i="37" s="1"/>
  <c r="G239" i="37"/>
  <c r="H239" i="37" s="1"/>
  <c r="F241" i="37"/>
  <c r="J154" i="37"/>
  <c r="L154" i="37" s="1"/>
  <c r="I154" i="37"/>
  <c r="K154" i="37" s="1"/>
  <c r="M154" i="37" s="1"/>
  <c r="G232" i="37"/>
  <c r="H232" i="37"/>
  <c r="H297" i="37"/>
  <c r="I297" i="37"/>
  <c r="G303" i="37"/>
  <c r="H303" i="37"/>
  <c r="I303" i="37" s="1"/>
  <c r="P303" i="37"/>
  <c r="Q303" i="37" s="1"/>
  <c r="T101" i="37"/>
  <c r="U101" i="37" s="1"/>
  <c r="V101" i="37"/>
  <c r="W101" i="37" s="1"/>
  <c r="X101" i="37" s="1"/>
  <c r="G174" i="37"/>
  <c r="Q187" i="37"/>
  <c r="I191" i="37"/>
  <c r="F193" i="37"/>
  <c r="G193" i="37" s="1"/>
  <c r="H193" i="37"/>
  <c r="I193" i="37" s="1"/>
  <c r="J193" i="37" s="1"/>
  <c r="K193" i="37" s="1"/>
  <c r="L193" i="37"/>
  <c r="M193" i="37" s="1"/>
  <c r="N193" i="37" s="1"/>
  <c r="G198" i="37"/>
  <c r="H198" i="37"/>
  <c r="F201" i="37"/>
  <c r="G216" i="37"/>
  <c r="H216" i="37" s="1"/>
  <c r="I216" i="37"/>
  <c r="F368" i="37"/>
  <c r="G368" i="37"/>
  <c r="H368" i="37" s="1"/>
  <c r="I368" i="37" s="1"/>
  <c r="J368" i="37" s="1"/>
  <c r="K368" i="37"/>
  <c r="L368" i="37" s="1"/>
  <c r="M368" i="37" s="1"/>
  <c r="N368" i="37" s="1"/>
  <c r="S400" i="37"/>
  <c r="T400" i="37" s="1"/>
  <c r="Q104" i="37"/>
  <c r="Q111" i="37"/>
  <c r="G223" i="37"/>
  <c r="H223" i="37" s="1"/>
  <c r="I223" i="37"/>
  <c r="J223" i="37" s="1"/>
  <c r="K223" i="37" s="1"/>
  <c r="L223" i="37" s="1"/>
  <c r="M223" i="37"/>
  <c r="N223" i="37" s="1"/>
  <c r="F225" i="37"/>
  <c r="G225" i="37" s="1"/>
  <c r="H225" i="37"/>
  <c r="I225" i="37" s="1"/>
  <c r="J225" i="37" s="1"/>
  <c r="K225" i="37" s="1"/>
  <c r="L225" i="37" s="1"/>
  <c r="M225" i="37" s="1"/>
  <c r="N225" i="37" s="1"/>
  <c r="G230" i="37"/>
  <c r="H230" i="37"/>
  <c r="G301" i="37"/>
  <c r="G350" i="37"/>
  <c r="H350" i="37" s="1"/>
  <c r="I350" i="37"/>
  <c r="J350" i="37" s="1"/>
  <c r="K350" i="37" s="1"/>
  <c r="L350" i="37" s="1"/>
  <c r="M350" i="37"/>
  <c r="H98" i="37"/>
  <c r="I98" i="37" s="1"/>
  <c r="R98" i="37" s="1"/>
  <c r="J98" i="37"/>
  <c r="K98" i="37" s="1"/>
  <c r="L98" i="37" s="1"/>
  <c r="M98" i="37" s="1"/>
  <c r="Q109" i="37"/>
  <c r="R109" i="37" s="1"/>
  <c r="Q115" i="37"/>
  <c r="H149" i="37"/>
  <c r="I149" i="37"/>
  <c r="Q181" i="37"/>
  <c r="R181" i="37"/>
  <c r="Q185" i="37"/>
  <c r="R185" i="37"/>
  <c r="T189" i="37"/>
  <c r="U189" i="37" s="1"/>
  <c r="V189" i="37"/>
  <c r="W189" i="37" s="1"/>
  <c r="X189" i="37" s="1"/>
  <c r="H196" i="37"/>
  <c r="F197" i="37"/>
  <c r="F205" i="37"/>
  <c r="G205" i="37"/>
  <c r="G212" i="37"/>
  <c r="H212" i="37"/>
  <c r="F213" i="37"/>
  <c r="G213" i="37"/>
  <c r="F217" i="37"/>
  <c r="G217" i="37"/>
  <c r="H217" i="37" s="1"/>
  <c r="I217" i="37"/>
  <c r="F221" i="37"/>
  <c r="G221" i="37" s="1"/>
  <c r="H221" i="37"/>
  <c r="I221" i="37" s="1"/>
  <c r="G228" i="37"/>
  <c r="H228" i="37" s="1"/>
  <c r="I228" i="37"/>
  <c r="J228" i="37" s="1"/>
  <c r="K228" i="37" s="1"/>
  <c r="L228" i="37" s="1"/>
  <c r="M228" i="37"/>
  <c r="N228" i="37" s="1"/>
  <c r="F229" i="37"/>
  <c r="G229" i="37" s="1"/>
  <c r="H229" i="37"/>
  <c r="I229" i="37" s="1"/>
  <c r="J229" i="37" s="1"/>
  <c r="K229" i="37" s="1"/>
  <c r="L229" i="37" s="1"/>
  <c r="M229" i="37" s="1"/>
  <c r="N229" i="37" s="1"/>
  <c r="F233" i="37"/>
  <c r="G233" i="37"/>
  <c r="H233" i="37" s="1"/>
  <c r="I233" i="37"/>
  <c r="J233" i="37" s="1"/>
  <c r="K233" i="37" s="1"/>
  <c r="L233" i="37" s="1"/>
  <c r="M233" i="37" s="1"/>
  <c r="N233" i="37" s="1"/>
  <c r="G236" i="37"/>
  <c r="H236" i="37" s="1"/>
  <c r="F237" i="37"/>
  <c r="G237" i="37" s="1"/>
  <c r="H237" i="37" s="1"/>
  <c r="I237" i="37" s="1"/>
  <c r="J237" i="37" s="1"/>
  <c r="K237" i="37" s="1"/>
  <c r="L237" i="37" s="1"/>
  <c r="M237" i="37" s="1"/>
  <c r="N237" i="37" s="1"/>
  <c r="G245" i="37"/>
  <c r="H245" i="37"/>
  <c r="I245" i="37" s="1"/>
  <c r="J245" i="37" s="1"/>
  <c r="K245" i="37" s="1"/>
  <c r="L245" i="37" s="1"/>
  <c r="M245" i="37" s="1"/>
  <c r="N245" i="37" s="1"/>
  <c r="F246" i="37"/>
  <c r="Q267" i="37"/>
  <c r="Q268" i="37"/>
  <c r="Q283" i="37"/>
  <c r="R283" i="37" s="1"/>
  <c r="S283" i="37"/>
  <c r="T283" i="37" s="1"/>
  <c r="U283" i="37" s="1"/>
  <c r="V283" i="37" s="1"/>
  <c r="W283" i="37"/>
  <c r="X283" i="37" s="1"/>
  <c r="Q313" i="37"/>
  <c r="R313" i="37" s="1"/>
  <c r="Q326" i="37"/>
  <c r="R326" i="37" s="1"/>
  <c r="F364" i="37"/>
  <c r="Q104" i="45"/>
  <c r="Q116" i="45"/>
  <c r="F123" i="45"/>
  <c r="Q109" i="45"/>
  <c r="Q117" i="37"/>
  <c r="Q183" i="37"/>
  <c r="G192" i="37"/>
  <c r="H192" i="37"/>
  <c r="I192" i="37" s="1"/>
  <c r="G208" i="37"/>
  <c r="H208" i="37" s="1"/>
  <c r="G224" i="37"/>
  <c r="H224" i="37" s="1"/>
  <c r="I224" i="37" s="1"/>
  <c r="J224" i="37" s="1"/>
  <c r="K224" i="37" s="1"/>
  <c r="G240" i="37"/>
  <c r="H240" i="37" s="1"/>
  <c r="Q274" i="37"/>
  <c r="Q275" i="37"/>
  <c r="R275" i="37"/>
  <c r="Q282" i="37"/>
  <c r="R282" i="37"/>
  <c r="S282" i="37" s="1"/>
  <c r="T282" i="37"/>
  <c r="U282" i="37" s="1"/>
  <c r="V282" i="37" s="1"/>
  <c r="W282" i="37" s="1"/>
  <c r="X282" i="37" s="1"/>
  <c r="G295" i="37"/>
  <c r="H295" i="37"/>
  <c r="I295" i="37" s="1"/>
  <c r="G307" i="37"/>
  <c r="H307" i="37" s="1"/>
  <c r="F370" i="37"/>
  <c r="Q110" i="45"/>
  <c r="F125" i="45"/>
  <c r="E318" i="45"/>
  <c r="F318" i="45"/>
  <c r="F121" i="45"/>
  <c r="G121" i="45"/>
  <c r="Q291" i="37"/>
  <c r="Q330" i="37"/>
  <c r="R330" i="37"/>
  <c r="Q331" i="37"/>
  <c r="R331" i="37"/>
  <c r="F374" i="37"/>
  <c r="G374" i="37"/>
  <c r="G377" i="37"/>
  <c r="H377" i="37"/>
  <c r="I377" i="37" s="1"/>
  <c r="H82" i="15"/>
  <c r="F119" i="45"/>
  <c r="Q356" i="37"/>
  <c r="Q357" i="37"/>
  <c r="Q112" i="45"/>
  <c r="E147" i="45"/>
  <c r="F147" i="45" s="1"/>
  <c r="G147" i="45"/>
  <c r="H147" i="45" s="1"/>
  <c r="E148" i="45"/>
  <c r="F148" i="45" s="1"/>
  <c r="E149" i="45"/>
  <c r="F149" i="45" s="1"/>
  <c r="E150" i="45"/>
  <c r="F150" i="45" s="1"/>
  <c r="Q248" i="45"/>
  <c r="V101" i="45"/>
  <c r="W101" i="45" s="1"/>
  <c r="X101" i="45" s="1"/>
  <c r="F173" i="45"/>
  <c r="G173" i="45"/>
  <c r="H173" i="45" s="1"/>
  <c r="F250" i="45"/>
  <c r="Q261" i="45"/>
  <c r="R261" i="45"/>
  <c r="F313" i="45"/>
  <c r="G313" i="45"/>
  <c r="H313" i="45" s="1"/>
  <c r="P313" i="45"/>
  <c r="Q313" i="45" s="1"/>
  <c r="R313" i="45" s="1"/>
  <c r="F296" i="45"/>
  <c r="G296" i="45"/>
  <c r="H296" i="45" s="1"/>
  <c r="P296" i="45"/>
  <c r="Q296" i="45" s="1"/>
  <c r="E342" i="45"/>
  <c r="F342" i="45" s="1"/>
  <c r="G342" i="45"/>
  <c r="H342" i="45" s="1"/>
  <c r="Q179" i="45"/>
  <c r="R179" i="45" s="1"/>
  <c r="Q180" i="45"/>
  <c r="Q183" i="45"/>
  <c r="R183" i="45"/>
  <c r="S183" i="45" s="1"/>
  <c r="T183" i="45" s="1"/>
  <c r="U183" i="45" s="1"/>
  <c r="V183" i="45"/>
  <c r="W183" i="45" s="1"/>
  <c r="X183" i="45" s="1"/>
  <c r="Q184" i="45"/>
  <c r="R184" i="45"/>
  <c r="S184" i="45" s="1"/>
  <c r="T184" i="45"/>
  <c r="U184" i="45" s="1"/>
  <c r="V184" i="45" s="1"/>
  <c r="W184" i="45" s="1"/>
  <c r="X184" i="45"/>
  <c r="Q187" i="45"/>
  <c r="R187" i="45"/>
  <c r="H199" i="45"/>
  <c r="P199" i="45"/>
  <c r="Q199" i="45" s="1"/>
  <c r="S218" i="45"/>
  <c r="T218" i="45" s="1"/>
  <c r="U218" i="45" s="1"/>
  <c r="V218" i="45" s="1"/>
  <c r="W218" i="45"/>
  <c r="X218" i="45" s="1"/>
  <c r="Q228" i="45"/>
  <c r="R228" i="45" s="1"/>
  <c r="Q231" i="45"/>
  <c r="R231" i="45" s="1"/>
  <c r="F240" i="45"/>
  <c r="F244" i="45"/>
  <c r="G244" i="45"/>
  <c r="R249" i="45"/>
  <c r="Q281" i="45"/>
  <c r="F297" i="45"/>
  <c r="G297" i="45" s="1"/>
  <c r="F303" i="45"/>
  <c r="R310" i="45"/>
  <c r="S310" i="45" s="1"/>
  <c r="T310" i="45" s="1"/>
  <c r="U310" i="45" s="1"/>
  <c r="V310" i="45"/>
  <c r="W310" i="45" s="1"/>
  <c r="X310" i="45" s="1"/>
  <c r="Q330" i="45"/>
  <c r="R330" i="45"/>
  <c r="S330" i="45" s="1"/>
  <c r="T330" i="45"/>
  <c r="U330" i="45" s="1"/>
  <c r="V330" i="45" s="1"/>
  <c r="W330" i="45" s="1"/>
  <c r="X330" i="45"/>
  <c r="E378" i="45"/>
  <c r="F378" i="45"/>
  <c r="G378" i="45" s="1"/>
  <c r="H378" i="45" s="1"/>
  <c r="F239" i="45"/>
  <c r="G239" i="45"/>
  <c r="H239" i="45" s="1"/>
  <c r="P239" i="45"/>
  <c r="Q239" i="45" s="1"/>
  <c r="Q245" i="45"/>
  <c r="Q266" i="45"/>
  <c r="R266" i="45"/>
  <c r="S266" i="45" s="1"/>
  <c r="T266" i="45"/>
  <c r="U266" i="45" s="1"/>
  <c r="V266" i="45" s="1"/>
  <c r="W266" i="45" s="1"/>
  <c r="X266" i="45" s="1"/>
  <c r="Y266" i="45" s="1"/>
  <c r="Q274" i="45"/>
  <c r="R274" i="45"/>
  <c r="Q276" i="45"/>
  <c r="R276" i="45"/>
  <c r="F279" i="45"/>
  <c r="G279" i="45"/>
  <c r="H279" i="45" s="1"/>
  <c r="F299" i="45"/>
  <c r="Q326" i="45"/>
  <c r="R326" i="45"/>
  <c r="U346" i="45"/>
  <c r="V346" i="45"/>
  <c r="Q271" i="45"/>
  <c r="R271" i="45"/>
  <c r="Q283" i="45"/>
  <c r="R283" i="45"/>
  <c r="F293" i="45"/>
  <c r="Q290" i="45"/>
  <c r="R290" i="45" s="1"/>
  <c r="S290" i="45"/>
  <c r="T290" i="45" s="1"/>
  <c r="U290" i="45" s="1"/>
  <c r="V290" i="45" s="1"/>
  <c r="W290" i="45"/>
  <c r="X290" i="45" s="1"/>
  <c r="G294" i="45"/>
  <c r="H294" i="45" s="1"/>
  <c r="P294" i="45"/>
  <c r="Q294" i="45" s="1"/>
  <c r="F302" i="45"/>
  <c r="F306" i="45"/>
  <c r="G306" i="45"/>
  <c r="F308" i="45"/>
  <c r="F312" i="45"/>
  <c r="Q328" i="45"/>
  <c r="R328" i="45"/>
  <c r="S328" i="45" s="1"/>
  <c r="T328" i="45"/>
  <c r="U328" i="45" s="1"/>
  <c r="V328" i="45" s="1"/>
  <c r="W328" i="45" s="1"/>
  <c r="X328" i="45"/>
  <c r="H395" i="16"/>
  <c r="L395" i="16"/>
  <c r="L397" i="16"/>
  <c r="O395" i="16"/>
  <c r="O397" i="16" s="1"/>
  <c r="P395" i="16"/>
  <c r="J395" i="16"/>
  <c r="N395" i="16"/>
  <c r="F395" i="16"/>
  <c r="D56" i="23"/>
  <c r="F56" i="23"/>
  <c r="H56" i="23"/>
  <c r="J56" i="23"/>
  <c r="L51" i="23"/>
  <c r="L56" i="23"/>
  <c r="M51" i="23"/>
  <c r="M56" i="23"/>
  <c r="N51" i="23"/>
  <c r="N56" i="23"/>
  <c r="G122" i="18"/>
  <c r="Q270" i="16"/>
  <c r="U270" i="16" s="1"/>
  <c r="Q183" i="16"/>
  <c r="U183" i="16" s="1"/>
  <c r="Q226" i="16"/>
  <c r="U226" i="16" s="1"/>
  <c r="P60" i="18"/>
  <c r="Q230" i="16"/>
  <c r="U230" i="16"/>
  <c r="Q179" i="16"/>
  <c r="U179" i="16"/>
  <c r="Q313" i="16"/>
  <c r="U313" i="16"/>
  <c r="P96" i="18"/>
  <c r="Q223" i="16"/>
  <c r="U223" i="16" s="1"/>
  <c r="P26" i="18"/>
  <c r="Q317" i="16"/>
  <c r="U317" i="16" s="1"/>
  <c r="Q123" i="16"/>
  <c r="U123" i="16" s="1"/>
  <c r="I30" i="18"/>
  <c r="P41" i="18"/>
  <c r="P91" i="18"/>
  <c r="O45" i="23"/>
  <c r="O50" i="23"/>
  <c r="P47" i="18"/>
  <c r="P21" i="18"/>
  <c r="P46" i="18"/>
  <c r="Q336" i="16"/>
  <c r="U336" i="16" s="1"/>
  <c r="P45" i="23"/>
  <c r="Q99" i="18"/>
  <c r="N54" i="23"/>
  <c r="D51" i="23"/>
  <c r="I51" i="23"/>
  <c r="H51" i="23"/>
  <c r="F51" i="23"/>
  <c r="J51" i="23"/>
  <c r="I85" i="10"/>
  <c r="J85" i="10" s="1"/>
  <c r="K85" i="10"/>
  <c r="L85" i="10" s="1"/>
  <c r="M85" i="10" s="1"/>
  <c r="N85" i="10" s="1"/>
  <c r="O85" i="10"/>
  <c r="P85" i="10" s="1"/>
  <c r="Q85" i="10" s="1"/>
  <c r="R85" i="10" s="1"/>
  <c r="S85" i="10"/>
  <c r="J87" i="10"/>
  <c r="K87" i="10"/>
  <c r="L87" i="10" s="1"/>
  <c r="M87" i="10" s="1"/>
  <c r="N87" i="10" s="1"/>
  <c r="O87" i="10"/>
  <c r="P87" i="10" s="1"/>
  <c r="Q87" i="10" s="1"/>
  <c r="R87" i="10" s="1"/>
  <c r="S87" i="10"/>
  <c r="G79" i="10"/>
  <c r="H79" i="10"/>
  <c r="I79" i="10" s="1"/>
  <c r="J79" i="10" s="1"/>
  <c r="K79" i="10" s="1"/>
  <c r="L79" i="10"/>
  <c r="M79" i="10" s="1"/>
  <c r="N79" i="10" s="1"/>
  <c r="O79" i="10" s="1"/>
  <c r="P79" i="10"/>
  <c r="Q79" i="10" s="1"/>
  <c r="R79" i="10" s="1"/>
  <c r="S79" i="10" s="1"/>
  <c r="O86" i="6"/>
  <c r="N80" i="6"/>
  <c r="N87" i="6"/>
  <c r="M87" i="6"/>
  <c r="L87" i="6"/>
  <c r="K87" i="6"/>
  <c r="J87" i="6"/>
  <c r="I87" i="6"/>
  <c r="H87" i="6"/>
  <c r="G87" i="6"/>
  <c r="F87" i="6"/>
  <c r="E87" i="6"/>
  <c r="D87" i="6"/>
  <c r="C87" i="6"/>
  <c r="Z31" i="24"/>
  <c r="Z32" i="24" s="1"/>
  <c r="Y31" i="24"/>
  <c r="H82" i="10"/>
  <c r="I82" i="10"/>
  <c r="J82" i="10" s="1"/>
  <c r="K82" i="10"/>
  <c r="L82" i="10" s="1"/>
  <c r="M82" i="10" s="1"/>
  <c r="N82" i="10" s="1"/>
  <c r="O82" i="10"/>
  <c r="P82" i="10" s="1"/>
  <c r="Q82" i="10" s="1"/>
  <c r="R82" i="10" s="1"/>
  <c r="G74" i="10"/>
  <c r="H74" i="10" s="1"/>
  <c r="I74" i="10" s="1"/>
  <c r="J74" i="10" s="1"/>
  <c r="K74" i="10" s="1"/>
  <c r="L74" i="10" s="1"/>
  <c r="M74" i="10" s="1"/>
  <c r="N74" i="10" s="1"/>
  <c r="O74" i="10" s="1"/>
  <c r="P74" i="10" s="1"/>
  <c r="Q74" i="10" s="1"/>
  <c r="R74" i="10" s="1"/>
  <c r="S74" i="10" s="1"/>
  <c r="I86" i="10"/>
  <c r="J86" i="10"/>
  <c r="K86" i="10" s="1"/>
  <c r="L86" i="10" s="1"/>
  <c r="M86" i="10" s="1"/>
  <c r="N86" i="10"/>
  <c r="O86" i="10" s="1"/>
  <c r="P86" i="10" s="1"/>
  <c r="Q86" i="10" s="1"/>
  <c r="R86" i="10"/>
  <c r="S86" i="10" s="1"/>
  <c r="H71" i="10"/>
  <c r="I71" i="10" s="1"/>
  <c r="J71" i="10"/>
  <c r="K71" i="10" s="1"/>
  <c r="L71" i="10" s="1"/>
  <c r="M71" i="10" s="1"/>
  <c r="N71" i="10"/>
  <c r="O71" i="10" s="1"/>
  <c r="P71" i="10" s="1"/>
  <c r="Q71" i="10" s="1"/>
  <c r="R71" i="10"/>
  <c r="S71" i="10" s="1"/>
  <c r="G77" i="10"/>
  <c r="H77" i="10" s="1"/>
  <c r="I77" i="10"/>
  <c r="J77" i="10" s="1"/>
  <c r="K77" i="10" s="1"/>
  <c r="L77" i="10" s="1"/>
  <c r="M77" i="10"/>
  <c r="N77" i="10" s="1"/>
  <c r="O77" i="10" s="1"/>
  <c r="P77" i="10" s="1"/>
  <c r="Q77" i="10"/>
  <c r="R77" i="10" s="1"/>
  <c r="S77" i="10" s="1"/>
  <c r="H70" i="10"/>
  <c r="I70" i="10"/>
  <c r="J70" i="10" s="1"/>
  <c r="K70" i="10"/>
  <c r="L70" i="10" s="1"/>
  <c r="M70" i="10" s="1"/>
  <c r="N70" i="10" s="1"/>
  <c r="O70" i="10"/>
  <c r="P70" i="10" s="1"/>
  <c r="Q70" i="10" s="1"/>
  <c r="R70" i="10" s="1"/>
  <c r="S70" i="10" s="1"/>
  <c r="H72" i="10"/>
  <c r="I72" i="10"/>
  <c r="J72" i="10" s="1"/>
  <c r="K72" i="10" s="1"/>
  <c r="L72" i="10" s="1"/>
  <c r="M72" i="10"/>
  <c r="N72" i="10" s="1"/>
  <c r="O72" i="10" s="1"/>
  <c r="P72" i="10" s="1"/>
  <c r="Q72" i="10" s="1"/>
  <c r="R72" i="10" s="1"/>
  <c r="S72" i="10" s="1"/>
  <c r="G73" i="10"/>
  <c r="H73" i="10"/>
  <c r="I73" i="10" s="1"/>
  <c r="J73" i="10"/>
  <c r="K73" i="10" s="1"/>
  <c r="L73" i="10" s="1"/>
  <c r="M73" i="10" s="1"/>
  <c r="N73" i="10" s="1"/>
  <c r="O73" i="10" s="1"/>
  <c r="P73" i="10" s="1"/>
  <c r="Q73" i="10" s="1"/>
  <c r="R73" i="10" s="1"/>
  <c r="S73" i="10" s="1"/>
  <c r="G75" i="10"/>
  <c r="H75" i="10" s="1"/>
  <c r="I75" i="10"/>
  <c r="J75" i="10" s="1"/>
  <c r="K75" i="10" s="1"/>
  <c r="L75" i="10" s="1"/>
  <c r="M75" i="10" s="1"/>
  <c r="N75" i="10" s="1"/>
  <c r="O75" i="10" s="1"/>
  <c r="P75" i="10" s="1"/>
  <c r="Q75" i="10" s="1"/>
  <c r="R75" i="10" s="1"/>
  <c r="S75" i="10" s="1"/>
  <c r="G78" i="10"/>
  <c r="H78" i="10"/>
  <c r="I78" i="10" s="1"/>
  <c r="J78" i="10"/>
  <c r="K78" i="10" s="1"/>
  <c r="L78" i="10" s="1"/>
  <c r="M78" i="10" s="1"/>
  <c r="N78" i="10" s="1"/>
  <c r="O78" i="10" s="1"/>
  <c r="P78" i="10" s="1"/>
  <c r="Q78" i="10" s="1"/>
  <c r="R78" i="10" s="1"/>
  <c r="S78" i="10" s="1"/>
  <c r="G80" i="10"/>
  <c r="H80" i="10" s="1"/>
  <c r="I80" i="10"/>
  <c r="J80" i="10" s="1"/>
  <c r="K80" i="10" s="1"/>
  <c r="L80" i="10" s="1"/>
  <c r="M80" i="10" s="1"/>
  <c r="N80" i="10" s="1"/>
  <c r="O80" i="10" s="1"/>
  <c r="P80" i="10" s="1"/>
  <c r="Q80" i="10" s="1"/>
  <c r="R80" i="10" s="1"/>
  <c r="S80" i="10" s="1"/>
  <c r="G81" i="10"/>
  <c r="H81" i="10" s="1"/>
  <c r="I81" i="10" s="1"/>
  <c r="J81" i="10" s="1"/>
  <c r="K81" i="10" s="1"/>
  <c r="L81" i="10" s="1"/>
  <c r="M81" i="10" s="1"/>
  <c r="N81" i="10" s="1"/>
  <c r="O81" i="10" s="1"/>
  <c r="P81" i="10" s="1"/>
  <c r="Q81" i="10" s="1"/>
  <c r="R81" i="10" s="1"/>
  <c r="S81" i="10" s="1"/>
  <c r="I84" i="10"/>
  <c r="J84" i="10"/>
  <c r="K84" i="10" s="1"/>
  <c r="L84" i="10"/>
  <c r="M84" i="10"/>
  <c r="N84" i="10" s="1"/>
  <c r="O84" i="10" s="1"/>
  <c r="P84" i="10" s="1"/>
  <c r="Q84" i="10" s="1"/>
  <c r="R84" i="10" s="1"/>
  <c r="S84" i="10" s="1"/>
  <c r="I83" i="10"/>
  <c r="J83" i="10"/>
  <c r="K83" i="10"/>
  <c r="L83" i="10" s="1"/>
  <c r="M83" i="10" s="1"/>
  <c r="N83" i="10" s="1"/>
  <c r="O83" i="10" s="1"/>
  <c r="P83" i="10" s="1"/>
  <c r="Q83" i="10" s="1"/>
  <c r="R83" i="10" s="1"/>
  <c r="S83" i="10" s="1"/>
  <c r="S82" i="10" s="1"/>
  <c r="X30" i="30"/>
  <c r="X31" i="30" s="1"/>
  <c r="W30" i="30"/>
  <c r="W31" i="30" s="1"/>
  <c r="G68" i="10"/>
  <c r="F68" i="10"/>
  <c r="E68" i="10"/>
  <c r="G69" i="10"/>
  <c r="S30" i="30"/>
  <c r="S31" i="30" s="1"/>
  <c r="R30" i="30"/>
  <c r="P31" i="24"/>
  <c r="P32" i="24"/>
  <c r="O31" i="24"/>
  <c r="O32" i="24" s="1"/>
  <c r="X31" i="24"/>
  <c r="X32" i="24"/>
  <c r="P30" i="30"/>
  <c r="P31" i="30" s="1"/>
  <c r="O30" i="30"/>
  <c r="O31" i="30"/>
  <c r="T30" i="30"/>
  <c r="T31" i="30" s="1"/>
  <c r="B31" i="30"/>
  <c r="Z30" i="30"/>
  <c r="Z31" i="30" s="1"/>
  <c r="V30" i="30"/>
  <c r="V31" i="30"/>
  <c r="T31" i="24"/>
  <c r="T32" i="24" s="1"/>
  <c r="S31" i="24"/>
  <c r="R31" i="24"/>
  <c r="Q31" i="24"/>
  <c r="Q32" i="24"/>
  <c r="Q30" i="30"/>
  <c r="Q31" i="30" s="1"/>
  <c r="U30" i="30"/>
  <c r="U31" i="30"/>
  <c r="Y30" i="30"/>
  <c r="W31" i="24"/>
  <c r="W32" i="24"/>
  <c r="V31" i="24"/>
  <c r="U31" i="24"/>
  <c r="R31" i="30"/>
  <c r="W226" i="35"/>
  <c r="O73" i="6"/>
  <c r="F10" i="40"/>
  <c r="F34" i="42" s="1"/>
  <c r="E36" i="2"/>
  <c r="G382" i="49" s="1"/>
  <c r="E102" i="41"/>
  <c r="E97" i="42" s="1"/>
  <c r="E94" i="42" s="1"/>
  <c r="Q355" i="48"/>
  <c r="O355" i="48"/>
  <c r="M355" i="48"/>
  <c r="K355" i="48"/>
  <c r="I355" i="48"/>
  <c r="H355" i="48"/>
  <c r="G355" i="48"/>
  <c r="Z36" i="21"/>
  <c r="R355" i="48"/>
  <c r="P355" i="48"/>
  <c r="N355" i="48"/>
  <c r="L355" i="48"/>
  <c r="J355" i="48"/>
  <c r="AA20" i="21"/>
  <c r="AB20" i="21" s="1"/>
  <c r="L330" i="48"/>
  <c r="L332" i="49"/>
  <c r="L323" i="49" s="1"/>
  <c r="L319" i="49" s="1"/>
  <c r="N82" i="20"/>
  <c r="N158" i="20"/>
  <c r="H330" i="48"/>
  <c r="H321" i="48" s="1"/>
  <c r="H332" i="49"/>
  <c r="H323" i="49" s="1"/>
  <c r="K330" i="48"/>
  <c r="K321" i="48" s="1"/>
  <c r="K317" i="48" s="1"/>
  <c r="I330" i="48"/>
  <c r="I321" i="48"/>
  <c r="I317" i="48" s="1"/>
  <c r="I332" i="49"/>
  <c r="I323" i="49" s="1"/>
  <c r="I319" i="49" s="1"/>
  <c r="J330" i="48"/>
  <c r="J321" i="48"/>
  <c r="J317" i="48" s="1"/>
  <c r="J332" i="49"/>
  <c r="J323" i="49" s="1"/>
  <c r="J319" i="49" s="1"/>
  <c r="W306" i="48"/>
  <c r="D280" i="48"/>
  <c r="D279" i="48"/>
  <c r="W300" i="48"/>
  <c r="Y370" i="48"/>
  <c r="V383" i="48"/>
  <c r="W363" i="48"/>
  <c r="D339" i="48"/>
  <c r="D338" i="48" s="1"/>
  <c r="V363" i="48"/>
  <c r="W370" i="48"/>
  <c r="V385" i="48"/>
  <c r="Y383" i="48"/>
  <c r="T272" i="48"/>
  <c r="D271" i="48"/>
  <c r="V373" i="48"/>
  <c r="W383" i="48"/>
  <c r="X385" i="48"/>
  <c r="V300" i="48"/>
  <c r="W365" i="48"/>
  <c r="Y363" i="48"/>
  <c r="X365" i="48"/>
  <c r="V370" i="48"/>
  <c r="X383" i="48"/>
  <c r="Y385" i="48"/>
  <c r="Q350" i="48"/>
  <c r="Q349" i="48" s="1"/>
  <c r="P195" i="35"/>
  <c r="AA22" i="21"/>
  <c r="M18" i="20"/>
  <c r="M75" i="20"/>
  <c r="Y75" i="20"/>
  <c r="AA9" i="21"/>
  <c r="G175" i="35"/>
  <c r="G166" i="35" s="1"/>
  <c r="K175" i="35"/>
  <c r="K166" i="35"/>
  <c r="K162" i="35" s="1"/>
  <c r="Z110" i="20"/>
  <c r="I36" i="21"/>
  <c r="I92" i="21"/>
  <c r="AB22" i="21"/>
  <c r="Q28" i="21"/>
  <c r="T332" i="49" s="1"/>
  <c r="T323" i="49" s="1"/>
  <c r="T319" i="49" s="1"/>
  <c r="U28" i="21"/>
  <c r="U36" i="21" s="1"/>
  <c r="I45" i="6"/>
  <c r="K4" i="2"/>
  <c r="I175" i="35"/>
  <c r="I166" i="35" s="1"/>
  <c r="I162" i="35" s="1"/>
  <c r="E36" i="21"/>
  <c r="E92" i="21"/>
  <c r="S28" i="21"/>
  <c r="S36" i="21" s="1"/>
  <c r="O84" i="21"/>
  <c r="Y300" i="48"/>
  <c r="Y306" i="48"/>
  <c r="V329" i="48"/>
  <c r="F292" i="48"/>
  <c r="F291" i="48"/>
  <c r="F280" i="48"/>
  <c r="F279" i="48" s="1"/>
  <c r="Y325" i="48"/>
  <c r="W329" i="48"/>
  <c r="V343" i="48"/>
  <c r="S272" i="48"/>
  <c r="V272" i="48" s="1"/>
  <c r="V306" i="48"/>
  <c r="U272" i="48"/>
  <c r="W343" i="48"/>
  <c r="AA326" i="48"/>
  <c r="W320" i="48"/>
  <c r="H359" i="48"/>
  <c r="O79" i="48"/>
  <c r="J24" i="35"/>
  <c r="J22" i="35" s="1"/>
  <c r="N16" i="48"/>
  <c r="L9" i="48"/>
  <c r="J9" i="39"/>
  <c r="J16" i="48"/>
  <c r="I12" i="48"/>
  <c r="G17" i="16"/>
  <c r="G10" i="39" s="1"/>
  <c r="H388" i="16"/>
  <c r="I98" i="35"/>
  <c r="Q23" i="35"/>
  <c r="Q22" i="35" s="1"/>
  <c r="R49" i="48"/>
  <c r="Q60" i="35"/>
  <c r="O89" i="48"/>
  <c r="N77" i="35"/>
  <c r="O38" i="48"/>
  <c r="N49" i="35"/>
  <c r="N86" i="48"/>
  <c r="M74" i="35"/>
  <c r="N51" i="48"/>
  <c r="M62" i="35"/>
  <c r="H62" i="35"/>
  <c r="N41" i="48"/>
  <c r="L33" i="39"/>
  <c r="M52" i="35"/>
  <c r="N37" i="48"/>
  <c r="M48" i="35"/>
  <c r="M89" i="48"/>
  <c r="L77" i="35"/>
  <c r="M85" i="48"/>
  <c r="L73" i="35"/>
  <c r="M58" i="48"/>
  <c r="M54" i="48"/>
  <c r="L23" i="35"/>
  <c r="M49" i="48"/>
  <c r="L68" i="48"/>
  <c r="L61" i="48"/>
  <c r="K30" i="35"/>
  <c r="L38" i="48"/>
  <c r="K49" i="35"/>
  <c r="K86" i="48"/>
  <c r="J74" i="35"/>
  <c r="K82" i="48"/>
  <c r="J70" i="35"/>
  <c r="J67" i="35"/>
  <c r="K65" i="48"/>
  <c r="J34" i="35"/>
  <c r="J66" i="48"/>
  <c r="I35" i="35"/>
  <c r="J60" i="48"/>
  <c r="I29" i="35"/>
  <c r="J49" i="48"/>
  <c r="I60" i="35"/>
  <c r="I81" i="48"/>
  <c r="G35" i="35"/>
  <c r="H66" i="48"/>
  <c r="F73" i="16"/>
  <c r="H60" i="48"/>
  <c r="G29" i="35"/>
  <c r="H55" i="48"/>
  <c r="F63" i="16"/>
  <c r="N17" i="16"/>
  <c r="N10" i="39" s="1"/>
  <c r="M17" i="16"/>
  <c r="M10" i="39" s="1"/>
  <c r="O86" i="48"/>
  <c r="I51" i="48"/>
  <c r="K15" i="48"/>
  <c r="I20" i="16"/>
  <c r="I8" i="39" s="1"/>
  <c r="J11" i="48"/>
  <c r="I23" i="48"/>
  <c r="G16" i="39"/>
  <c r="H64" i="35"/>
  <c r="N73" i="39"/>
  <c r="N72" i="39"/>
  <c r="N26" i="42" s="1"/>
  <c r="M391" i="16"/>
  <c r="E236" i="16"/>
  <c r="E233" i="16" s="1"/>
  <c r="F95" i="35" s="1"/>
  <c r="F98" i="35"/>
  <c r="R69" i="48"/>
  <c r="Q33" i="35"/>
  <c r="Q41" i="48"/>
  <c r="O33" i="39"/>
  <c r="Q37" i="48"/>
  <c r="P48" i="35"/>
  <c r="P89" i="48"/>
  <c r="O77" i="35"/>
  <c r="O79" i="35"/>
  <c r="P69" i="48"/>
  <c r="M33" i="35"/>
  <c r="O61" i="48"/>
  <c r="N30" i="35"/>
  <c r="O57" i="48"/>
  <c r="N26" i="35"/>
  <c r="O50" i="48"/>
  <c r="M57" i="16"/>
  <c r="I74" i="35"/>
  <c r="J83" i="48"/>
  <c r="I71" i="35"/>
  <c r="H85" i="48"/>
  <c r="G65" i="48"/>
  <c r="G47" i="48"/>
  <c r="R23" i="48"/>
  <c r="Q64" i="35"/>
  <c r="Q14" i="48"/>
  <c r="P26" i="48"/>
  <c r="P15" i="48"/>
  <c r="M296" i="16"/>
  <c r="N109" i="35"/>
  <c r="M21" i="41"/>
  <c r="G387" i="16"/>
  <c r="H97" i="35"/>
  <c r="H96" i="35" s="1"/>
  <c r="Q49" i="48"/>
  <c r="P60" i="35"/>
  <c r="K41" i="48"/>
  <c r="J52" i="35"/>
  <c r="I39" i="48"/>
  <c r="H50" i="35"/>
  <c r="H39" i="48"/>
  <c r="G87" i="48"/>
  <c r="G84" i="48"/>
  <c r="O248" i="16"/>
  <c r="O247" i="16" s="1"/>
  <c r="P102" i="35" s="1"/>
  <c r="M79" i="35"/>
  <c r="Q79" i="48"/>
  <c r="P49" i="48"/>
  <c r="G11" i="48"/>
  <c r="G10" i="48" s="1"/>
  <c r="O60" i="35"/>
  <c r="H79" i="35"/>
  <c r="P85" i="48"/>
  <c r="P81" i="48"/>
  <c r="I80" i="48"/>
  <c r="N15" i="48"/>
  <c r="G54" i="48"/>
  <c r="G53" i="48" s="1"/>
  <c r="L27" i="48"/>
  <c r="L14" i="48"/>
  <c r="H25" i="48"/>
  <c r="J97" i="35"/>
  <c r="R66" i="48"/>
  <c r="K39" i="48"/>
  <c r="J64" i="48"/>
  <c r="J38" i="48"/>
  <c r="Q27" i="48"/>
  <c r="J14" i="48"/>
  <c r="N58" i="48"/>
  <c r="J55" i="48"/>
  <c r="O9" i="39"/>
  <c r="G70" i="35"/>
  <c r="P67" i="35"/>
  <c r="Q269" i="16"/>
  <c r="Q66" i="48"/>
  <c r="Q55" i="48"/>
  <c r="Q50" i="48"/>
  <c r="P37" i="48"/>
  <c r="O58" i="48"/>
  <c r="M37" i="48"/>
  <c r="K44" i="16"/>
  <c r="K32" i="39" s="1"/>
  <c r="J46" i="48"/>
  <c r="I58" i="48"/>
  <c r="L206" i="16"/>
  <c r="G236" i="16"/>
  <c r="G233" i="16" s="1"/>
  <c r="H95" i="35" s="1"/>
  <c r="P236" i="16"/>
  <c r="P233" i="16" s="1"/>
  <c r="Q95" i="35" s="1"/>
  <c r="M212" i="16"/>
  <c r="L107" i="16"/>
  <c r="M86" i="35" s="1"/>
  <c r="P264" i="16"/>
  <c r="P263" i="16"/>
  <c r="Q103" i="35" s="1"/>
  <c r="P107" i="16"/>
  <c r="Q86" i="35" s="1"/>
  <c r="O107" i="16"/>
  <c r="P86" i="35" s="1"/>
  <c r="I236" i="16"/>
  <c r="I233" i="16" s="1"/>
  <c r="J95" i="35" s="1"/>
  <c r="V278" i="48"/>
  <c r="W278" i="48"/>
  <c r="Y278" i="48"/>
  <c r="E349" i="48"/>
  <c r="G91" i="48"/>
  <c r="E63" i="48"/>
  <c r="X320" i="48"/>
  <c r="O359" i="48"/>
  <c r="G324" i="16"/>
  <c r="G75" i="39"/>
  <c r="G27" i="42" s="1"/>
  <c r="F109" i="35"/>
  <c r="R47" i="48"/>
  <c r="Q61" i="48"/>
  <c r="P30" i="35"/>
  <c r="M46" i="48"/>
  <c r="K51" i="16"/>
  <c r="L57" i="35"/>
  <c r="L60" i="48"/>
  <c r="O29" i="35"/>
  <c r="H44" i="16"/>
  <c r="I79" i="48"/>
  <c r="G79" i="48"/>
  <c r="Q18" i="16"/>
  <c r="K26" i="35"/>
  <c r="J33" i="39"/>
  <c r="P60" i="48"/>
  <c r="L81" i="48"/>
  <c r="K69" i="35"/>
  <c r="J79" i="48"/>
  <c r="H88" i="16"/>
  <c r="H87" i="16"/>
  <c r="H29" i="39" s="1"/>
  <c r="H27" i="39" s="1"/>
  <c r="I67" i="35"/>
  <c r="R26" i="48"/>
  <c r="R12" i="48"/>
  <c r="P17" i="16"/>
  <c r="O26" i="48"/>
  <c r="I27" i="48"/>
  <c r="I16" i="48"/>
  <c r="P98" i="35"/>
  <c r="O296" i="16"/>
  <c r="O21" i="41"/>
  <c r="P109" i="35"/>
  <c r="L79" i="35"/>
  <c r="P79" i="35"/>
  <c r="K292" i="16"/>
  <c r="L104" i="35" s="1"/>
  <c r="K392" i="16"/>
  <c r="K296" i="16"/>
  <c r="K21" i="41"/>
  <c r="K9" i="41" s="1"/>
  <c r="Q153" i="16"/>
  <c r="F196" i="16"/>
  <c r="K79" i="35"/>
  <c r="N236" i="16"/>
  <c r="N233" i="16" s="1"/>
  <c r="N387" i="16"/>
  <c r="M248" i="16"/>
  <c r="M247" i="16" s="1"/>
  <c r="L264" i="16"/>
  <c r="L263" i="16" s="1"/>
  <c r="M103" i="35" s="1"/>
  <c r="J236" i="16"/>
  <c r="J233" i="16" s="1"/>
  <c r="K95" i="35" s="1"/>
  <c r="H248" i="16"/>
  <c r="H247" i="16"/>
  <c r="M107" i="16"/>
  <c r="M65" i="39" s="1"/>
  <c r="L236" i="16"/>
  <c r="L233" i="16" s="1"/>
  <c r="M95" i="35" s="1"/>
  <c r="J264" i="16"/>
  <c r="J263" i="16" s="1"/>
  <c r="K103" i="35" s="1"/>
  <c r="F107" i="16"/>
  <c r="G86" i="35" s="1"/>
  <c r="Q91" i="48"/>
  <c r="G17" i="48"/>
  <c r="R107" i="35"/>
  <c r="J109" i="35"/>
  <c r="Q70" i="35"/>
  <c r="F10" i="39"/>
  <c r="P58" i="39"/>
  <c r="P56" i="39"/>
  <c r="P21" i="42" s="1"/>
  <c r="I206" i="16"/>
  <c r="J11" i="41"/>
  <c r="L307" i="16"/>
  <c r="L73" i="39" s="1"/>
  <c r="L72" i="39" s="1"/>
  <c r="L26" i="42" s="1"/>
  <c r="Q167" i="16"/>
  <c r="U167" i="16" s="1"/>
  <c r="L346" i="16"/>
  <c r="Q346" i="16"/>
  <c r="Q348" i="16"/>
  <c r="O292" i="16"/>
  <c r="N220" i="16"/>
  <c r="Q305" i="16"/>
  <c r="U305" i="16" s="1"/>
  <c r="F264" i="16"/>
  <c r="F263" i="16" s="1"/>
  <c r="G103" i="35" s="1"/>
  <c r="W274" i="48"/>
  <c r="V274" i="48"/>
  <c r="J17" i="48"/>
  <c r="I17" i="48"/>
  <c r="E78" i="48"/>
  <c r="E287" i="48"/>
  <c r="S361" i="48"/>
  <c r="AA361" i="48" s="1"/>
  <c r="T90" i="48"/>
  <c r="O32" i="6"/>
  <c r="H166" i="35"/>
  <c r="Z19" i="20"/>
  <c r="R352" i="49"/>
  <c r="N18" i="20"/>
  <c r="AA23" i="21"/>
  <c r="O83" i="21"/>
  <c r="AA13" i="21"/>
  <c r="O11" i="21"/>
  <c r="O7" i="21" s="1"/>
  <c r="O73" i="21"/>
  <c r="O21" i="21"/>
  <c r="O81" i="21"/>
  <c r="E35" i="6"/>
  <c r="E45" i="6" s="1"/>
  <c r="G4" i="2" s="1"/>
  <c r="O38" i="6"/>
  <c r="W328" i="48"/>
  <c r="Y328" i="48"/>
  <c r="W325" i="48"/>
  <c r="V325" i="48"/>
  <c r="V319" i="48"/>
  <c r="V327" i="48"/>
  <c r="W332" i="48"/>
  <c r="Y319" i="48"/>
  <c r="W327" i="48"/>
  <c r="Y327" i="48"/>
  <c r="Y318" i="48"/>
  <c r="Y329" i="48"/>
  <c r="Y323" i="48"/>
  <c r="W324" i="48"/>
  <c r="V324" i="48"/>
  <c r="Y332" i="48"/>
  <c r="V318" i="48"/>
  <c r="V323" i="48"/>
  <c r="Y324" i="48"/>
  <c r="H217" i="35"/>
  <c r="E51" i="2"/>
  <c r="E53" i="2"/>
  <c r="N50" i="42"/>
  <c r="N48" i="42" s="1"/>
  <c r="E50" i="42"/>
  <c r="E33" i="40"/>
  <c r="L289" i="48"/>
  <c r="K135" i="35"/>
  <c r="M15" i="41"/>
  <c r="F15" i="41"/>
  <c r="K289" i="48"/>
  <c r="I14" i="40"/>
  <c r="J135" i="35"/>
  <c r="H376" i="48"/>
  <c r="H294" i="48" s="1"/>
  <c r="G140" i="35"/>
  <c r="G138" i="35" s="1"/>
  <c r="G137" i="35" s="1"/>
  <c r="F44" i="2"/>
  <c r="F49" i="41" s="1"/>
  <c r="F48" i="41" s="1"/>
  <c r="H50" i="42"/>
  <c r="H33" i="40"/>
  <c r="G31" i="42"/>
  <c r="G30" i="42" s="1"/>
  <c r="G29" i="42" s="1"/>
  <c r="K376" i="48"/>
  <c r="K294" i="48" s="1"/>
  <c r="J217" i="35"/>
  <c r="J140" i="35"/>
  <c r="W272" i="48"/>
  <c r="O65" i="39"/>
  <c r="E62" i="48"/>
  <c r="H32" i="39"/>
  <c r="F386" i="16"/>
  <c r="I102" i="35"/>
  <c r="K33" i="39"/>
  <c r="L58" i="39"/>
  <c r="L56" i="39" s="1"/>
  <c r="L21" i="42" s="1"/>
  <c r="P104" i="35"/>
  <c r="O91" i="35"/>
  <c r="Q195" i="35"/>
  <c r="R350" i="48"/>
  <c r="R349" i="48" s="1"/>
  <c r="D127" i="20"/>
  <c r="D138" i="20" s="1"/>
  <c r="E127" i="20"/>
  <c r="F127" i="20"/>
  <c r="F130" i="20"/>
  <c r="H127" i="20"/>
  <c r="H138" i="20" s="1"/>
  <c r="I127" i="20"/>
  <c r="I130" i="20"/>
  <c r="J127" i="20"/>
  <c r="L127" i="20"/>
  <c r="L130" i="20"/>
  <c r="L131" i="20"/>
  <c r="M127" i="20"/>
  <c r="Y127" i="20" s="1"/>
  <c r="N127" i="20"/>
  <c r="C127" i="20"/>
  <c r="C138" i="20"/>
  <c r="K127" i="20"/>
  <c r="G127" i="20"/>
  <c r="G138" i="20"/>
  <c r="N138" i="20"/>
  <c r="J138" i="20"/>
  <c r="V127" i="20"/>
  <c r="N342" i="48" s="1"/>
  <c r="N341" i="48" s="1"/>
  <c r="Q127" i="20"/>
  <c r="E138" i="20"/>
  <c r="E135" i="20"/>
  <c r="E130" i="20"/>
  <c r="U135" i="20" s="1"/>
  <c r="O127" i="20"/>
  <c r="F187" i="35"/>
  <c r="F186" i="35"/>
  <c r="T127" i="20"/>
  <c r="I18" i="45"/>
  <c r="H122" i="18"/>
  <c r="R84" i="49"/>
  <c r="P84" i="49"/>
  <c r="P88" i="49"/>
  <c r="O84" i="49"/>
  <c r="R346" i="48"/>
  <c r="Q191" i="35"/>
  <c r="G332" i="49"/>
  <c r="G323" i="49" s="1"/>
  <c r="K332" i="49"/>
  <c r="K323" i="49" s="1"/>
  <c r="K319" i="49" s="1"/>
  <c r="N175" i="35"/>
  <c r="N166" i="35" s="1"/>
  <c r="N162" i="35" s="1"/>
  <c r="P1" i="20"/>
  <c r="X28" i="21"/>
  <c r="X36" i="21" s="1"/>
  <c r="E315" i="48"/>
  <c r="O35" i="6"/>
  <c r="Y18" i="20"/>
  <c r="O65" i="41" s="1"/>
  <c r="O41" i="6"/>
  <c r="E281" i="48"/>
  <c r="O70" i="21"/>
  <c r="G330" i="48"/>
  <c r="G321" i="48"/>
  <c r="J175" i="35"/>
  <c r="O330" i="48"/>
  <c r="O321" i="48" s="1"/>
  <c r="O317" i="48" s="1"/>
  <c r="R348" i="49"/>
  <c r="W127" i="20"/>
  <c r="O342" i="48" s="1"/>
  <c r="O341" i="48" s="1"/>
  <c r="R127" i="20"/>
  <c r="J342" i="48"/>
  <c r="J341" i="48"/>
  <c r="Q36" i="21"/>
  <c r="AB28" i="21"/>
  <c r="T28" i="21"/>
  <c r="T36" i="21" s="1"/>
  <c r="AA7" i="21"/>
  <c r="Q172" i="45"/>
  <c r="P166" i="45"/>
  <c r="Q166" i="45" s="1"/>
  <c r="Q253" i="45"/>
  <c r="P252" i="45"/>
  <c r="V192" i="35"/>
  <c r="W192" i="35"/>
  <c r="I41" i="18"/>
  <c r="Q41" i="18" s="1"/>
  <c r="D58" i="18"/>
  <c r="M138" i="20"/>
  <c r="O71" i="21"/>
  <c r="Q353" i="16"/>
  <c r="U353" i="16" s="1"/>
  <c r="G197" i="45"/>
  <c r="H197" i="45"/>
  <c r="P197" i="45"/>
  <c r="Q197" i="45" s="1"/>
  <c r="R197" i="45" s="1"/>
  <c r="P370" i="45"/>
  <c r="Q370" i="45"/>
  <c r="R370" i="45" s="1"/>
  <c r="S323" i="45"/>
  <c r="T323" i="45"/>
  <c r="U323" i="45"/>
  <c r="V323" i="45" s="1"/>
  <c r="W323" i="45" s="1"/>
  <c r="X323" i="45" s="1"/>
  <c r="Y260" i="37"/>
  <c r="Z260" i="37" s="1"/>
  <c r="Y185" i="45"/>
  <c r="Z185" i="45"/>
  <c r="R158" i="45"/>
  <c r="S158" i="45" s="1"/>
  <c r="T158" i="45" s="1"/>
  <c r="U158" i="45" s="1"/>
  <c r="V158" i="45"/>
  <c r="W158" i="45" s="1"/>
  <c r="X158" i="45" s="1"/>
  <c r="S160" i="45"/>
  <c r="T160" i="45"/>
  <c r="E81" i="15"/>
  <c r="F82" i="15"/>
  <c r="Y9" i="37"/>
  <c r="R332" i="37"/>
  <c r="S332" i="37" s="1"/>
  <c r="Q332" i="37"/>
  <c r="J128" i="45"/>
  <c r="F251" i="45"/>
  <c r="F175" i="45" s="1"/>
  <c r="F25" i="45" s="1"/>
  <c r="N175" i="20"/>
  <c r="S152" i="45"/>
  <c r="T152" i="45" s="1"/>
  <c r="U152" i="45" s="1"/>
  <c r="R151" i="45"/>
  <c r="S151" i="45"/>
  <c r="T151" i="45" s="1"/>
  <c r="U151" i="45" s="1"/>
  <c r="V151" i="45" s="1"/>
  <c r="W151" i="45" s="1"/>
  <c r="X151" i="45" s="1"/>
  <c r="V358" i="37"/>
  <c r="W358" i="37"/>
  <c r="X358" i="37"/>
  <c r="Y358" i="37" s="1"/>
  <c r="Z358" i="37" s="1"/>
  <c r="S170" i="37"/>
  <c r="T170" i="37"/>
  <c r="Q165" i="45"/>
  <c r="R165" i="45"/>
  <c r="S165" i="45" s="1"/>
  <c r="T165" i="45" s="1"/>
  <c r="U165" i="45" s="1"/>
  <c r="V165" i="45" s="1"/>
  <c r="W165" i="45" s="1"/>
  <c r="X165" i="45" s="1"/>
  <c r="R288" i="45"/>
  <c r="Q288" i="45"/>
  <c r="E9" i="18"/>
  <c r="E58" i="18" s="1"/>
  <c r="I16" i="18"/>
  <c r="Q16" i="18" s="1"/>
  <c r="H110" i="18"/>
  <c r="I17" i="45"/>
  <c r="I16" i="45" s="1"/>
  <c r="M187" i="35"/>
  <c r="M186" i="35" s="1"/>
  <c r="M185" i="35" s="1"/>
  <c r="AA21" i="21"/>
  <c r="M141" i="20"/>
  <c r="M139" i="20" s="1"/>
  <c r="N137" i="20"/>
  <c r="N135" i="20"/>
  <c r="Q373" i="16"/>
  <c r="G379" i="48"/>
  <c r="Q356" i="16"/>
  <c r="U356" i="16" s="1"/>
  <c r="P173" i="45"/>
  <c r="Q173" i="45" s="1"/>
  <c r="P223" i="37"/>
  <c r="Q223" i="37" s="1"/>
  <c r="G316" i="45"/>
  <c r="H316" i="45" s="1"/>
  <c r="P316" i="45"/>
  <c r="Q316" i="45" s="1"/>
  <c r="R316" i="45" s="1"/>
  <c r="S316" i="45" s="1"/>
  <c r="T316" i="45" s="1"/>
  <c r="U316" i="45" s="1"/>
  <c r="V316" i="45" s="1"/>
  <c r="W316" i="45" s="1"/>
  <c r="X316" i="45" s="1"/>
  <c r="P209" i="45"/>
  <c r="Q209" i="45" s="1"/>
  <c r="R209" i="45" s="1"/>
  <c r="S209" i="45" s="1"/>
  <c r="T209" i="45" s="1"/>
  <c r="R99" i="45"/>
  <c r="S100" i="45"/>
  <c r="Y10" i="37"/>
  <c r="Y389" i="37"/>
  <c r="Z389" i="37"/>
  <c r="H175" i="37"/>
  <c r="I175" i="37" s="1"/>
  <c r="R157" i="45"/>
  <c r="S157" i="45"/>
  <c r="Q346" i="45"/>
  <c r="P345" i="45"/>
  <c r="Y257" i="37"/>
  <c r="Z257" i="37"/>
  <c r="P278" i="45"/>
  <c r="Q278" i="45" s="1"/>
  <c r="Q157" i="45"/>
  <c r="G98" i="15"/>
  <c r="H106" i="15"/>
  <c r="Q134" i="37"/>
  <c r="R134" i="37"/>
  <c r="S134" i="37"/>
  <c r="AA164" i="37"/>
  <c r="R320" i="37"/>
  <c r="S320" i="37" s="1"/>
  <c r="T320" i="37" s="1"/>
  <c r="U320" i="37" s="1"/>
  <c r="V320" i="37" s="1"/>
  <c r="S321" i="37"/>
  <c r="Q137" i="45"/>
  <c r="R137" i="45"/>
  <c r="S137" i="45"/>
  <c r="P246" i="45"/>
  <c r="Q246" i="45" s="1"/>
  <c r="R246" i="45" s="1"/>
  <c r="S246" i="45"/>
  <c r="T246" i="45" s="1"/>
  <c r="R247" i="45"/>
  <c r="S247" i="45" s="1"/>
  <c r="T247" i="45" s="1"/>
  <c r="C251" i="45"/>
  <c r="V114" i="35"/>
  <c r="W114" i="35"/>
  <c r="H305" i="45"/>
  <c r="P305" i="45" s="1"/>
  <c r="Q305" i="45" s="1"/>
  <c r="R142" i="45"/>
  <c r="Q142" i="45"/>
  <c r="P262" i="45"/>
  <c r="Q262" i="45" s="1"/>
  <c r="Q268" i="45"/>
  <c r="F301" i="45"/>
  <c r="G301" i="45" s="1"/>
  <c r="H301" i="45"/>
  <c r="V124" i="35"/>
  <c r="W124" i="35"/>
  <c r="N130" i="20"/>
  <c r="Z127" i="20"/>
  <c r="P127" i="20"/>
  <c r="AA272" i="48"/>
  <c r="R289" i="48"/>
  <c r="K51" i="23"/>
  <c r="K56" i="23" s="1"/>
  <c r="M395" i="16"/>
  <c r="Q380" i="45"/>
  <c r="P279" i="45"/>
  <c r="Q279" i="45" s="1"/>
  <c r="H81" i="15"/>
  <c r="P297" i="37"/>
  <c r="Q297" i="37" s="1"/>
  <c r="R297" i="37" s="1"/>
  <c r="I311" i="37"/>
  <c r="P311" i="37" s="1"/>
  <c r="Q311" i="37" s="1"/>
  <c r="R311" i="37"/>
  <c r="S311" i="37" s="1"/>
  <c r="U287" i="45"/>
  <c r="V287" i="45" s="1"/>
  <c r="P296" i="37"/>
  <c r="Q296" i="37"/>
  <c r="R296" i="37" s="1"/>
  <c r="U265" i="37"/>
  <c r="V265" i="37" s="1"/>
  <c r="W265" i="37"/>
  <c r="X265" i="37" s="1"/>
  <c r="P305" i="37"/>
  <c r="Q305" i="37" s="1"/>
  <c r="R305" i="37"/>
  <c r="S305" i="37" s="1"/>
  <c r="T305" i="37" s="1"/>
  <c r="Y348" i="45"/>
  <c r="Z348" i="45" s="1"/>
  <c r="V137" i="37"/>
  <c r="W137" i="37" s="1"/>
  <c r="Y137" i="37" s="1"/>
  <c r="Z137" i="37" s="1"/>
  <c r="X137" i="37"/>
  <c r="H205" i="45"/>
  <c r="P205" i="45" s="1"/>
  <c r="Q205" i="45" s="1"/>
  <c r="R205" i="45" s="1"/>
  <c r="S205" i="45" s="1"/>
  <c r="T205" i="45" s="1"/>
  <c r="U205" i="45" s="1"/>
  <c r="V205" i="45" s="1"/>
  <c r="W205" i="45" s="1"/>
  <c r="X205" i="45" s="1"/>
  <c r="Q177" i="45"/>
  <c r="G222" i="45"/>
  <c r="H222" i="45" s="1"/>
  <c r="Q307" i="45"/>
  <c r="P309" i="37"/>
  <c r="Q309" i="37" s="1"/>
  <c r="R309" i="37" s="1"/>
  <c r="S309" i="37" s="1"/>
  <c r="T309" i="37"/>
  <c r="U309" i="37" s="1"/>
  <c r="V309" i="37" s="1"/>
  <c r="W309" i="37" s="1"/>
  <c r="X309" i="37" s="1"/>
  <c r="F304" i="45"/>
  <c r="G304" i="45" s="1"/>
  <c r="H304" i="45" s="1"/>
  <c r="P304" i="45"/>
  <c r="Q304" i="45" s="1"/>
  <c r="R304" i="45" s="1"/>
  <c r="S304" i="45" s="1"/>
  <c r="T304" i="45" s="1"/>
  <c r="E200" i="45"/>
  <c r="F200" i="45"/>
  <c r="G200" i="45"/>
  <c r="H200" i="45" s="1"/>
  <c r="C9" i="45"/>
  <c r="P300" i="45"/>
  <c r="Q300" i="45" s="1"/>
  <c r="R300" i="45" s="1"/>
  <c r="R20" i="37"/>
  <c r="G99" i="37"/>
  <c r="Q146" i="37"/>
  <c r="R146" i="37"/>
  <c r="S146" i="37"/>
  <c r="T146" i="37" s="1"/>
  <c r="U146" i="37" s="1"/>
  <c r="V146" i="37" s="1"/>
  <c r="W146" i="37" s="1"/>
  <c r="I25" i="15"/>
  <c r="H25" i="15"/>
  <c r="G20" i="15"/>
  <c r="H47" i="15"/>
  <c r="I47" i="15"/>
  <c r="E53" i="15"/>
  <c r="F54" i="15"/>
  <c r="E98" i="15"/>
  <c r="F98" i="15"/>
  <c r="F106" i="15"/>
  <c r="Q99" i="45"/>
  <c r="C98" i="45"/>
  <c r="R146" i="45"/>
  <c r="S146" i="45" s="1"/>
  <c r="T146" i="45" s="1"/>
  <c r="Q146" i="45"/>
  <c r="Q163" i="45"/>
  <c r="R163" i="45"/>
  <c r="S163" i="45" s="1"/>
  <c r="T163" i="45" s="1"/>
  <c r="U163" i="45" s="1"/>
  <c r="V163" i="45" s="1"/>
  <c r="W163" i="45" s="1"/>
  <c r="X163" i="45" s="1"/>
  <c r="E374" i="45"/>
  <c r="F374" i="45" s="1"/>
  <c r="G374" i="45" s="1"/>
  <c r="H374" i="45" s="1"/>
  <c r="P374" i="45"/>
  <c r="Q374" i="45" s="1"/>
  <c r="P393" i="45"/>
  <c r="Q393" i="45"/>
  <c r="Q394" i="45"/>
  <c r="V168" i="35"/>
  <c r="W168" i="35"/>
  <c r="R75" i="20"/>
  <c r="S75" i="20"/>
  <c r="P192" i="45"/>
  <c r="Q192" i="45" s="1"/>
  <c r="R192" i="45" s="1"/>
  <c r="S192" i="45" s="1"/>
  <c r="T192" i="45" s="1"/>
  <c r="U192" i="45" s="1"/>
  <c r="V192" i="45" s="1"/>
  <c r="W192" i="45" s="1"/>
  <c r="X192" i="45" s="1"/>
  <c r="Y396" i="37"/>
  <c r="Z396" i="37"/>
  <c r="P229" i="45"/>
  <c r="Q229" i="45" s="1"/>
  <c r="R229" i="45" s="1"/>
  <c r="S229" i="45" s="1"/>
  <c r="R100" i="37"/>
  <c r="Y138" i="45"/>
  <c r="Z138" i="45" s="1"/>
  <c r="Y184" i="37"/>
  <c r="Z184" i="37" s="1"/>
  <c r="G309" i="37"/>
  <c r="H309" i="37" s="1"/>
  <c r="I309" i="37" s="1"/>
  <c r="S270" i="37"/>
  <c r="T270" i="37"/>
  <c r="P384" i="37"/>
  <c r="Q384" i="37"/>
  <c r="R384" i="37" s="1"/>
  <c r="P302" i="37"/>
  <c r="Q302" i="37" s="1"/>
  <c r="R302" i="37" s="1"/>
  <c r="S348" i="37"/>
  <c r="T348" i="37" s="1"/>
  <c r="R347" i="37"/>
  <c r="G151" i="37"/>
  <c r="H151" i="37"/>
  <c r="I151" i="37" s="1"/>
  <c r="F10" i="37"/>
  <c r="F9" i="37" s="1"/>
  <c r="L10" i="37"/>
  <c r="L9" i="37" s="1"/>
  <c r="F99" i="37"/>
  <c r="H252" i="37"/>
  <c r="E43" i="15"/>
  <c r="F43" i="15" s="1"/>
  <c r="F47" i="15"/>
  <c r="P29" i="45"/>
  <c r="Q30" i="45"/>
  <c r="P102" i="45"/>
  <c r="P120" i="45"/>
  <c r="Q120" i="45" s="1"/>
  <c r="R120" i="45" s="1"/>
  <c r="Q144" i="45"/>
  <c r="R144" i="45"/>
  <c r="S144" i="45" s="1"/>
  <c r="T144" i="45" s="1"/>
  <c r="U144" i="45" s="1"/>
  <c r="V144" i="45" s="1"/>
  <c r="W144" i="45" s="1"/>
  <c r="X144" i="45" s="1"/>
  <c r="L175" i="45"/>
  <c r="Q320" i="45"/>
  <c r="P319" i="45"/>
  <c r="Q319" i="45" s="1"/>
  <c r="E322" i="45"/>
  <c r="E321" i="45"/>
  <c r="P332" i="45"/>
  <c r="J322" i="45"/>
  <c r="J321" i="45"/>
  <c r="N322" i="45"/>
  <c r="N321" i="45" s="1"/>
  <c r="R51" i="35"/>
  <c r="V150" i="35"/>
  <c r="W213" i="35"/>
  <c r="V213" i="35"/>
  <c r="P122" i="45"/>
  <c r="Q122" i="45"/>
  <c r="V277" i="45"/>
  <c r="P227" i="45"/>
  <c r="Q227" i="45"/>
  <c r="R227" i="45"/>
  <c r="P217" i="45"/>
  <c r="Q217" i="45"/>
  <c r="R217" i="45" s="1"/>
  <c r="S217" i="45" s="1"/>
  <c r="T217" i="45" s="1"/>
  <c r="S280" i="45"/>
  <c r="T280" i="45"/>
  <c r="U280" i="45"/>
  <c r="V280" i="45" s="1"/>
  <c r="W280" i="45" s="1"/>
  <c r="X280" i="45" s="1"/>
  <c r="H50" i="15"/>
  <c r="G10" i="37"/>
  <c r="G9" i="37"/>
  <c r="P29" i="37"/>
  <c r="Q29" i="37" s="1"/>
  <c r="P179" i="37"/>
  <c r="Q179" i="37" s="1"/>
  <c r="I176" i="37"/>
  <c r="AB337" i="37"/>
  <c r="F322" i="37"/>
  <c r="P346" i="37"/>
  <c r="Q346" i="37"/>
  <c r="E322" i="37"/>
  <c r="P347" i="37"/>
  <c r="Q347" i="37" s="1"/>
  <c r="P141" i="45"/>
  <c r="Q141" i="45" s="1"/>
  <c r="W144" i="35"/>
  <c r="V144" i="35"/>
  <c r="X145" i="35"/>
  <c r="V145" i="35"/>
  <c r="W6" i="20"/>
  <c r="X6" i="20"/>
  <c r="I141" i="20"/>
  <c r="I139" i="20" s="1"/>
  <c r="I75" i="20"/>
  <c r="U75" i="20" s="1"/>
  <c r="V18" i="20"/>
  <c r="L65" i="41" s="1"/>
  <c r="N64" i="41"/>
  <c r="N57" i="41"/>
  <c r="N56" i="41" s="1"/>
  <c r="N69" i="42"/>
  <c r="N68" i="42"/>
  <c r="N67" i="42" s="1"/>
  <c r="S41" i="42"/>
  <c r="E40" i="42"/>
  <c r="F29" i="42"/>
  <c r="H10" i="37"/>
  <c r="H9" i="37" s="1"/>
  <c r="J10" i="37"/>
  <c r="J9" i="37" s="1"/>
  <c r="J99" i="37"/>
  <c r="M129" i="37"/>
  <c r="K252" i="37"/>
  <c r="K176" i="37" s="1"/>
  <c r="O252" i="37"/>
  <c r="O176" i="37" s="1"/>
  <c r="R324" i="37"/>
  <c r="S324" i="37" s="1"/>
  <c r="I66" i="15"/>
  <c r="H66" i="15"/>
  <c r="N128" i="45"/>
  <c r="K105" i="35"/>
  <c r="Q101" i="16"/>
  <c r="U101" i="16" s="1"/>
  <c r="W36" i="21"/>
  <c r="P202" i="45"/>
  <c r="Q202" i="45"/>
  <c r="R202" i="45" s="1"/>
  <c r="S202" i="45" s="1"/>
  <c r="T202" i="45" s="1"/>
  <c r="U202" i="45"/>
  <c r="V202" i="45" s="1"/>
  <c r="W202" i="45" s="1"/>
  <c r="X202" i="45" s="1"/>
  <c r="P234" i="45"/>
  <c r="Q234" i="45" s="1"/>
  <c r="R234" i="45" s="1"/>
  <c r="S234" i="45" s="1"/>
  <c r="T234" i="45" s="1"/>
  <c r="O17" i="37"/>
  <c r="O11" i="37" s="1"/>
  <c r="O58" i="18"/>
  <c r="G58" i="18"/>
  <c r="Q325" i="37"/>
  <c r="Q340" i="45"/>
  <c r="O162" i="35"/>
  <c r="P13" i="37"/>
  <c r="E10" i="37"/>
  <c r="E9" i="37" s="1"/>
  <c r="I10" i="37"/>
  <c r="I9" i="37" s="1"/>
  <c r="P103" i="37"/>
  <c r="Q103" i="37" s="1"/>
  <c r="R103" i="37"/>
  <c r="S103" i="37" s="1"/>
  <c r="T103" i="37" s="1"/>
  <c r="E129" i="37"/>
  <c r="H177" i="37"/>
  <c r="H176" i="37" s="1"/>
  <c r="H26" i="37" s="1"/>
  <c r="M1" i="37" s="1"/>
  <c r="P400" i="37"/>
  <c r="Q400" i="37"/>
  <c r="G22" i="45"/>
  <c r="J98" i="45"/>
  <c r="K128" i="45"/>
  <c r="K25" i="45" s="1"/>
  <c r="O128" i="45"/>
  <c r="R108" i="35"/>
  <c r="N194" i="35"/>
  <c r="V204" i="35"/>
  <c r="W225" i="35"/>
  <c r="E307" i="16"/>
  <c r="Q48" i="18"/>
  <c r="M59" i="18"/>
  <c r="M109" i="18" s="1"/>
  <c r="Q88" i="18"/>
  <c r="S5" i="25"/>
  <c r="F235" i="35"/>
  <c r="F247" i="35" s="1"/>
  <c r="D20" i="45"/>
  <c r="D19" i="45" s="1"/>
  <c r="AA5" i="25"/>
  <c r="N235" i="35"/>
  <c r="N247" i="35"/>
  <c r="L20" i="45"/>
  <c r="L19" i="45" s="1"/>
  <c r="Y19" i="24"/>
  <c r="Y32" i="24" s="1"/>
  <c r="E279" i="49"/>
  <c r="E277" i="49" s="1"/>
  <c r="E273" i="49" s="1"/>
  <c r="E277" i="48"/>
  <c r="E275" i="48" s="1"/>
  <c r="E271" i="48" s="1"/>
  <c r="L26" i="22"/>
  <c r="Q36" i="16"/>
  <c r="Q309" i="16"/>
  <c r="K344" i="16"/>
  <c r="K389" i="16"/>
  <c r="M58" i="18"/>
  <c r="C9" i="18"/>
  <c r="I21" i="18"/>
  <c r="Q21" i="18" s="1"/>
  <c r="U18" i="20"/>
  <c r="K65" i="41" s="1"/>
  <c r="T18" i="20"/>
  <c r="J65" i="41" s="1"/>
  <c r="H141" i="20"/>
  <c r="H139" i="20" s="1"/>
  <c r="O77" i="20"/>
  <c r="W30" i="33"/>
  <c r="W31" i="33"/>
  <c r="H39" i="39"/>
  <c r="Q40" i="39"/>
  <c r="L99" i="37"/>
  <c r="L252" i="37"/>
  <c r="L176" i="37" s="1"/>
  <c r="Q333" i="37"/>
  <c r="L128" i="45"/>
  <c r="L25" i="45"/>
  <c r="P129" i="45"/>
  <c r="Q129" i="45" s="1"/>
  <c r="R133" i="45"/>
  <c r="S133" i="45"/>
  <c r="T133" i="45" s="1"/>
  <c r="U133" i="45" s="1"/>
  <c r="V133" i="45" s="1"/>
  <c r="R136" i="45"/>
  <c r="S136" i="45" s="1"/>
  <c r="T136" i="45" s="1"/>
  <c r="I128" i="45"/>
  <c r="K175" i="45"/>
  <c r="D251" i="45"/>
  <c r="G251" i="45"/>
  <c r="E126" i="35"/>
  <c r="E125" i="35" s="1"/>
  <c r="D126" i="35"/>
  <c r="D125" i="35" s="1"/>
  <c r="T212" i="35"/>
  <c r="F21" i="45"/>
  <c r="J21" i="45"/>
  <c r="N21" i="45"/>
  <c r="R253" i="35"/>
  <c r="E28" i="48"/>
  <c r="D5" i="48"/>
  <c r="D313" i="48" s="1"/>
  <c r="F367" i="48"/>
  <c r="Q322" i="16"/>
  <c r="O307" i="16"/>
  <c r="O73" i="39" s="1"/>
  <c r="O72" i="39" s="1"/>
  <c r="O26" i="42" s="1"/>
  <c r="Z77" i="20"/>
  <c r="K109" i="18"/>
  <c r="F242" i="35"/>
  <c r="D14" i="45" s="1"/>
  <c r="D13" i="45" s="1"/>
  <c r="F9" i="18"/>
  <c r="F58" i="18" s="1"/>
  <c r="Q42" i="18"/>
  <c r="Q44" i="18"/>
  <c r="D109" i="18"/>
  <c r="E18" i="45" s="1"/>
  <c r="Q69" i="18"/>
  <c r="Q93" i="18"/>
  <c r="P18" i="20"/>
  <c r="F65" i="41" s="1"/>
  <c r="D141" i="20"/>
  <c r="D139" i="20" s="1"/>
  <c r="H148" i="20"/>
  <c r="H150" i="20" s="1"/>
  <c r="H155" i="20"/>
  <c r="H151" i="20"/>
  <c r="I148" i="20"/>
  <c r="I151" i="20"/>
  <c r="E152" i="20"/>
  <c r="F152" i="20"/>
  <c r="D49" i="2"/>
  <c r="AJ6" i="22"/>
  <c r="C99" i="37"/>
  <c r="J129" i="37"/>
  <c r="N129" i="37"/>
  <c r="E252" i="37"/>
  <c r="C252" i="37"/>
  <c r="C176" i="37" s="1"/>
  <c r="P320" i="37"/>
  <c r="Q320" i="37" s="1"/>
  <c r="E124" i="15"/>
  <c r="F124" i="15"/>
  <c r="E98" i="45"/>
  <c r="G128" i="45"/>
  <c r="M128" i="45"/>
  <c r="E128" i="45"/>
  <c r="P128" i="45" s="1"/>
  <c r="I251" i="45"/>
  <c r="I175" i="45"/>
  <c r="J53" i="35"/>
  <c r="G53" i="35"/>
  <c r="R101" i="35"/>
  <c r="N105" i="35"/>
  <c r="S142" i="35"/>
  <c r="W165" i="35"/>
  <c r="P162" i="35"/>
  <c r="U191" i="35"/>
  <c r="K194" i="35"/>
  <c r="U197" i="35"/>
  <c r="U198" i="35"/>
  <c r="S202" i="35"/>
  <c r="F303" i="48"/>
  <c r="Y77" i="20"/>
  <c r="S77" i="20"/>
  <c r="Z35" i="21"/>
  <c r="D152" i="20"/>
  <c r="J152" i="20"/>
  <c r="L5" i="40"/>
  <c r="L31" i="42"/>
  <c r="L30" i="42" s="1"/>
  <c r="L29" i="42" s="1"/>
  <c r="AB8" i="21"/>
  <c r="N5" i="40"/>
  <c r="N31" i="42"/>
  <c r="N30" i="42" s="1"/>
  <c r="N29" i="42" s="1"/>
  <c r="H32" i="11"/>
  <c r="H5" i="11"/>
  <c r="T26" i="22"/>
  <c r="C148" i="20"/>
  <c r="D150" i="20" s="1"/>
  <c r="D155" i="20" s="1"/>
  <c r="H16" i="42"/>
  <c r="T16" i="42" s="1"/>
  <c r="O67" i="10"/>
  <c r="O58" i="10" s="1"/>
  <c r="P26" i="22"/>
  <c r="P6" i="22"/>
  <c r="J363" i="49"/>
  <c r="J356" i="48"/>
  <c r="AX7" i="22"/>
  <c r="N372" i="49"/>
  <c r="N369" i="48"/>
  <c r="K372" i="49"/>
  <c r="K369" i="48"/>
  <c r="K367" i="48" s="1"/>
  <c r="G374" i="49"/>
  <c r="G371" i="48"/>
  <c r="E333" i="16"/>
  <c r="F80" i="6"/>
  <c r="J80" i="6"/>
  <c r="T6" i="22"/>
  <c r="BB27" i="22"/>
  <c r="BB26" i="22" s="1"/>
  <c r="AR26" i="22"/>
  <c r="AR6" i="22" s="1"/>
  <c r="AJ84" i="22"/>
  <c r="AJ65" i="22" s="1"/>
  <c r="AY84" i="22"/>
  <c r="AY65" i="22"/>
  <c r="O128" i="22" s="1"/>
  <c r="X31" i="28"/>
  <c r="Q374" i="49"/>
  <c r="Q371" i="48"/>
  <c r="I374" i="49"/>
  <c r="I371" i="48"/>
  <c r="G371" i="49"/>
  <c r="G370" i="49" s="1"/>
  <c r="G365" i="49" s="1"/>
  <c r="G368" i="48"/>
  <c r="G367" i="48" s="1"/>
  <c r="I347" i="49"/>
  <c r="I345" i="48"/>
  <c r="I354" i="49"/>
  <c r="I353" i="48"/>
  <c r="Z6" i="21"/>
  <c r="R347" i="49"/>
  <c r="R345" i="48"/>
  <c r="E175" i="20"/>
  <c r="Q10" i="18"/>
  <c r="Q56" i="18"/>
  <c r="E59" i="18"/>
  <c r="I74" i="18"/>
  <c r="Q74" i="18" s="1"/>
  <c r="P74" i="18"/>
  <c r="Q98" i="18"/>
  <c r="Q100" i="18"/>
  <c r="U5" i="25"/>
  <c r="P26" i="25"/>
  <c r="P28" i="25" s="1"/>
  <c r="J139" i="20"/>
  <c r="M67" i="21"/>
  <c r="C50" i="2"/>
  <c r="G71" i="21"/>
  <c r="D80" i="6"/>
  <c r="O85" i="6"/>
  <c r="L6" i="22"/>
  <c r="BB7" i="22"/>
  <c r="L65" i="22"/>
  <c r="AB12" i="21"/>
  <c r="T31" i="28"/>
  <c r="O30" i="29"/>
  <c r="R363" i="49"/>
  <c r="R356" i="48"/>
  <c r="W40" i="22"/>
  <c r="W26" i="22" s="1"/>
  <c r="S40" i="22"/>
  <c r="S26" i="22"/>
  <c r="N48" i="22"/>
  <c r="N7" i="22"/>
  <c r="F41" i="22"/>
  <c r="E99" i="22"/>
  <c r="E84" i="22"/>
  <c r="E65" i="22" s="1"/>
  <c r="P374" i="49"/>
  <c r="P371" i="48"/>
  <c r="L371" i="49"/>
  <c r="L368" i="48"/>
  <c r="N352" i="49"/>
  <c r="N350" i="48"/>
  <c r="I175" i="20"/>
  <c r="O118" i="20"/>
  <c r="P16" i="18"/>
  <c r="Q51" i="18"/>
  <c r="Q55" i="18"/>
  <c r="F59" i="18"/>
  <c r="F109" i="18" s="1"/>
  <c r="Q97" i="18"/>
  <c r="Q101" i="18"/>
  <c r="Q113" i="18"/>
  <c r="R6" i="20"/>
  <c r="X75" i="20"/>
  <c r="E151" i="20"/>
  <c r="M71" i="21"/>
  <c r="I71" i="21"/>
  <c r="I6" i="11"/>
  <c r="I5" i="11" s="1"/>
  <c r="H6" i="11"/>
  <c r="M67" i="10"/>
  <c r="O59" i="6"/>
  <c r="C80" i="6"/>
  <c r="G80" i="6"/>
  <c r="K80" i="6"/>
  <c r="T84" i="22"/>
  <c r="T65" i="22" s="1"/>
  <c r="BB107" i="22"/>
  <c r="J39" i="39"/>
  <c r="T95" i="42"/>
  <c r="P364" i="49"/>
  <c r="P357" i="48"/>
  <c r="AT37" i="22"/>
  <c r="AT27" i="22" s="1"/>
  <c r="R27" i="22"/>
  <c r="J8" i="22"/>
  <c r="G7" i="22"/>
  <c r="G6" i="22" s="1"/>
  <c r="D124" i="22" s="1"/>
  <c r="M374" i="49"/>
  <c r="M371" i="48"/>
  <c r="H372" i="49"/>
  <c r="H369" i="48"/>
  <c r="L346" i="49"/>
  <c r="L344" i="48"/>
  <c r="L175" i="20"/>
  <c r="P31" i="28"/>
  <c r="S18" i="29"/>
  <c r="W18" i="29"/>
  <c r="T30" i="33"/>
  <c r="X30" i="33"/>
  <c r="O39" i="39"/>
  <c r="Q98" i="42"/>
  <c r="U98" i="42"/>
  <c r="AU40" i="22"/>
  <c r="AU26" i="22" s="1"/>
  <c r="AU6" i="22" s="1"/>
  <c r="AS99" i="22"/>
  <c r="AO40" i="22"/>
  <c r="AO26" i="22"/>
  <c r="AO6" i="22" s="1"/>
  <c r="L131" i="22" s="1"/>
  <c r="O221" i="35" s="1"/>
  <c r="AM40" i="22"/>
  <c r="AM26" i="22" s="1"/>
  <c r="AG99" i="22"/>
  <c r="AG84" i="22"/>
  <c r="AG65" i="22"/>
  <c r="M176" i="35" s="1"/>
  <c r="M161" i="35" s="1"/>
  <c r="Z7" i="22"/>
  <c r="Y84" i="22"/>
  <c r="Y65" i="22" s="1"/>
  <c r="R82" i="20"/>
  <c r="I199" i="35"/>
  <c r="J358" i="49"/>
  <c r="J357" i="49"/>
  <c r="F175" i="20"/>
  <c r="P113" i="20"/>
  <c r="V85" i="22"/>
  <c r="J67" i="22"/>
  <c r="J66" i="22"/>
  <c r="O285" i="49"/>
  <c r="O283" i="48"/>
  <c r="J284" i="49"/>
  <c r="J282" i="48"/>
  <c r="N36" i="25"/>
  <c r="F36" i="25"/>
  <c r="D36" i="25"/>
  <c r="H36" i="25"/>
  <c r="J36" i="25"/>
  <c r="L36" i="25"/>
  <c r="E36" i="25"/>
  <c r="G36" i="25"/>
  <c r="I31" i="25"/>
  <c r="K31" i="25"/>
  <c r="M31" i="25"/>
  <c r="D31" i="25"/>
  <c r="N31" i="25"/>
  <c r="J31" i="25"/>
  <c r="L31" i="25"/>
  <c r="AB17" i="21"/>
  <c r="AB18" i="21"/>
  <c r="AB19" i="21"/>
  <c r="V30" i="28"/>
  <c r="Q30" i="28"/>
  <c r="Y30" i="28"/>
  <c r="Y31" i="28" s="1"/>
  <c r="W30" i="29"/>
  <c r="W31" i="29" s="1"/>
  <c r="V30" i="33"/>
  <c r="Y18" i="30"/>
  <c r="Y31" i="30" s="1"/>
  <c r="F39" i="39"/>
  <c r="Q39" i="39"/>
  <c r="Q10" i="41"/>
  <c r="J15" i="41"/>
  <c r="Q23" i="41"/>
  <c r="Q26" i="41"/>
  <c r="Q33" i="41"/>
  <c r="Q37" i="41"/>
  <c r="Q41" i="41"/>
  <c r="Q58" i="41"/>
  <c r="Q60" i="41"/>
  <c r="Q61" i="41"/>
  <c r="Q62" i="41"/>
  <c r="Q63" i="41"/>
  <c r="Q72" i="41"/>
  <c r="Q82" i="41"/>
  <c r="Q84" i="41"/>
  <c r="Q87" i="41"/>
  <c r="Q88" i="41"/>
  <c r="Q10" i="42"/>
  <c r="U10" i="42" s="1"/>
  <c r="F44" i="42"/>
  <c r="N44" i="42"/>
  <c r="N124" i="22"/>
  <c r="P36" i="2" s="1"/>
  <c r="AT48" i="22"/>
  <c r="AS84" i="22"/>
  <c r="AS65" i="22"/>
  <c r="AL48" i="22"/>
  <c r="Z41" i="22"/>
  <c r="Z40" i="22" s="1"/>
  <c r="P353" i="48"/>
  <c r="R118" i="20"/>
  <c r="H351" i="48"/>
  <c r="B82" i="20"/>
  <c r="G353" i="48"/>
  <c r="K36" i="25"/>
  <c r="W99" i="22"/>
  <c r="W84" i="22" s="1"/>
  <c r="Z107" i="22"/>
  <c r="K285" i="49"/>
  <c r="K283" i="48"/>
  <c r="P279" i="49"/>
  <c r="P277" i="48"/>
  <c r="AB15" i="21"/>
  <c r="R36" i="21"/>
  <c r="R31" i="28"/>
  <c r="Z31" i="28"/>
  <c r="W30" i="28"/>
  <c r="W31" i="28" s="1"/>
  <c r="S30" i="28"/>
  <c r="S31" i="28"/>
  <c r="Z30" i="29"/>
  <c r="X30" i="29"/>
  <c r="R30" i="29"/>
  <c r="R31" i="29" s="1"/>
  <c r="S30" i="29"/>
  <c r="R18" i="33"/>
  <c r="V18" i="33"/>
  <c r="P18" i="33"/>
  <c r="P31" i="33" s="1"/>
  <c r="T18" i="33"/>
  <c r="X18" i="33"/>
  <c r="Q30" i="33"/>
  <c r="Q31" i="33" s="1"/>
  <c r="L11" i="41"/>
  <c r="P11" i="41"/>
  <c r="H15" i="41"/>
  <c r="L15" i="41"/>
  <c r="AE40" i="22"/>
  <c r="AE26" i="22"/>
  <c r="AE6" i="22" s="1"/>
  <c r="J124" i="22" s="1"/>
  <c r="L36" i="2" s="1"/>
  <c r="C82" i="20"/>
  <c r="M303" i="48"/>
  <c r="M301" i="48" s="1"/>
  <c r="M285" i="49"/>
  <c r="M283" i="48"/>
  <c r="O6" i="11"/>
  <c r="U32" i="11"/>
  <c r="N82" i="16"/>
  <c r="T296" i="48"/>
  <c r="P9" i="10"/>
  <c r="AA84" i="22"/>
  <c r="AA65" i="22"/>
  <c r="I123" i="22"/>
  <c r="K9" i="10"/>
  <c r="I135" i="35"/>
  <c r="R21" i="10"/>
  <c r="L21" i="10"/>
  <c r="P296" i="16"/>
  <c r="P65" i="39"/>
  <c r="O169" i="16"/>
  <c r="O206" i="16"/>
  <c r="N264" i="16"/>
  <c r="N263" i="16" s="1"/>
  <c r="N248" i="16"/>
  <c r="N247" i="16" s="1"/>
  <c r="O102" i="35" s="1"/>
  <c r="Q209" i="16"/>
  <c r="Q170" i="16"/>
  <c r="U170" i="16" s="1"/>
  <c r="J158" i="16"/>
  <c r="J155" i="16" s="1"/>
  <c r="J71" i="39" s="1"/>
  <c r="J25" i="42" s="1"/>
  <c r="I158" i="16"/>
  <c r="I155" i="16" s="1"/>
  <c r="I71" i="39" s="1"/>
  <c r="I25" i="42" s="1"/>
  <c r="Q266" i="16"/>
  <c r="Q108" i="16"/>
  <c r="Q119" i="16"/>
  <c r="F75" i="39"/>
  <c r="F27" i="42" s="1"/>
  <c r="Q111" i="16"/>
  <c r="U111" i="16" s="1"/>
  <c r="E264" i="16"/>
  <c r="E263" i="16" s="1"/>
  <c r="F103" i="35" s="1"/>
  <c r="Q159" i="16"/>
  <c r="N42" i="48"/>
  <c r="M91" i="48"/>
  <c r="K66" i="16"/>
  <c r="L91" i="48"/>
  <c r="J91" i="48"/>
  <c r="Q71" i="16"/>
  <c r="U71" i="16" s="1"/>
  <c r="E73" i="16"/>
  <c r="E63" i="16"/>
  <c r="R28" i="48"/>
  <c r="Q17" i="48"/>
  <c r="O20" i="16"/>
  <c r="O8" i="39" s="1"/>
  <c r="P28" i="48"/>
  <c r="N10" i="48"/>
  <c r="T18" i="48"/>
  <c r="Q19" i="16"/>
  <c r="H17" i="48"/>
  <c r="S32" i="48"/>
  <c r="Y32" i="48" s="1"/>
  <c r="M6" i="21"/>
  <c r="J24" i="21"/>
  <c r="J85" i="22"/>
  <c r="AX107" i="22"/>
  <c r="K39" i="25"/>
  <c r="V23" i="11"/>
  <c r="P45" i="25"/>
  <c r="P41" i="25"/>
  <c r="K295" i="48"/>
  <c r="M6" i="11"/>
  <c r="O99" i="22"/>
  <c r="O84" i="22" s="1"/>
  <c r="G99" i="22"/>
  <c r="G84" i="22"/>
  <c r="M21" i="10"/>
  <c r="N32" i="11"/>
  <c r="J32" i="11"/>
  <c r="N169" i="16"/>
  <c r="H296" i="16"/>
  <c r="F169" i="16"/>
  <c r="N91" i="48"/>
  <c r="P20" i="16"/>
  <c r="P8" i="39" s="1"/>
  <c r="M20" i="16"/>
  <c r="K20" i="16"/>
  <c r="J20" i="16"/>
  <c r="I7" i="21"/>
  <c r="U7" i="21" s="1"/>
  <c r="K45" i="6"/>
  <c r="M45" i="6"/>
  <c r="O4" i="2"/>
  <c r="R6" i="11"/>
  <c r="I82" i="16"/>
  <c r="Q113" i="48"/>
  <c r="M113" i="48"/>
  <c r="S133" i="48"/>
  <c r="S122" i="48"/>
  <c r="S171" i="48"/>
  <c r="O181" i="48"/>
  <c r="J181" i="48"/>
  <c r="H259" i="48"/>
  <c r="H256" i="48" s="1"/>
  <c r="S257" i="48"/>
  <c r="AA32" i="48"/>
  <c r="H53" i="2"/>
  <c r="H51" i="2"/>
  <c r="P10" i="39"/>
  <c r="M386" i="16"/>
  <c r="O386" i="16"/>
  <c r="L65" i="39"/>
  <c r="M135" i="35"/>
  <c r="Q135" i="35"/>
  <c r="U18" i="48"/>
  <c r="R86" i="48"/>
  <c r="J105" i="35"/>
  <c r="Q23" i="16"/>
  <c r="K87" i="48"/>
  <c r="I48" i="35"/>
  <c r="I47" i="35" s="1"/>
  <c r="L73" i="16"/>
  <c r="Q58" i="35"/>
  <c r="H51" i="16"/>
  <c r="H33" i="39" s="1"/>
  <c r="O98" i="35"/>
  <c r="O23" i="35"/>
  <c r="O22" i="35" s="1"/>
  <c r="Q39" i="48"/>
  <c r="H30" i="35"/>
  <c r="O66" i="48"/>
  <c r="G73" i="35"/>
  <c r="M392" i="16"/>
  <c r="O23" i="48"/>
  <c r="H69" i="35"/>
  <c r="I59" i="35"/>
  <c r="N80" i="48"/>
  <c r="K49" i="48"/>
  <c r="N67" i="35"/>
  <c r="I40" i="42"/>
  <c r="G11" i="41"/>
  <c r="P58" i="35"/>
  <c r="M26" i="35"/>
  <c r="J29" i="35"/>
  <c r="J35" i="35"/>
  <c r="H48" i="35"/>
  <c r="H47" i="35" s="1"/>
  <c r="P50" i="35"/>
  <c r="H57" i="35"/>
  <c r="H53" i="35" s="1"/>
  <c r="H61" i="35"/>
  <c r="K64" i="35"/>
  <c r="J71" i="35"/>
  <c r="I72" i="35"/>
  <c r="N75" i="35"/>
  <c r="G77" i="35"/>
  <c r="J98" i="35"/>
  <c r="U202" i="35"/>
  <c r="F208" i="35"/>
  <c r="J44" i="16"/>
  <c r="J32" i="39" s="1"/>
  <c r="G44" i="16"/>
  <c r="G32" i="39" s="1"/>
  <c r="G51" i="16"/>
  <c r="G33" i="39" s="1"/>
  <c r="J21" i="41"/>
  <c r="J9" i="41" s="1"/>
  <c r="K31" i="42"/>
  <c r="K30" i="42" s="1"/>
  <c r="K29" i="42" s="1"/>
  <c r="Q17" i="41"/>
  <c r="T38" i="42"/>
  <c r="S63" i="42"/>
  <c r="R70" i="42"/>
  <c r="R71" i="42"/>
  <c r="T75" i="42"/>
  <c r="N212" i="16"/>
  <c r="N205" i="16" s="1"/>
  <c r="N206" i="16"/>
  <c r="N158" i="16"/>
  <c r="N155" i="16" s="1"/>
  <c r="N71" i="39" s="1"/>
  <c r="N25" i="42" s="1"/>
  <c r="Q210" i="16"/>
  <c r="U210" i="16" s="1"/>
  <c r="Q157" i="16"/>
  <c r="Q141" i="16"/>
  <c r="Q135" i="16"/>
  <c r="U135" i="16" s="1"/>
  <c r="Q121" i="16"/>
  <c r="U121" i="16" s="1"/>
  <c r="Q114" i="16"/>
  <c r="U114" i="16" s="1"/>
  <c r="L158" i="16"/>
  <c r="L155" i="16" s="1"/>
  <c r="L71" i="39" s="1"/>
  <c r="L25" i="42" s="1"/>
  <c r="K264" i="16"/>
  <c r="K263" i="16" s="1"/>
  <c r="L103" i="35" s="1"/>
  <c r="K248" i="16"/>
  <c r="K212" i="16"/>
  <c r="K206" i="16"/>
  <c r="K158" i="16"/>
  <c r="K155" i="16" s="1"/>
  <c r="K71" i="39" s="1"/>
  <c r="K25" i="42" s="1"/>
  <c r="K107" i="16"/>
  <c r="J206" i="16"/>
  <c r="I248" i="16"/>
  <c r="I247" i="16" s="1"/>
  <c r="J102" i="35" s="1"/>
  <c r="H158" i="16"/>
  <c r="H155" i="16"/>
  <c r="R91" i="48"/>
  <c r="K82" i="16"/>
  <c r="L344" i="16"/>
  <c r="L389" i="16"/>
  <c r="L386" i="16"/>
  <c r="S175" i="35"/>
  <c r="U296" i="48"/>
  <c r="H48" i="42"/>
  <c r="G296" i="16"/>
  <c r="F246" i="35"/>
  <c r="Q74" i="35"/>
  <c r="F236" i="16"/>
  <c r="F233" i="16" s="1"/>
  <c r="G95" i="35" s="1"/>
  <c r="Q21" i="16"/>
  <c r="I32" i="16"/>
  <c r="J75" i="35"/>
  <c r="L17" i="16"/>
  <c r="L10" i="39" s="1"/>
  <c r="I89" i="48"/>
  <c r="M42" i="48"/>
  <c r="E158" i="16"/>
  <c r="E155" i="16"/>
  <c r="E71" i="39" s="1"/>
  <c r="E25" i="42" s="1"/>
  <c r="M206" i="16"/>
  <c r="J41" i="48"/>
  <c r="J50" i="48"/>
  <c r="M30" i="35"/>
  <c r="L66" i="16"/>
  <c r="I57" i="16"/>
  <c r="I37" i="39" s="1"/>
  <c r="P74" i="35"/>
  <c r="P54" i="48"/>
  <c r="Q94" i="16"/>
  <c r="N35" i="35"/>
  <c r="M16" i="39"/>
  <c r="I57" i="48"/>
  <c r="I85" i="48"/>
  <c r="M68" i="35"/>
  <c r="R54" i="48"/>
  <c r="K387" i="16"/>
  <c r="J60" i="35"/>
  <c r="K55" i="48"/>
  <c r="R191" i="35"/>
  <c r="J289" i="48"/>
  <c r="P23" i="35"/>
  <c r="N24" i="35"/>
  <c r="Q34" i="35"/>
  <c r="Q32" i="35" s="1"/>
  <c r="O50" i="35"/>
  <c r="I52" i="35"/>
  <c r="M61" i="35"/>
  <c r="M59" i="35" s="1"/>
  <c r="N64" i="35"/>
  <c r="G69" i="35"/>
  <c r="O71" i="35"/>
  <c r="M72" i="35"/>
  <c r="H109" i="35"/>
  <c r="H105" i="35" s="1"/>
  <c r="Q86" i="16"/>
  <c r="H391" i="16"/>
  <c r="G307" i="16"/>
  <c r="S79" i="42"/>
  <c r="Q83" i="42"/>
  <c r="U83" i="42" s="1"/>
  <c r="R17" i="48"/>
  <c r="S33" i="48"/>
  <c r="S18" i="48"/>
  <c r="P17" i="48"/>
  <c r="O28" i="48"/>
  <c r="O17" i="48"/>
  <c r="N28" i="48"/>
  <c r="N17" i="48"/>
  <c r="M28" i="48"/>
  <c r="M17" i="48"/>
  <c r="L28" i="48"/>
  <c r="L17" i="48"/>
  <c r="K28" i="48"/>
  <c r="P181" i="48"/>
  <c r="L181" i="48"/>
  <c r="S296" i="48"/>
  <c r="P14" i="40"/>
  <c r="Q293" i="16"/>
  <c r="P44" i="16"/>
  <c r="P32" i="39" s="1"/>
  <c r="Q198" i="16"/>
  <c r="H77" i="35"/>
  <c r="J37" i="48"/>
  <c r="F105" i="35"/>
  <c r="H57" i="16"/>
  <c r="H37" i="39" s="1"/>
  <c r="M66" i="16"/>
  <c r="O63" i="16"/>
  <c r="O32" i="16"/>
  <c r="N63" i="16"/>
  <c r="M84" i="48"/>
  <c r="N32" i="16"/>
  <c r="N15" i="39"/>
  <c r="N12" i="39" s="1"/>
  <c r="N11" i="42" s="1"/>
  <c r="H26" i="35"/>
  <c r="H73" i="35"/>
  <c r="J80" i="48"/>
  <c r="K79" i="48"/>
  <c r="I68" i="35"/>
  <c r="P63" i="16"/>
  <c r="I63" i="16"/>
  <c r="J53" i="39"/>
  <c r="J20" i="42" s="1"/>
  <c r="S58" i="42"/>
  <c r="H15" i="42"/>
  <c r="G22" i="35"/>
  <c r="K34" i="35"/>
  <c r="P34" i="35"/>
  <c r="M35" i="35"/>
  <c r="Q49" i="35"/>
  <c r="H52" i="35"/>
  <c r="N60" i="35"/>
  <c r="N59" i="35" s="1"/>
  <c r="O67" i="35"/>
  <c r="L68" i="35"/>
  <c r="N71" i="35"/>
  <c r="L72" i="35"/>
  <c r="R78" i="35"/>
  <c r="R80" i="35"/>
  <c r="R89" i="35"/>
  <c r="R92" i="35"/>
  <c r="R93" i="35"/>
  <c r="R94" i="35"/>
  <c r="G98" i="35"/>
  <c r="G96" i="35" s="1"/>
  <c r="T202" i="35"/>
  <c r="F5" i="40"/>
  <c r="J16" i="39"/>
  <c r="Q16" i="39" s="1"/>
  <c r="H66" i="16"/>
  <c r="R85" i="48"/>
  <c r="U90" i="48"/>
  <c r="N65" i="48"/>
  <c r="H20" i="16"/>
  <c r="H8" i="39" s="1"/>
  <c r="R181" i="48"/>
  <c r="N181" i="48"/>
  <c r="Q232" i="48"/>
  <c r="I232" i="48"/>
  <c r="P232" i="48"/>
  <c r="M264" i="48"/>
  <c r="I264" i="48"/>
  <c r="K264" i="48"/>
  <c r="S260" i="48"/>
  <c r="Q18" i="39"/>
  <c r="P22" i="35"/>
  <c r="K47" i="35"/>
  <c r="P194" i="35"/>
  <c r="N19" i="45"/>
  <c r="E94" i="48"/>
  <c r="K11" i="41"/>
  <c r="K15" i="41"/>
  <c r="T39" i="42"/>
  <c r="T77" i="42"/>
  <c r="G264" i="16"/>
  <c r="G263" i="16"/>
  <c r="G206" i="16"/>
  <c r="G107" i="16"/>
  <c r="G65" i="39" s="1"/>
  <c r="F206" i="16"/>
  <c r="F158" i="16"/>
  <c r="F155" i="16" s="1"/>
  <c r="R84" i="48"/>
  <c r="S245" i="48"/>
  <c r="P15" i="42"/>
  <c r="O50" i="39"/>
  <c r="O19" i="42" s="1"/>
  <c r="O105" i="35"/>
  <c r="F203" i="35"/>
  <c r="K208" i="35"/>
  <c r="K203" i="35" s="1"/>
  <c r="F33" i="40"/>
  <c r="H5" i="40"/>
  <c r="Q67" i="48"/>
  <c r="S44" i="48"/>
  <c r="AA44" i="48" s="1"/>
  <c r="S45" i="48"/>
  <c r="AA45" i="48"/>
  <c r="S40" i="48"/>
  <c r="AA40" i="48" s="1"/>
  <c r="S93" i="48"/>
  <c r="AA93" i="48"/>
  <c r="O232" i="48"/>
  <c r="R28" i="35"/>
  <c r="R54" i="35"/>
  <c r="K53" i="35"/>
  <c r="O53" i="35"/>
  <c r="L53" i="35"/>
  <c r="M53" i="35"/>
  <c r="H9" i="41"/>
  <c r="U322" i="16"/>
  <c r="S98" i="42"/>
  <c r="T100" i="42"/>
  <c r="J28" i="48"/>
  <c r="I28" i="48"/>
  <c r="J67" i="48"/>
  <c r="O67" i="48"/>
  <c r="S179" i="48"/>
  <c r="S213" i="48"/>
  <c r="O15" i="42"/>
  <c r="T42" i="42"/>
  <c r="L22" i="35"/>
  <c r="L47" i="35"/>
  <c r="S128" i="35"/>
  <c r="U129" i="35"/>
  <c r="T35" i="42"/>
  <c r="P206" i="16"/>
  <c r="P158" i="16"/>
  <c r="P155" i="16" s="1"/>
  <c r="P71" i="39" s="1"/>
  <c r="P25" i="42" s="1"/>
  <c r="O264" i="16"/>
  <c r="O263" i="16" s="1"/>
  <c r="O212" i="16"/>
  <c r="O158" i="16"/>
  <c r="O155" i="16" s="1"/>
  <c r="O71" i="39" s="1"/>
  <c r="O25" i="42" s="1"/>
  <c r="K91" i="48"/>
  <c r="D4" i="48"/>
  <c r="D307" i="48" s="1"/>
  <c r="F19" i="45"/>
  <c r="J58" i="39"/>
  <c r="J56" i="39" s="1"/>
  <c r="J21" i="42" s="1"/>
  <c r="J73" i="39"/>
  <c r="J72" i="39" s="1"/>
  <c r="J26" i="42" s="1"/>
  <c r="R66" i="49"/>
  <c r="R65" i="49" s="1"/>
  <c r="R64" i="48"/>
  <c r="P73" i="16"/>
  <c r="R53" i="49"/>
  <c r="R50" i="49" s="1"/>
  <c r="Q62" i="35"/>
  <c r="Q59" i="35" s="1"/>
  <c r="R43" i="49"/>
  <c r="Q52" i="35"/>
  <c r="R41" i="48"/>
  <c r="Q91" i="49"/>
  <c r="P77" i="35"/>
  <c r="Q53" i="49"/>
  <c r="P62" i="35"/>
  <c r="P59" i="35" s="1"/>
  <c r="O57" i="16"/>
  <c r="O37" i="39" s="1"/>
  <c r="N88" i="16"/>
  <c r="N87" i="16" s="1"/>
  <c r="N29" i="39" s="1"/>
  <c r="N27" i="39" s="1"/>
  <c r="P60" i="49"/>
  <c r="P58" i="49" s="1"/>
  <c r="O27" i="35"/>
  <c r="O25" i="35" s="1"/>
  <c r="N66" i="16"/>
  <c r="O67" i="49"/>
  <c r="N34" i="35"/>
  <c r="N32" i="35" s="1"/>
  <c r="M73" i="16"/>
  <c r="O56" i="49"/>
  <c r="N23" i="35"/>
  <c r="M63" i="16"/>
  <c r="M62" i="16" s="1"/>
  <c r="M24" i="39" s="1"/>
  <c r="O41" i="49"/>
  <c r="O38" i="49" s="1"/>
  <c r="M44" i="16"/>
  <c r="M32" i="39"/>
  <c r="N50" i="35"/>
  <c r="N47" i="35" s="1"/>
  <c r="M75" i="35"/>
  <c r="N85" i="49"/>
  <c r="M71" i="35"/>
  <c r="N83" i="48"/>
  <c r="N57" i="49"/>
  <c r="N55" i="49"/>
  <c r="M24" i="35"/>
  <c r="M22" i="35" s="1"/>
  <c r="N41" i="49"/>
  <c r="N38" i="49"/>
  <c r="M50" i="35"/>
  <c r="M47" i="35" s="1"/>
  <c r="L44" i="16"/>
  <c r="N39" i="48"/>
  <c r="L75" i="35"/>
  <c r="M81" i="49"/>
  <c r="L67" i="35"/>
  <c r="I68" i="49"/>
  <c r="G73" i="16"/>
  <c r="H35" i="35"/>
  <c r="H32" i="35" s="1"/>
  <c r="Q76" i="16"/>
  <c r="I62" i="49"/>
  <c r="H29" i="35"/>
  <c r="G66" i="16"/>
  <c r="Q70" i="16"/>
  <c r="U70" i="16"/>
  <c r="I51" i="49"/>
  <c r="G57" i="16"/>
  <c r="H60" i="35"/>
  <c r="H59" i="35"/>
  <c r="U88" i="48"/>
  <c r="T88" i="48"/>
  <c r="S88" i="48"/>
  <c r="F88" i="16"/>
  <c r="F87" i="16" s="1"/>
  <c r="F29" i="39" s="1"/>
  <c r="Q90" i="16"/>
  <c r="N86" i="35"/>
  <c r="O234" i="35"/>
  <c r="N397" i="16"/>
  <c r="R165" i="35"/>
  <c r="V165" i="35" s="1"/>
  <c r="S165" i="35"/>
  <c r="L166" i="35"/>
  <c r="L162" i="35" s="1"/>
  <c r="U196" i="35"/>
  <c r="T196" i="35"/>
  <c r="R196" i="35"/>
  <c r="S198" i="35"/>
  <c r="R198" i="35"/>
  <c r="T198" i="35"/>
  <c r="S200" i="35"/>
  <c r="T200" i="35"/>
  <c r="U200" i="35"/>
  <c r="R200" i="35"/>
  <c r="W200" i="35"/>
  <c r="S201" i="35"/>
  <c r="U201" i="35"/>
  <c r="T201" i="35"/>
  <c r="S99" i="42"/>
  <c r="Q99" i="42"/>
  <c r="U99" i="42" s="1"/>
  <c r="Q101" i="42"/>
  <c r="U101" i="42" s="1"/>
  <c r="T101" i="42"/>
  <c r="P34" i="2"/>
  <c r="M68" i="49"/>
  <c r="M65" i="49" s="1"/>
  <c r="K73" i="16"/>
  <c r="M62" i="49"/>
  <c r="M58" i="49"/>
  <c r="L29" i="35"/>
  <c r="L25" i="35" s="1"/>
  <c r="L21" i="35" s="1"/>
  <c r="M57" i="49"/>
  <c r="M55" i="49" s="1"/>
  <c r="K63" i="16"/>
  <c r="K62" i="16" s="1"/>
  <c r="K24" i="39" s="1"/>
  <c r="M51" i="49"/>
  <c r="M50" i="49" s="1"/>
  <c r="K57" i="16"/>
  <c r="K37" i="39"/>
  <c r="K31" i="39" s="1"/>
  <c r="K13" i="42" s="1"/>
  <c r="L60" i="35"/>
  <c r="L59" i="35" s="1"/>
  <c r="L46" i="35" s="1"/>
  <c r="L86" i="49"/>
  <c r="L84" i="48"/>
  <c r="L82" i="49"/>
  <c r="L80" i="49" s="1"/>
  <c r="J88" i="16"/>
  <c r="J87" i="16" s="1"/>
  <c r="J29" i="39" s="1"/>
  <c r="J27" i="39" s="1"/>
  <c r="K68" i="35"/>
  <c r="G30" i="35"/>
  <c r="F66" i="16"/>
  <c r="G26" i="35"/>
  <c r="H57" i="48"/>
  <c r="Q67" i="16"/>
  <c r="U67" i="16" s="1"/>
  <c r="G61" i="35"/>
  <c r="G59" i="35" s="1"/>
  <c r="F57" i="16"/>
  <c r="F37" i="39" s="1"/>
  <c r="F51" i="16"/>
  <c r="F33" i="39" s="1"/>
  <c r="G52" i="35"/>
  <c r="G48" i="35"/>
  <c r="F44" i="16"/>
  <c r="F32" i="39" s="1"/>
  <c r="G82" i="48"/>
  <c r="Q92" i="16"/>
  <c r="U92" i="16" s="1"/>
  <c r="E88" i="16"/>
  <c r="E87" i="16" s="1"/>
  <c r="E29" i="39" s="1"/>
  <c r="E27" i="39" s="1"/>
  <c r="G46" i="48"/>
  <c r="G42" i="48" s="1"/>
  <c r="Q55" i="16"/>
  <c r="G41" i="48"/>
  <c r="E33" i="39"/>
  <c r="E44" i="16"/>
  <c r="G37" i="48"/>
  <c r="Q45" i="16"/>
  <c r="R27" i="49"/>
  <c r="P32" i="16"/>
  <c r="Q19" i="35" s="1"/>
  <c r="S29" i="48"/>
  <c r="Q28" i="48"/>
  <c r="Q25" i="49"/>
  <c r="P64" i="35"/>
  <c r="O16" i="39"/>
  <c r="Q31" i="16"/>
  <c r="Q12" i="48"/>
  <c r="O17" i="16"/>
  <c r="P14" i="48"/>
  <c r="P13" i="48" s="1"/>
  <c r="N20" i="16"/>
  <c r="O28" i="49"/>
  <c r="M32" i="16"/>
  <c r="O9" i="48"/>
  <c r="M9" i="39"/>
  <c r="Q9" i="39" s="1"/>
  <c r="N27" i="49"/>
  <c r="L32" i="16"/>
  <c r="N25" i="48"/>
  <c r="M27" i="49"/>
  <c r="K32" i="16"/>
  <c r="M25" i="48"/>
  <c r="L28" i="49"/>
  <c r="L26" i="49"/>
  <c r="J32" i="16"/>
  <c r="J8" i="39"/>
  <c r="J15" i="16"/>
  <c r="K29" i="49"/>
  <c r="K27" i="48"/>
  <c r="Q35" i="16"/>
  <c r="K17" i="48"/>
  <c r="S21" i="48"/>
  <c r="J27" i="49"/>
  <c r="H32" i="16"/>
  <c r="J25" i="48"/>
  <c r="I27" i="49"/>
  <c r="I26" i="49" s="1"/>
  <c r="G32" i="16"/>
  <c r="I14" i="48"/>
  <c r="I13" i="48" s="1"/>
  <c r="G20" i="16"/>
  <c r="G8" i="39" s="1"/>
  <c r="I9" i="48"/>
  <c r="G9" i="39"/>
  <c r="S30" i="48"/>
  <c r="H28" i="48"/>
  <c r="F32" i="16"/>
  <c r="F15" i="39"/>
  <c r="F12" i="39" s="1"/>
  <c r="F11" i="42" s="1"/>
  <c r="Q33" i="16"/>
  <c r="F20" i="16"/>
  <c r="F8" i="39" s="1"/>
  <c r="H14" i="48"/>
  <c r="F9" i="39"/>
  <c r="H9" i="48"/>
  <c r="S31" i="48"/>
  <c r="G28" i="48"/>
  <c r="G28" i="49"/>
  <c r="E32" i="16"/>
  <c r="Q34" i="16"/>
  <c r="U34" i="16" s="1"/>
  <c r="G15" i="48"/>
  <c r="E20" i="16"/>
  <c r="Q22" i="16"/>
  <c r="Q180" i="49"/>
  <c r="Q178" i="49"/>
  <c r="Q175" i="49" s="1"/>
  <c r="O388" i="16"/>
  <c r="O236" i="16"/>
  <c r="O233" i="16" s="1"/>
  <c r="P95" i="35" s="1"/>
  <c r="M82" i="16"/>
  <c r="O73" i="48"/>
  <c r="O72" i="48" s="1"/>
  <c r="L76" i="48"/>
  <c r="U86" i="16"/>
  <c r="I75" i="48"/>
  <c r="Q85" i="16"/>
  <c r="L14" i="40"/>
  <c r="I30" i="16"/>
  <c r="T128" i="35"/>
  <c r="J79" i="35"/>
  <c r="Q78" i="16"/>
  <c r="U78" i="16"/>
  <c r="Q50" i="16"/>
  <c r="Q47" i="16"/>
  <c r="M43" i="16"/>
  <c r="N25" i="35"/>
  <c r="T129" i="35"/>
  <c r="M29" i="35"/>
  <c r="L63" i="16"/>
  <c r="L62" i="16" s="1"/>
  <c r="L24" i="39" s="1"/>
  <c r="P57" i="16"/>
  <c r="P37" i="39" s="1"/>
  <c r="Q74" i="16"/>
  <c r="S59" i="48"/>
  <c r="AA59" i="48" s="1"/>
  <c r="Q59" i="16"/>
  <c r="S19" i="48"/>
  <c r="S20" i="48"/>
  <c r="L72" i="48"/>
  <c r="I72" i="48"/>
  <c r="S107" i="48"/>
  <c r="S136" i="48"/>
  <c r="S127" i="48"/>
  <c r="Q13" i="41"/>
  <c r="R81" i="35"/>
  <c r="G79" i="35"/>
  <c r="H73" i="39"/>
  <c r="H72" i="39" s="1"/>
  <c r="H26" i="42" s="1"/>
  <c r="H58" i="39"/>
  <c r="H56" i="39" s="1"/>
  <c r="R60" i="49"/>
  <c r="Q27" i="35"/>
  <c r="Q25" i="35" s="1"/>
  <c r="Q21" i="35" s="1"/>
  <c r="R58" i="48"/>
  <c r="Q57" i="35"/>
  <c r="Q53" i="35"/>
  <c r="P51" i="16"/>
  <c r="P33" i="39" s="1"/>
  <c r="R39" i="49"/>
  <c r="R38" i="49"/>
  <c r="Q48" i="35"/>
  <c r="Q47" i="35" s="1"/>
  <c r="R37" i="48"/>
  <c r="Q87" i="49"/>
  <c r="P73" i="35"/>
  <c r="Q83" i="49"/>
  <c r="O88" i="16"/>
  <c r="O87" i="16" s="1"/>
  <c r="O29" i="39" s="1"/>
  <c r="O27" i="39" s="1"/>
  <c r="P69" i="35"/>
  <c r="Q81" i="48"/>
  <c r="Q66" i="49"/>
  <c r="Q65" i="49" s="1"/>
  <c r="P33" i="35"/>
  <c r="O73" i="16"/>
  <c r="Q60" i="49"/>
  <c r="Q58" i="49" s="1"/>
  <c r="P27" i="35"/>
  <c r="O66" i="16"/>
  <c r="Q40" i="49"/>
  <c r="O44" i="16"/>
  <c r="P49" i="35"/>
  <c r="P47" i="35" s="1"/>
  <c r="P86" i="48"/>
  <c r="P66" i="49"/>
  <c r="P64" i="48"/>
  <c r="N73" i="16"/>
  <c r="P53" i="49"/>
  <c r="O62" i="35"/>
  <c r="O59" i="35" s="1"/>
  <c r="P40" i="49"/>
  <c r="O49" i="35"/>
  <c r="O47" i="35" s="1"/>
  <c r="N70" i="35"/>
  <c r="M88" i="16"/>
  <c r="M87" i="16" s="1"/>
  <c r="M29" i="39" s="1"/>
  <c r="M27" i="39" s="1"/>
  <c r="O49" i="49"/>
  <c r="N58" i="35"/>
  <c r="N81" i="49"/>
  <c r="L88" i="16"/>
  <c r="L87" i="16" s="1"/>
  <c r="L29" i="39" s="1"/>
  <c r="L27" i="39" s="1"/>
  <c r="N79" i="48"/>
  <c r="N51" i="49"/>
  <c r="L57" i="16"/>
  <c r="L37" i="39" s="1"/>
  <c r="N49" i="48"/>
  <c r="M85" i="49"/>
  <c r="L71" i="35"/>
  <c r="I57" i="49"/>
  <c r="I55" i="49" s="1"/>
  <c r="G63" i="16"/>
  <c r="H24" i="35"/>
  <c r="H22" i="35"/>
  <c r="Q65" i="16"/>
  <c r="G72" i="35"/>
  <c r="Q79" i="16"/>
  <c r="U79" i="16"/>
  <c r="G69" i="48"/>
  <c r="O40" i="42"/>
  <c r="Q41" i="42"/>
  <c r="U41" i="42"/>
  <c r="R55" i="35"/>
  <c r="I53" i="35"/>
  <c r="R56" i="35"/>
  <c r="R106" i="35"/>
  <c r="I105" i="35"/>
  <c r="S212" i="35"/>
  <c r="R212" i="35"/>
  <c r="U212" i="35"/>
  <c r="I5" i="40"/>
  <c r="I31" i="42"/>
  <c r="I30" i="42"/>
  <c r="I29" i="42" s="1"/>
  <c r="J5" i="40"/>
  <c r="J31" i="42"/>
  <c r="J30" i="42"/>
  <c r="J29" i="42" s="1"/>
  <c r="K53" i="2"/>
  <c r="K51" i="2"/>
  <c r="E44" i="42"/>
  <c r="S45" i="42"/>
  <c r="Q17" i="2"/>
  <c r="H289" i="48"/>
  <c r="E14" i="40"/>
  <c r="F135" i="35"/>
  <c r="I379" i="49"/>
  <c r="I296" i="49" s="1"/>
  <c r="H140" i="35"/>
  <c r="S140" i="35" s="1"/>
  <c r="G44" i="2"/>
  <c r="I376" i="48"/>
  <c r="I294" i="48"/>
  <c r="P21" i="41"/>
  <c r="Q109" i="35"/>
  <c r="Q105" i="35" s="1"/>
  <c r="L68" i="49"/>
  <c r="J73" i="16"/>
  <c r="K35" i="35"/>
  <c r="L66" i="48"/>
  <c r="L62" i="49"/>
  <c r="J66" i="16"/>
  <c r="K29" i="35"/>
  <c r="K25" i="35" s="1"/>
  <c r="L57" i="49"/>
  <c r="L55" i="49" s="1"/>
  <c r="J63" i="16"/>
  <c r="K24" i="35"/>
  <c r="K22" i="35"/>
  <c r="L51" i="49"/>
  <c r="L50" i="49" s="1"/>
  <c r="K60" i="35"/>
  <c r="K59" i="35"/>
  <c r="K46" i="35" s="1"/>
  <c r="J57" i="16"/>
  <c r="W296" i="48"/>
  <c r="L15" i="16"/>
  <c r="F11" i="41"/>
  <c r="H91" i="48"/>
  <c r="P66" i="16"/>
  <c r="O54" i="48"/>
  <c r="K88" i="16"/>
  <c r="K87" i="16" s="1"/>
  <c r="K29" i="39" s="1"/>
  <c r="K27" i="39" s="1"/>
  <c r="I15" i="16"/>
  <c r="O33" i="35"/>
  <c r="O32" i="35"/>
  <c r="M105" i="35"/>
  <c r="Q16" i="42"/>
  <c r="U16" i="42" s="1"/>
  <c r="Q16" i="41"/>
  <c r="R98" i="42"/>
  <c r="S226" i="48"/>
  <c r="S224" i="48"/>
  <c r="S211" i="48"/>
  <c r="Q206" i="48"/>
  <c r="R259" i="48"/>
  <c r="R256" i="48"/>
  <c r="N291" i="49"/>
  <c r="N289" i="48"/>
  <c r="L321" i="48"/>
  <c r="E14" i="42"/>
  <c r="R14" i="42" s="1"/>
  <c r="Q38" i="39"/>
  <c r="G19" i="45"/>
  <c r="E5" i="40"/>
  <c r="E31" i="42"/>
  <c r="R31" i="42"/>
  <c r="N21" i="41"/>
  <c r="N9" i="41" s="1"/>
  <c r="N296" i="16"/>
  <c r="M264" i="16"/>
  <c r="M263" i="16" s="1"/>
  <c r="N103" i="35" s="1"/>
  <c r="M387" i="16"/>
  <c r="N97" i="35"/>
  <c r="N96" i="35" s="1"/>
  <c r="M236" i="16"/>
  <c r="M233" i="16"/>
  <c r="N95" i="35" s="1"/>
  <c r="M158" i="16"/>
  <c r="M155" i="16" s="1"/>
  <c r="M71" i="39" s="1"/>
  <c r="M25" i="42" s="1"/>
  <c r="Q162" i="16"/>
  <c r="Q130" i="16"/>
  <c r="K324" i="16"/>
  <c r="Q327" i="16"/>
  <c r="Q238" i="16"/>
  <c r="K388" i="16"/>
  <c r="L98" i="35"/>
  <c r="L96" i="35" s="1"/>
  <c r="K236" i="16"/>
  <c r="K233" i="16"/>
  <c r="J292" i="16"/>
  <c r="K104" i="35" s="1"/>
  <c r="J391" i="16"/>
  <c r="Q391" i="16"/>
  <c r="I296" i="16"/>
  <c r="I21" i="41"/>
  <c r="I9" i="41" s="1"/>
  <c r="Q268" i="16"/>
  <c r="U268" i="16" s="1"/>
  <c r="H264" i="16"/>
  <c r="H263" i="16" s="1"/>
  <c r="I103" i="35" s="1"/>
  <c r="H236" i="16"/>
  <c r="H233" i="16" s="1"/>
  <c r="I95" i="35" s="1"/>
  <c r="I97" i="35"/>
  <c r="I96" i="35" s="1"/>
  <c r="Q237" i="16"/>
  <c r="H212" i="16"/>
  <c r="Q213" i="16"/>
  <c r="H206" i="16"/>
  <c r="Q207" i="16"/>
  <c r="H107" i="16"/>
  <c r="Q110" i="16"/>
  <c r="R113" i="16"/>
  <c r="Q221" i="16"/>
  <c r="U221" i="16"/>
  <c r="G220" i="16"/>
  <c r="G158" i="16"/>
  <c r="G155" i="16" s="1"/>
  <c r="G71" i="39" s="1"/>
  <c r="G25" i="42" s="1"/>
  <c r="Q161" i="16"/>
  <c r="U161" i="16" s="1"/>
  <c r="G386" i="16"/>
  <c r="G109" i="35"/>
  <c r="F21" i="41"/>
  <c r="F9" i="41" s="1"/>
  <c r="E21" i="41"/>
  <c r="E296" i="16"/>
  <c r="E248" i="16"/>
  <c r="E247" i="16" s="1"/>
  <c r="Q258" i="16"/>
  <c r="E206" i="16"/>
  <c r="Q208" i="16"/>
  <c r="U208" i="16" s="1"/>
  <c r="Q128" i="16"/>
  <c r="Q75" i="35"/>
  <c r="Q66" i="35"/>
  <c r="P88" i="16"/>
  <c r="P87" i="16" s="1"/>
  <c r="P29" i="39" s="1"/>
  <c r="P27" i="39" s="1"/>
  <c r="R82" i="48"/>
  <c r="K87" i="49"/>
  <c r="J73" i="35"/>
  <c r="K85" i="48"/>
  <c r="Q95" i="16"/>
  <c r="K83" i="49"/>
  <c r="K80" i="49" s="1"/>
  <c r="J69" i="35"/>
  <c r="J66" i="35" s="1"/>
  <c r="J65" i="35" s="1"/>
  <c r="J63" i="35" s="1"/>
  <c r="Q91" i="16"/>
  <c r="I88" i="16"/>
  <c r="I87" i="16"/>
  <c r="I29" i="39" s="1"/>
  <c r="I27" i="39" s="1"/>
  <c r="K66" i="49"/>
  <c r="K65" i="49" s="1"/>
  <c r="J33" i="35"/>
  <c r="I73" i="16"/>
  <c r="K60" i="49"/>
  <c r="Q68" i="16"/>
  <c r="U68" i="16" s="1"/>
  <c r="I66" i="16"/>
  <c r="J27" i="35"/>
  <c r="J25" i="35"/>
  <c r="K53" i="49"/>
  <c r="K50" i="49" s="1"/>
  <c r="K51" i="48"/>
  <c r="J62" i="35"/>
  <c r="J59" i="35"/>
  <c r="Q60" i="16"/>
  <c r="K40" i="49"/>
  <c r="I44" i="16"/>
  <c r="Q46" i="16"/>
  <c r="J49" i="35"/>
  <c r="J47" i="35" s="1"/>
  <c r="K38" i="48"/>
  <c r="J88" i="49"/>
  <c r="J86" i="48"/>
  <c r="Q96" i="16"/>
  <c r="U96" i="16" s="1"/>
  <c r="J84" i="49"/>
  <c r="I70" i="35"/>
  <c r="I66" i="35" s="1"/>
  <c r="J67" i="49"/>
  <c r="I34" i="35"/>
  <c r="Q75" i="16"/>
  <c r="H73" i="16"/>
  <c r="J56" i="49"/>
  <c r="J55" i="49" s="1"/>
  <c r="H63" i="16"/>
  <c r="H62" i="16" s="1"/>
  <c r="H24" i="39" s="1"/>
  <c r="I23" i="35"/>
  <c r="Q64" i="16"/>
  <c r="J49" i="49"/>
  <c r="Q56" i="16"/>
  <c r="U56" i="16"/>
  <c r="I91" i="48"/>
  <c r="S92" i="48"/>
  <c r="AA92" i="48" s="1"/>
  <c r="Q97" i="16"/>
  <c r="H75" i="35"/>
  <c r="I85" i="49"/>
  <c r="H71" i="35"/>
  <c r="Q93" i="16"/>
  <c r="I83" i="48"/>
  <c r="I81" i="49"/>
  <c r="G88" i="16"/>
  <c r="G87" i="16" s="1"/>
  <c r="G29" i="39" s="1"/>
  <c r="G27" i="39" s="1"/>
  <c r="H67" i="35"/>
  <c r="Q89" i="16"/>
  <c r="Q99" i="16"/>
  <c r="H80" i="48"/>
  <c r="N44" i="16"/>
  <c r="Q58" i="16"/>
  <c r="N57" i="16"/>
  <c r="N37" i="39"/>
  <c r="O74" i="35"/>
  <c r="N74" i="35"/>
  <c r="N15" i="45"/>
  <c r="K19" i="45"/>
  <c r="M67" i="35"/>
  <c r="G68" i="35"/>
  <c r="O70" i="35"/>
  <c r="R238" i="35"/>
  <c r="Q136" i="16"/>
  <c r="Q122" i="16"/>
  <c r="U122" i="16"/>
  <c r="Q118" i="16"/>
  <c r="U118" i="16" s="1"/>
  <c r="Q156" i="16"/>
  <c r="Q140" i="16"/>
  <c r="Q134" i="16"/>
  <c r="Q129" i="16"/>
  <c r="Q120" i="16"/>
  <c r="U120" i="16"/>
  <c r="Q218" i="16"/>
  <c r="Q160" i="16"/>
  <c r="Q139" i="16"/>
  <c r="Q133" i="16"/>
  <c r="U133" i="16" s="1"/>
  <c r="K67" i="48"/>
  <c r="S43" i="48"/>
  <c r="AA43" i="48" s="1"/>
  <c r="S90" i="48"/>
  <c r="J42" i="48"/>
  <c r="R76" i="35"/>
  <c r="K66" i="35"/>
  <c r="K65" i="35" s="1"/>
  <c r="K63" i="35" s="1"/>
  <c r="O30" i="16"/>
  <c r="M32" i="35"/>
  <c r="L67" i="48"/>
  <c r="M53" i="39"/>
  <c r="G53" i="39"/>
  <c r="G20" i="42" s="1"/>
  <c r="E15" i="42"/>
  <c r="K32" i="35"/>
  <c r="N53" i="35"/>
  <c r="I120" i="35"/>
  <c r="I116" i="35" s="1"/>
  <c r="S129" i="35"/>
  <c r="S141" i="35"/>
  <c r="R142" i="35"/>
  <c r="T209" i="35"/>
  <c r="N208" i="35"/>
  <c r="N203" i="35" s="1"/>
  <c r="F216" i="35"/>
  <c r="F8" i="48"/>
  <c r="F52" i="48"/>
  <c r="R18" i="35"/>
  <c r="M307" i="16"/>
  <c r="H44" i="42"/>
  <c r="S46" i="42"/>
  <c r="R47" i="42"/>
  <c r="Q351" i="49"/>
  <c r="F296" i="16"/>
  <c r="J72" i="48"/>
  <c r="Q392" i="16"/>
  <c r="O9" i="41"/>
  <c r="P25" i="35"/>
  <c r="P21" i="35" s="1"/>
  <c r="J96" i="35"/>
  <c r="P67" i="48"/>
  <c r="I25" i="35"/>
  <c r="G15" i="42"/>
  <c r="M194" i="35"/>
  <c r="T96" i="42"/>
  <c r="H17" i="16"/>
  <c r="H10" i="39"/>
  <c r="P113" i="48"/>
  <c r="H113" i="48"/>
  <c r="K113" i="48"/>
  <c r="S135" i="48"/>
  <c r="P105" i="35"/>
  <c r="G317" i="48"/>
  <c r="F162" i="35"/>
  <c r="I307" i="16"/>
  <c r="T71" i="42"/>
  <c r="I212" i="16"/>
  <c r="I205" i="16" s="1"/>
  <c r="S175" i="48"/>
  <c r="S194" i="48"/>
  <c r="S190" i="48"/>
  <c r="Q181" i="48"/>
  <c r="M181" i="48"/>
  <c r="I181" i="48"/>
  <c r="S220" i="48"/>
  <c r="S216" i="48"/>
  <c r="S212" i="48"/>
  <c r="S208" i="48"/>
  <c r="S229" i="48"/>
  <c r="S235" i="48"/>
  <c r="L232" i="48"/>
  <c r="F62" i="48"/>
  <c r="F152" i="48"/>
  <c r="Y280" i="49"/>
  <c r="U280" i="49"/>
  <c r="W299" i="49"/>
  <c r="U299" i="49"/>
  <c r="Y327" i="49"/>
  <c r="U327" i="49"/>
  <c r="Y331" i="49"/>
  <c r="U331" i="49"/>
  <c r="V368" i="49"/>
  <c r="U368" i="49"/>
  <c r="V388" i="49"/>
  <c r="U388" i="49"/>
  <c r="W330" i="49"/>
  <c r="U330" i="49"/>
  <c r="Y367" i="49"/>
  <c r="U367" i="49"/>
  <c r="Y376" i="49"/>
  <c r="U376" i="49"/>
  <c r="W387" i="49"/>
  <c r="U387" i="49"/>
  <c r="V301" i="49"/>
  <c r="U301" i="49"/>
  <c r="W325" i="49"/>
  <c r="U325" i="49"/>
  <c r="W375" i="49"/>
  <c r="U375" i="49"/>
  <c r="V386" i="49"/>
  <c r="U386" i="49"/>
  <c r="W300" i="49"/>
  <c r="U300" i="49"/>
  <c r="Y334" i="49"/>
  <c r="U334" i="49"/>
  <c r="W338" i="49"/>
  <c r="U338" i="49"/>
  <c r="Y381" i="49"/>
  <c r="U381" i="49"/>
  <c r="O110" i="35"/>
  <c r="N75" i="39"/>
  <c r="N27" i="42"/>
  <c r="J104" i="35"/>
  <c r="H135" i="35"/>
  <c r="H50" i="39"/>
  <c r="H19" i="42" s="1"/>
  <c r="H208" i="35"/>
  <c r="H203" i="35"/>
  <c r="J203" i="35"/>
  <c r="Q208" i="35"/>
  <c r="Q203" i="35" s="1"/>
  <c r="R237" i="35"/>
  <c r="N107" i="16"/>
  <c r="J107" i="16"/>
  <c r="N72" i="48"/>
  <c r="S105" i="48"/>
  <c r="R113" i="48"/>
  <c r="N113" i="48"/>
  <c r="J113" i="48"/>
  <c r="S141" i="48"/>
  <c r="S137" i="48"/>
  <c r="E98" i="41"/>
  <c r="T74" i="42"/>
  <c r="O55" i="48"/>
  <c r="O46" i="48"/>
  <c r="O42" i="48" s="1"/>
  <c r="M86" i="48"/>
  <c r="M83" i="48"/>
  <c r="M61" i="48"/>
  <c r="L46" i="48"/>
  <c r="L42" i="48" s="1"/>
  <c r="J82" i="16"/>
  <c r="F96" i="48"/>
  <c r="F1" i="48" s="1"/>
  <c r="N67" i="48"/>
  <c r="L296" i="16"/>
  <c r="L57" i="48"/>
  <c r="K46" i="48"/>
  <c r="K42" i="48" s="1"/>
  <c r="I87" i="48"/>
  <c r="I84" i="48"/>
  <c r="I64" i="48"/>
  <c r="H87" i="48"/>
  <c r="J26" i="48"/>
  <c r="H27" i="48"/>
  <c r="S197" i="35"/>
  <c r="R201" i="35"/>
  <c r="W201" i="35" s="1"/>
  <c r="R202" i="35"/>
  <c r="W202" i="35" s="1"/>
  <c r="O208" i="35"/>
  <c r="O203" i="35" s="1"/>
  <c r="R241" i="35"/>
  <c r="O87" i="48"/>
  <c r="O84" i="48"/>
  <c r="M55" i="48"/>
  <c r="M53" i="48" s="1"/>
  <c r="M50" i="48"/>
  <c r="P72" i="48"/>
  <c r="G82" i="16"/>
  <c r="R72" i="48"/>
  <c r="L264" i="48"/>
  <c r="R264" i="48"/>
  <c r="G234" i="49"/>
  <c r="K234" i="49"/>
  <c r="O234" i="49"/>
  <c r="D273" i="49"/>
  <c r="O359" i="49"/>
  <c r="M67" i="48"/>
  <c r="U355" i="48"/>
  <c r="P40" i="42"/>
  <c r="H40" i="42"/>
  <c r="J40" i="42"/>
  <c r="S149" i="35"/>
  <c r="P208" i="35"/>
  <c r="P203" i="35" s="1"/>
  <c r="R250" i="35"/>
  <c r="K44" i="42"/>
  <c r="H26" i="48"/>
  <c r="Q72" i="48"/>
  <c r="S154" i="48"/>
  <c r="G181" i="48"/>
  <c r="H66" i="35"/>
  <c r="H65" i="35" s="1"/>
  <c r="H63" i="35" s="1"/>
  <c r="P386" i="16"/>
  <c r="P62" i="16"/>
  <c r="P24" i="39" s="1"/>
  <c r="K40" i="42"/>
  <c r="L32" i="35"/>
  <c r="Y165" i="35"/>
  <c r="R254" i="35"/>
  <c r="R38" i="48"/>
  <c r="O39" i="48"/>
  <c r="M79" i="48"/>
  <c r="L85" i="48"/>
  <c r="K57" i="48"/>
  <c r="J87" i="48"/>
  <c r="J57" i="48"/>
  <c r="I54" i="48"/>
  <c r="I49" i="48"/>
  <c r="I46" i="48"/>
  <c r="I42" i="48" s="1"/>
  <c r="Q25" i="48"/>
  <c r="G26" i="48"/>
  <c r="G72" i="48"/>
  <c r="S114" i="48"/>
  <c r="S138" i="48"/>
  <c r="S132" i="48"/>
  <c r="S128" i="48"/>
  <c r="S193" i="48"/>
  <c r="S192" i="48"/>
  <c r="S191" i="48"/>
  <c r="S186" i="48"/>
  <c r="S201" i="48"/>
  <c r="S221" i="48"/>
  <c r="S219" i="48"/>
  <c r="S218" i="48"/>
  <c r="S210" i="48"/>
  <c r="N206" i="48"/>
  <c r="I206" i="48"/>
  <c r="L206" i="48"/>
  <c r="K232" i="48"/>
  <c r="S265" i="48"/>
  <c r="G259" i="48"/>
  <c r="G256" i="48" s="1"/>
  <c r="O259" i="48"/>
  <c r="O256" i="48" s="1"/>
  <c r="P259" i="48"/>
  <c r="P256" i="48" s="1"/>
  <c r="R319" i="49"/>
  <c r="N40" i="42"/>
  <c r="L40" i="42"/>
  <c r="G40" i="42"/>
  <c r="S189" i="35"/>
  <c r="T190" i="35"/>
  <c r="S196" i="35"/>
  <c r="M208" i="35"/>
  <c r="H255" i="35"/>
  <c r="Q46" i="42"/>
  <c r="U46" i="42" s="1"/>
  <c r="H76" i="42"/>
  <c r="L76" i="42"/>
  <c r="P76" i="42"/>
  <c r="L52" i="2"/>
  <c r="G376" i="48"/>
  <c r="G294" i="48" s="1"/>
  <c r="I26" i="48"/>
  <c r="K72" i="48"/>
  <c r="M72" i="48"/>
  <c r="L82" i="16"/>
  <c r="S246" i="48"/>
  <c r="I79" i="35"/>
  <c r="R128" i="35"/>
  <c r="O194" i="35"/>
  <c r="R240" i="35"/>
  <c r="L44" i="42"/>
  <c r="P44" i="42"/>
  <c r="K76" i="42"/>
  <c r="O76" i="42"/>
  <c r="T83" i="42"/>
  <c r="Q89" i="48"/>
  <c r="P87" i="48"/>
  <c r="P84" i="48"/>
  <c r="P46" i="48"/>
  <c r="P42" i="48"/>
  <c r="O80" i="48"/>
  <c r="O64" i="48"/>
  <c r="N54" i="48"/>
  <c r="L50" i="48"/>
  <c r="L39" i="48"/>
  <c r="K81" i="48"/>
  <c r="I55" i="48"/>
  <c r="H81" i="48"/>
  <c r="H65" i="48"/>
  <c r="H77" i="16"/>
  <c r="S134" i="48"/>
  <c r="S166" i="48"/>
  <c r="S167" i="48"/>
  <c r="S164" i="48"/>
  <c r="S161" i="48"/>
  <c r="S269" i="48"/>
  <c r="S255" i="48"/>
  <c r="I93" i="49"/>
  <c r="Q93" i="49"/>
  <c r="Y369" i="49"/>
  <c r="F201" i="49"/>
  <c r="S362" i="49"/>
  <c r="Y386" i="49"/>
  <c r="Y320" i="49"/>
  <c r="W328" i="49"/>
  <c r="Y324" i="49"/>
  <c r="W308" i="49"/>
  <c r="Y301" i="49"/>
  <c r="F294" i="49"/>
  <c r="F293" i="49" s="1"/>
  <c r="F282" i="49" s="1"/>
  <c r="F281" i="49"/>
  <c r="Y387" i="49"/>
  <c r="Y328" i="49"/>
  <c r="Y308" i="49"/>
  <c r="V322" i="49"/>
  <c r="F370" i="49"/>
  <c r="W320" i="49"/>
  <c r="G183" i="49"/>
  <c r="O183" i="49"/>
  <c r="P234" i="49"/>
  <c r="E351" i="49"/>
  <c r="P319" i="49"/>
  <c r="O319" i="49"/>
  <c r="W307" i="49"/>
  <c r="F10" i="49"/>
  <c r="G93" i="49"/>
  <c r="K93" i="49"/>
  <c r="O93" i="49"/>
  <c r="F157" i="49"/>
  <c r="D341" i="49"/>
  <c r="Y307" i="49"/>
  <c r="I266" i="49"/>
  <c r="E289" i="49"/>
  <c r="E283" i="49" s="1"/>
  <c r="S361" i="49"/>
  <c r="U361" i="49" s="1"/>
  <c r="S262" i="49"/>
  <c r="U262" i="49"/>
  <c r="J44" i="49"/>
  <c r="E8" i="49"/>
  <c r="S92" i="49"/>
  <c r="R351" i="49"/>
  <c r="N44" i="49"/>
  <c r="S237" i="49"/>
  <c r="U237" i="49" s="1"/>
  <c r="Q55" i="49"/>
  <c r="J183" i="49"/>
  <c r="S195" i="49"/>
  <c r="U195" i="49" s="1"/>
  <c r="S199" i="49"/>
  <c r="U199" i="49" s="1"/>
  <c r="G208" i="49"/>
  <c r="N208" i="49"/>
  <c r="Q208" i="49"/>
  <c r="L208" i="49"/>
  <c r="S222" i="49"/>
  <c r="U222" i="49" s="1"/>
  <c r="S224" i="49"/>
  <c r="U224" i="49" s="1"/>
  <c r="M266" i="49"/>
  <c r="S332" i="49"/>
  <c r="U332" i="49" s="1"/>
  <c r="O55" i="49"/>
  <c r="M30" i="49"/>
  <c r="E319" i="49"/>
  <c r="L359" i="49"/>
  <c r="S298" i="49"/>
  <c r="U298" i="49"/>
  <c r="S253" i="49"/>
  <c r="U253" i="49" s="1"/>
  <c r="S254" i="49"/>
  <c r="U254" i="49" s="1"/>
  <c r="G261" i="49"/>
  <c r="G258" i="49" s="1"/>
  <c r="R294" i="45"/>
  <c r="R344" i="49"/>
  <c r="R345" i="49"/>
  <c r="R342" i="48"/>
  <c r="R341" i="48" s="1"/>
  <c r="Q187" i="35"/>
  <c r="Q186" i="35" s="1"/>
  <c r="Q185" i="35" s="1"/>
  <c r="G187" i="35"/>
  <c r="V135" i="20"/>
  <c r="F131" i="20"/>
  <c r="V136" i="20" s="1"/>
  <c r="L135" i="35"/>
  <c r="K14" i="40"/>
  <c r="M289" i="48"/>
  <c r="M291" i="49"/>
  <c r="M205" i="16"/>
  <c r="G308" i="45"/>
  <c r="H308" i="45" s="1"/>
  <c r="S326" i="45"/>
  <c r="G299" i="45"/>
  <c r="R279" i="45"/>
  <c r="S276" i="45"/>
  <c r="S274" i="45"/>
  <c r="T274" i="45"/>
  <c r="U274" i="45"/>
  <c r="V274" i="45" s="1"/>
  <c r="W274" i="45" s="1"/>
  <c r="X274" i="45" s="1"/>
  <c r="R281" i="45"/>
  <c r="H244" i="45"/>
  <c r="P244" i="45"/>
  <c r="Q244" i="45"/>
  <c r="Y184" i="45"/>
  <c r="Z184" i="45" s="1"/>
  <c r="T100" i="45"/>
  <c r="U100" i="45" s="1"/>
  <c r="V100" i="45" s="1"/>
  <c r="W100" i="45"/>
  <c r="X100" i="45"/>
  <c r="R112" i="45"/>
  <c r="R303" i="37"/>
  <c r="J377" i="37"/>
  <c r="G318" i="45"/>
  <c r="Y282" i="37"/>
  <c r="Z282" i="37" s="1"/>
  <c r="I240" i="37"/>
  <c r="J240" i="37"/>
  <c r="K240" i="37"/>
  <c r="L240" i="37" s="1"/>
  <c r="M240" i="37" s="1"/>
  <c r="N240" i="37"/>
  <c r="S326" i="37"/>
  <c r="T326" i="37"/>
  <c r="U326" i="37"/>
  <c r="V326" i="37" s="1"/>
  <c r="W326" i="37" s="1"/>
  <c r="X326" i="37" s="1"/>
  <c r="J217" i="37"/>
  <c r="H205" i="37"/>
  <c r="I205" i="37" s="1"/>
  <c r="J205" i="37"/>
  <c r="K205" i="37" s="1"/>
  <c r="L205" i="37" s="1"/>
  <c r="M205" i="37" s="1"/>
  <c r="N205" i="37" s="1"/>
  <c r="L344" i="49"/>
  <c r="L345" i="49"/>
  <c r="O344" i="49"/>
  <c r="E131" i="20"/>
  <c r="U136" i="20" s="1"/>
  <c r="G345" i="49"/>
  <c r="G344" i="49"/>
  <c r="N345" i="49"/>
  <c r="N344" i="49"/>
  <c r="S127" i="20"/>
  <c r="I138" i="20"/>
  <c r="F138" i="20"/>
  <c r="F135" i="20" s="1"/>
  <c r="L138" i="20"/>
  <c r="O57" i="41"/>
  <c r="O56" i="41" s="1"/>
  <c r="F38" i="2"/>
  <c r="S217" i="35"/>
  <c r="AA296" i="48"/>
  <c r="H162" i="35"/>
  <c r="X18" i="48"/>
  <c r="H110" i="35"/>
  <c r="K65" i="39"/>
  <c r="G19" i="35"/>
  <c r="F30" i="16"/>
  <c r="E48" i="42"/>
  <c r="H15" i="16"/>
  <c r="M37" i="39"/>
  <c r="Y328" i="45"/>
  <c r="Z328" i="45"/>
  <c r="G293" i="45"/>
  <c r="H293" i="45" s="1"/>
  <c r="W346" i="45"/>
  <c r="Z266" i="45"/>
  <c r="R245" i="45"/>
  <c r="T229" i="45"/>
  <c r="U229" i="45" s="1"/>
  <c r="V229" i="45" s="1"/>
  <c r="W229" i="45" s="1"/>
  <c r="X229" i="45" s="1"/>
  <c r="P147" i="45"/>
  <c r="Q147" i="45" s="1"/>
  <c r="R357" i="37"/>
  <c r="U305" i="37"/>
  <c r="V305" i="37" s="1"/>
  <c r="W305" i="37" s="1"/>
  <c r="X305" i="37" s="1"/>
  <c r="G119" i="45"/>
  <c r="S331" i="37"/>
  <c r="T331" i="37" s="1"/>
  <c r="U331" i="37" s="1"/>
  <c r="V331" i="37"/>
  <c r="W331" i="37" s="1"/>
  <c r="X331" i="37" s="1"/>
  <c r="I307" i="37"/>
  <c r="P307" i="37"/>
  <c r="Q307" i="37"/>
  <c r="R274" i="37"/>
  <c r="P245" i="37"/>
  <c r="Q245" i="37"/>
  <c r="J221" i="37"/>
  <c r="K221" i="37" s="1"/>
  <c r="L221" i="37" s="1"/>
  <c r="M221" i="37" s="1"/>
  <c r="N221" i="37" s="1"/>
  <c r="H213" i="37"/>
  <c r="I213" i="37"/>
  <c r="J213" i="37" s="1"/>
  <c r="K213" i="37" s="1"/>
  <c r="L213" i="37" s="1"/>
  <c r="M213" i="37" s="1"/>
  <c r="N213" i="37" s="1"/>
  <c r="S313" i="45"/>
  <c r="T313" i="45"/>
  <c r="U313" i="45"/>
  <c r="V313" i="45" s="1"/>
  <c r="W313" i="45" s="1"/>
  <c r="X313" i="45"/>
  <c r="S300" i="45"/>
  <c r="Y264" i="45"/>
  <c r="Z264" i="45" s="1"/>
  <c r="R239" i="45"/>
  <c r="S197" i="45"/>
  <c r="T197" i="45" s="1"/>
  <c r="U197" i="45" s="1"/>
  <c r="V197" i="45"/>
  <c r="W197" i="45" s="1"/>
  <c r="X197" i="45" s="1"/>
  <c r="Y330" i="45"/>
  <c r="H297" i="45"/>
  <c r="P297" i="45"/>
  <c r="Q297" i="45" s="1"/>
  <c r="S249" i="45"/>
  <c r="T249" i="45"/>
  <c r="U249" i="45"/>
  <c r="V249" i="45" s="1"/>
  <c r="W249" i="45" s="1"/>
  <c r="X249" i="45"/>
  <c r="Y218" i="45"/>
  <c r="Z218" i="45"/>
  <c r="R173" i="45"/>
  <c r="R296" i="45"/>
  <c r="Y101" i="45"/>
  <c r="Z101" i="45"/>
  <c r="R248" i="45"/>
  <c r="G149" i="45"/>
  <c r="H149" i="45"/>
  <c r="G148" i="45"/>
  <c r="H148" i="45"/>
  <c r="R122" i="45"/>
  <c r="H121" i="45"/>
  <c r="P121" i="45" s="1"/>
  <c r="Q121" i="45" s="1"/>
  <c r="G125" i="45"/>
  <c r="H125" i="45"/>
  <c r="H299" i="37"/>
  <c r="I299" i="37" s="1"/>
  <c r="S275" i="37"/>
  <c r="T275" i="37" s="1"/>
  <c r="U275" i="37" s="1"/>
  <c r="V275" i="37" s="1"/>
  <c r="W275" i="37" s="1"/>
  <c r="X275" i="37" s="1"/>
  <c r="S313" i="37"/>
  <c r="R111" i="37"/>
  <c r="I344" i="49"/>
  <c r="I345" i="49"/>
  <c r="G342" i="48"/>
  <c r="L342" i="48"/>
  <c r="L341" i="48" s="1"/>
  <c r="K187" i="35"/>
  <c r="K186" i="35"/>
  <c r="K185" i="35" s="1"/>
  <c r="Q342" i="48"/>
  <c r="Q341" i="48" s="1"/>
  <c r="F65" i="39"/>
  <c r="M9" i="41"/>
  <c r="O51" i="23"/>
  <c r="O54" i="23"/>
  <c r="R374" i="45"/>
  <c r="H306" i="45"/>
  <c r="P306" i="45"/>
  <c r="Q306" i="45"/>
  <c r="Y290" i="45"/>
  <c r="Z290" i="45" s="1"/>
  <c r="S283" i="45"/>
  <c r="T283" i="45"/>
  <c r="U283" i="45" s="1"/>
  <c r="V283" i="45" s="1"/>
  <c r="W283" i="45" s="1"/>
  <c r="X283" i="45" s="1"/>
  <c r="S271" i="45"/>
  <c r="U304" i="45"/>
  <c r="V304" i="45" s="1"/>
  <c r="W304" i="45" s="1"/>
  <c r="X304" i="45" s="1"/>
  <c r="P378" i="45"/>
  <c r="Q378" i="45" s="1"/>
  <c r="Y310" i="45"/>
  <c r="Z310" i="45"/>
  <c r="U234" i="45"/>
  <c r="V234" i="45"/>
  <c r="W234" i="45" s="1"/>
  <c r="X234" i="45" s="1"/>
  <c r="S231" i="45"/>
  <c r="T231" i="45"/>
  <c r="U231" i="45" s="1"/>
  <c r="V231" i="45" s="1"/>
  <c r="W231" i="45" s="1"/>
  <c r="X231" i="45" s="1"/>
  <c r="U209" i="45"/>
  <c r="V209" i="45"/>
  <c r="W209" i="45" s="1"/>
  <c r="X209" i="45" s="1"/>
  <c r="R199" i="45"/>
  <c r="S187" i="45"/>
  <c r="T187" i="45" s="1"/>
  <c r="U187" i="45" s="1"/>
  <c r="V187" i="45" s="1"/>
  <c r="W187" i="45" s="1"/>
  <c r="X187" i="45" s="1"/>
  <c r="Y183" i="45"/>
  <c r="Z183" i="45"/>
  <c r="S179" i="45"/>
  <c r="T179" i="45" s="1"/>
  <c r="U179" i="45" s="1"/>
  <c r="V179" i="45"/>
  <c r="W179" i="45"/>
  <c r="X179" i="45" s="1"/>
  <c r="I342" i="45"/>
  <c r="S261" i="45"/>
  <c r="T261" i="45"/>
  <c r="U261" i="45" s="1"/>
  <c r="V261" i="45" s="1"/>
  <c r="W261" i="45"/>
  <c r="X261" i="45" s="1"/>
  <c r="G250" i="45"/>
  <c r="H250" i="45"/>
  <c r="P250" i="45"/>
  <c r="Q250" i="45" s="1"/>
  <c r="Y174" i="45"/>
  <c r="Z174" i="45" s="1"/>
  <c r="G150" i="45"/>
  <c r="H150" i="45"/>
  <c r="P150" i="45"/>
  <c r="Q150" i="45" s="1"/>
  <c r="H374" i="37"/>
  <c r="I374" i="37"/>
  <c r="J374" i="37"/>
  <c r="K374" i="37" s="1"/>
  <c r="L374" i="37" s="1"/>
  <c r="M374" i="37" s="1"/>
  <c r="N374" i="37" s="1"/>
  <c r="S330" i="37"/>
  <c r="S319" i="37"/>
  <c r="T319" i="37" s="1"/>
  <c r="U319" i="37" s="1"/>
  <c r="V319" i="37" s="1"/>
  <c r="W319" i="37" s="1"/>
  <c r="X319" i="37" s="1"/>
  <c r="T311" i="37"/>
  <c r="U311" i="37" s="1"/>
  <c r="V311" i="37" s="1"/>
  <c r="W311" i="37" s="1"/>
  <c r="X311" i="37" s="1"/>
  <c r="J192" i="37"/>
  <c r="K192" i="37" s="1"/>
  <c r="L192" i="37" s="1"/>
  <c r="M192" i="37"/>
  <c r="N192" i="37" s="1"/>
  <c r="G364" i="37"/>
  <c r="H364" i="37" s="1"/>
  <c r="I364" i="37"/>
  <c r="J364" i="37"/>
  <c r="K364" i="37" s="1"/>
  <c r="L364" i="37" s="1"/>
  <c r="M364" i="37" s="1"/>
  <c r="N364" i="37" s="1"/>
  <c r="R267" i="37"/>
  <c r="J216" i="37"/>
  <c r="K216" i="37" s="1"/>
  <c r="L216" i="37" s="1"/>
  <c r="M216" i="37" s="1"/>
  <c r="N216" i="37" s="1"/>
  <c r="P50" i="23"/>
  <c r="Q50" i="23" s="1"/>
  <c r="G312" i="45"/>
  <c r="H312" i="45"/>
  <c r="Z330" i="45"/>
  <c r="G303" i="45"/>
  <c r="H303" i="45" s="1"/>
  <c r="G240" i="45"/>
  <c r="H240" i="45" s="1"/>
  <c r="S228" i="45"/>
  <c r="T228" i="45" s="1"/>
  <c r="U228" i="45"/>
  <c r="V228" i="45"/>
  <c r="W228" i="45" s="1"/>
  <c r="X228" i="45" s="1"/>
  <c r="U217" i="45"/>
  <c r="V217" i="45" s="1"/>
  <c r="W217" i="45" s="1"/>
  <c r="X217" i="45" s="1"/>
  <c r="R180" i="45"/>
  <c r="P295" i="37"/>
  <c r="Q295" i="37" s="1"/>
  <c r="R117" i="37"/>
  <c r="G123" i="45"/>
  <c r="H123" i="45"/>
  <c r="I236" i="37"/>
  <c r="J236" i="37" s="1"/>
  <c r="G201" i="37"/>
  <c r="H201" i="37" s="1"/>
  <c r="I201" i="37"/>
  <c r="J201" i="37"/>
  <c r="K201" i="37" s="1"/>
  <c r="L201" i="37" s="1"/>
  <c r="M201" i="37"/>
  <c r="N201" i="37" s="1"/>
  <c r="U252" i="45"/>
  <c r="V252" i="45"/>
  <c r="W252" i="45" s="1"/>
  <c r="X252" i="45" s="1"/>
  <c r="G356" i="45"/>
  <c r="H356" i="45" s="1"/>
  <c r="U393" i="37"/>
  <c r="V393" i="37" s="1"/>
  <c r="W393" i="37"/>
  <c r="X393" i="37"/>
  <c r="I203" i="37"/>
  <c r="J203" i="37" s="1"/>
  <c r="K203" i="37" s="1"/>
  <c r="L203" i="37" s="1"/>
  <c r="M203" i="37" s="1"/>
  <c r="N203" i="37" s="1"/>
  <c r="G195" i="45"/>
  <c r="H195" i="45" s="1"/>
  <c r="U347" i="45"/>
  <c r="V347" i="45" s="1"/>
  <c r="W347" i="45"/>
  <c r="X347" i="45"/>
  <c r="I219" i="37"/>
  <c r="J219" i="37" s="1"/>
  <c r="K219" i="37" s="1"/>
  <c r="L219" i="37" s="1"/>
  <c r="M219" i="37" s="1"/>
  <c r="N219" i="37" s="1"/>
  <c r="I210" i="37"/>
  <c r="V127" i="45"/>
  <c r="W127" i="45" s="1"/>
  <c r="X127" i="45" s="1"/>
  <c r="H381" i="37"/>
  <c r="I195" i="37"/>
  <c r="J195" i="37" s="1"/>
  <c r="K195" i="37" s="1"/>
  <c r="L195" i="37"/>
  <c r="M195" i="37" s="1"/>
  <c r="N195" i="37" s="1"/>
  <c r="V393" i="45"/>
  <c r="V327" i="45"/>
  <c r="W327" i="45"/>
  <c r="X327" i="45" s="1"/>
  <c r="W333" i="37"/>
  <c r="X333" i="37"/>
  <c r="G368" i="45"/>
  <c r="H368" i="45" s="1"/>
  <c r="H337" i="37"/>
  <c r="V107" i="37"/>
  <c r="W107" i="37" s="1"/>
  <c r="X107" i="37" s="1"/>
  <c r="W269" i="37"/>
  <c r="H230" i="45"/>
  <c r="P230" i="45"/>
  <c r="Q230" i="45"/>
  <c r="S100" i="37"/>
  <c r="T100" i="37"/>
  <c r="U100" i="37"/>
  <c r="V100" i="37"/>
  <c r="W100" i="37" s="1"/>
  <c r="X100" i="37" s="1"/>
  <c r="Y189" i="45"/>
  <c r="Z189" i="45" s="1"/>
  <c r="R291" i="37"/>
  <c r="G370" i="37"/>
  <c r="H370" i="37"/>
  <c r="I370" i="37" s="1"/>
  <c r="J370" i="37" s="1"/>
  <c r="K370" i="37" s="1"/>
  <c r="L370" i="37" s="1"/>
  <c r="M370" i="37" s="1"/>
  <c r="N370" i="37" s="1"/>
  <c r="R183" i="37"/>
  <c r="R109" i="45"/>
  <c r="R116" i="45"/>
  <c r="Y283" i="37"/>
  <c r="Z283" i="37"/>
  <c r="P228" i="37"/>
  <c r="Q228" i="37" s="1"/>
  <c r="I198" i="37"/>
  <c r="J198" i="37" s="1"/>
  <c r="K198" i="37"/>
  <c r="L198" i="37" s="1"/>
  <c r="M198" i="37" s="1"/>
  <c r="N198" i="37" s="1"/>
  <c r="J191" i="37"/>
  <c r="K191" i="37"/>
  <c r="L191" i="37" s="1"/>
  <c r="M191" i="37" s="1"/>
  <c r="N191" i="37"/>
  <c r="H174" i="37"/>
  <c r="I174" i="37"/>
  <c r="P174" i="37" s="1"/>
  <c r="Q174" i="37" s="1"/>
  <c r="J214" i="37"/>
  <c r="K214" i="37" s="1"/>
  <c r="L214" i="37" s="1"/>
  <c r="M214" i="37" s="1"/>
  <c r="N214" i="37" s="1"/>
  <c r="J361" i="37"/>
  <c r="K361" i="37" s="1"/>
  <c r="L361" i="37"/>
  <c r="M361" i="37" s="1"/>
  <c r="N361" i="37" s="1"/>
  <c r="I380" i="37"/>
  <c r="J380" i="37"/>
  <c r="K380" i="37"/>
  <c r="L380" i="37" s="1"/>
  <c r="M380" i="37" s="1"/>
  <c r="N380" i="37" s="1"/>
  <c r="V401" i="37"/>
  <c r="W401" i="37" s="1"/>
  <c r="X401" i="37" s="1"/>
  <c r="U132" i="37"/>
  <c r="S117" i="45"/>
  <c r="T117" i="45" s="1"/>
  <c r="U117" i="45" s="1"/>
  <c r="V117" i="45" s="1"/>
  <c r="W117" i="45" s="1"/>
  <c r="X117" i="45" s="1"/>
  <c r="W351" i="37"/>
  <c r="Y159" i="37"/>
  <c r="T130" i="45"/>
  <c r="U130" i="45" s="1"/>
  <c r="V130" i="45"/>
  <c r="W130" i="45"/>
  <c r="X130" i="45" s="1"/>
  <c r="V171" i="45"/>
  <c r="W171" i="45" s="1"/>
  <c r="X171" i="45"/>
  <c r="I369" i="37"/>
  <c r="J369" i="37" s="1"/>
  <c r="K369" i="37" s="1"/>
  <c r="L369" i="37" s="1"/>
  <c r="M369" i="37" s="1"/>
  <c r="N369" i="37" s="1"/>
  <c r="I120" i="37"/>
  <c r="J120" i="37"/>
  <c r="K120" i="37" s="1"/>
  <c r="L120" i="37" s="1"/>
  <c r="M120" i="37" s="1"/>
  <c r="P120" i="37" s="1"/>
  <c r="Q120" i="37" s="1"/>
  <c r="V268" i="45"/>
  <c r="W268" i="45" s="1"/>
  <c r="X268" i="45" s="1"/>
  <c r="V391" i="37"/>
  <c r="S355" i="48"/>
  <c r="R356" i="37"/>
  <c r="R110" i="45"/>
  <c r="I208" i="37"/>
  <c r="J208" i="37" s="1"/>
  <c r="K208" i="37" s="1"/>
  <c r="L208" i="37" s="1"/>
  <c r="M208" i="37" s="1"/>
  <c r="R104" i="45"/>
  <c r="S296" i="37"/>
  <c r="R268" i="37"/>
  <c r="G246" i="37"/>
  <c r="H246" i="37" s="1"/>
  <c r="I246" i="37" s="1"/>
  <c r="J246" i="37"/>
  <c r="K246" i="37" s="1"/>
  <c r="L246" i="37" s="1"/>
  <c r="M246" i="37" s="1"/>
  <c r="N246" i="37"/>
  <c r="P237" i="37"/>
  <c r="Q237" i="37" s="1"/>
  <c r="P233" i="37"/>
  <c r="Q233" i="37"/>
  <c r="P229" i="37"/>
  <c r="Q229" i="37" s="1"/>
  <c r="R223" i="37"/>
  <c r="I220" i="37"/>
  <c r="J220" i="37" s="1"/>
  <c r="K220" i="37" s="1"/>
  <c r="L220" i="37" s="1"/>
  <c r="M220" i="37"/>
  <c r="N220" i="37" s="1"/>
  <c r="P98" i="37"/>
  <c r="Q98" i="37" s="1"/>
  <c r="N98" i="37"/>
  <c r="O98" i="37"/>
  <c r="H298" i="45"/>
  <c r="P298" i="45" s="1"/>
  <c r="Q298" i="45" s="1"/>
  <c r="T171" i="37"/>
  <c r="U171" i="37"/>
  <c r="V171" i="37" s="1"/>
  <c r="W171" i="37" s="1"/>
  <c r="X171" i="37" s="1"/>
  <c r="I318" i="37"/>
  <c r="P318" i="37" s="1"/>
  <c r="Q318" i="37" s="1"/>
  <c r="G311" i="45"/>
  <c r="H311" i="45"/>
  <c r="G367" i="45"/>
  <c r="H367" i="45" s="1"/>
  <c r="I378" i="37"/>
  <c r="J378" i="37" s="1"/>
  <c r="U146" i="45"/>
  <c r="V146" i="45"/>
  <c r="W146" i="45" s="1"/>
  <c r="X146" i="45" s="1"/>
  <c r="W284" i="45"/>
  <c r="H353" i="45"/>
  <c r="P353" i="45" s="1"/>
  <c r="Q353" i="45" s="1"/>
  <c r="H361" i="45"/>
  <c r="P361" i="45"/>
  <c r="Q361" i="45" s="1"/>
  <c r="H369" i="45"/>
  <c r="P369" i="45"/>
  <c r="Q369" i="45" s="1"/>
  <c r="R369" i="45" s="1"/>
  <c r="H377" i="45"/>
  <c r="P377" i="45" s="1"/>
  <c r="Q377" i="45"/>
  <c r="G251" i="37"/>
  <c r="H251" i="37" s="1"/>
  <c r="I251" i="37" s="1"/>
  <c r="J251" i="37" s="1"/>
  <c r="I211" i="37"/>
  <c r="J211" i="37" s="1"/>
  <c r="I315" i="37"/>
  <c r="P315" i="37" s="1"/>
  <c r="Q315" i="37" s="1"/>
  <c r="R315" i="37" s="1"/>
  <c r="V324" i="45"/>
  <c r="W324" i="45" s="1"/>
  <c r="X324" i="45" s="1"/>
  <c r="Y324" i="45"/>
  <c r="Z324" i="45"/>
  <c r="I235" i="37"/>
  <c r="J235" i="37" s="1"/>
  <c r="K235" i="37" s="1"/>
  <c r="L235" i="37" s="1"/>
  <c r="M235" i="37" s="1"/>
  <c r="N235" i="37" s="1"/>
  <c r="S177" i="45"/>
  <c r="T177" i="45" s="1"/>
  <c r="R176" i="45"/>
  <c r="K122" i="37"/>
  <c r="L122" i="37"/>
  <c r="M122" i="37"/>
  <c r="P155" i="37"/>
  <c r="Q155" i="37" s="1"/>
  <c r="P242" i="37"/>
  <c r="Q242" i="37" s="1"/>
  <c r="T167" i="45"/>
  <c r="U167" i="45" s="1"/>
  <c r="H358" i="45"/>
  <c r="P358" i="45" s="1"/>
  <c r="Q358" i="45" s="1"/>
  <c r="P231" i="37"/>
  <c r="Q231" i="37"/>
  <c r="I190" i="37"/>
  <c r="V178" i="45"/>
  <c r="W178" i="45"/>
  <c r="X178" i="45"/>
  <c r="H223" i="45"/>
  <c r="P223" i="45" s="1"/>
  <c r="Q223" i="45" s="1"/>
  <c r="R223" i="45" s="1"/>
  <c r="H198" i="45"/>
  <c r="P198" i="45" s="1"/>
  <c r="Q198" i="45" s="1"/>
  <c r="I372" i="37"/>
  <c r="J372" i="37"/>
  <c r="K372" i="37" s="1"/>
  <c r="L372" i="37" s="1"/>
  <c r="M372" i="37" s="1"/>
  <c r="N372" i="37" s="1"/>
  <c r="W186" i="45"/>
  <c r="X186" i="45" s="1"/>
  <c r="S99" i="45"/>
  <c r="T99" i="45" s="1"/>
  <c r="U99" i="45" s="1"/>
  <c r="V99" i="45" s="1"/>
  <c r="W99" i="45" s="1"/>
  <c r="X99" i="45" s="1"/>
  <c r="G364" i="45"/>
  <c r="H364" i="45" s="1"/>
  <c r="G197" i="37"/>
  <c r="H197" i="37" s="1"/>
  <c r="I197" i="37" s="1"/>
  <c r="J197" i="37"/>
  <c r="K197" i="37" s="1"/>
  <c r="L197" i="37" s="1"/>
  <c r="M197" i="37" s="1"/>
  <c r="N197" i="37" s="1"/>
  <c r="S185" i="37"/>
  <c r="R115" i="37"/>
  <c r="S109" i="37"/>
  <c r="T109" i="37"/>
  <c r="U109" i="37"/>
  <c r="V109" i="37"/>
  <c r="W109" i="37" s="1"/>
  <c r="X109" i="37" s="1"/>
  <c r="R104" i="37"/>
  <c r="U400" i="37"/>
  <c r="H249" i="37"/>
  <c r="I249" i="37"/>
  <c r="J249" i="37" s="1"/>
  <c r="I365" i="37"/>
  <c r="J365" i="37" s="1"/>
  <c r="K365" i="37" s="1"/>
  <c r="L365" i="37"/>
  <c r="M365" i="37" s="1"/>
  <c r="W172" i="45"/>
  <c r="X172" i="45"/>
  <c r="I226" i="37"/>
  <c r="J226" i="37"/>
  <c r="K226" i="37"/>
  <c r="L226" i="37" s="1"/>
  <c r="M226" i="37" s="1"/>
  <c r="N226" i="37"/>
  <c r="P226" i="37" s="1"/>
  <c r="Q226" i="37" s="1"/>
  <c r="W264" i="37"/>
  <c r="X264" i="37" s="1"/>
  <c r="U256" i="45"/>
  <c r="V256" i="45"/>
  <c r="W256" i="45"/>
  <c r="X256" i="45" s="1"/>
  <c r="H349" i="37"/>
  <c r="I349" i="37"/>
  <c r="J349" i="37"/>
  <c r="K349" i="37" s="1"/>
  <c r="L349" i="37" s="1"/>
  <c r="M349" i="37"/>
  <c r="R108" i="45"/>
  <c r="U331" i="45"/>
  <c r="G317" i="45"/>
  <c r="H317" i="45"/>
  <c r="G371" i="45"/>
  <c r="H371" i="45" s="1"/>
  <c r="I300" i="37"/>
  <c r="P300" i="37"/>
  <c r="Q300" i="37"/>
  <c r="Y108" i="37"/>
  <c r="Z108" i="37"/>
  <c r="I294" i="37"/>
  <c r="P294" i="37"/>
  <c r="Q294" i="37" s="1"/>
  <c r="W391" i="45"/>
  <c r="X391" i="45"/>
  <c r="Y391" i="45"/>
  <c r="Z391" i="45" s="1"/>
  <c r="H360" i="45"/>
  <c r="P360" i="45"/>
  <c r="Q360" i="45" s="1"/>
  <c r="R360" i="45" s="1"/>
  <c r="G193" i="45"/>
  <c r="H193" i="45"/>
  <c r="Y379" i="45"/>
  <c r="Z379" i="45" s="1"/>
  <c r="T163" i="37"/>
  <c r="U163" i="37" s="1"/>
  <c r="V163" i="37"/>
  <c r="W163" i="37" s="1"/>
  <c r="Y277" i="37"/>
  <c r="Z277" i="37"/>
  <c r="Y289" i="45"/>
  <c r="Z289" i="45" s="1"/>
  <c r="G363" i="45"/>
  <c r="Y397" i="37"/>
  <c r="Z397" i="37"/>
  <c r="I199" i="37"/>
  <c r="J199" i="37"/>
  <c r="K199" i="37"/>
  <c r="L199" i="37"/>
  <c r="M199" i="37" s="1"/>
  <c r="N199" i="37" s="1"/>
  <c r="Y395" i="37"/>
  <c r="Z395" i="37" s="1"/>
  <c r="H126" i="37"/>
  <c r="I373" i="37"/>
  <c r="J373" i="37"/>
  <c r="K373" i="37" s="1"/>
  <c r="L373" i="37" s="1"/>
  <c r="M373" i="37" s="1"/>
  <c r="N373" i="37" s="1"/>
  <c r="Y140" i="37"/>
  <c r="Z140" i="37" s="1"/>
  <c r="Y382" i="45"/>
  <c r="Z382" i="45"/>
  <c r="Y286" i="37"/>
  <c r="Z286" i="37" s="1"/>
  <c r="V106" i="45"/>
  <c r="W106" i="45"/>
  <c r="X106" i="45" s="1"/>
  <c r="Y106" i="45" s="1"/>
  <c r="Z106" i="45" s="1"/>
  <c r="I196" i="37"/>
  <c r="Y189" i="37"/>
  <c r="Z189" i="37"/>
  <c r="P149" i="37"/>
  <c r="Q149" i="37" s="1"/>
  <c r="P225" i="37"/>
  <c r="Q225" i="37"/>
  <c r="U102" i="37"/>
  <c r="V102" i="37" s="1"/>
  <c r="W102" i="37" s="1"/>
  <c r="X102" i="37" s="1"/>
  <c r="Y102" i="37" s="1"/>
  <c r="Z102" i="37" s="1"/>
  <c r="R187" i="37"/>
  <c r="H141" i="37"/>
  <c r="I141" i="37"/>
  <c r="P154" i="37"/>
  <c r="Q154" i="37"/>
  <c r="G241" i="37"/>
  <c r="H241" i="37"/>
  <c r="I241" i="37"/>
  <c r="J241" i="37"/>
  <c r="K241" i="37" s="1"/>
  <c r="L241" i="37" s="1"/>
  <c r="M241" i="37"/>
  <c r="N241" i="37" s="1"/>
  <c r="P241" i="37" s="1"/>
  <c r="I239" i="37"/>
  <c r="U103" i="37"/>
  <c r="V103" i="37"/>
  <c r="W103" i="37" s="1"/>
  <c r="G140" i="45"/>
  <c r="H140" i="45" s="1"/>
  <c r="G336" i="45"/>
  <c r="H336" i="45"/>
  <c r="U258" i="45"/>
  <c r="V258" i="45" s="1"/>
  <c r="W258" i="45" s="1"/>
  <c r="X258" i="45"/>
  <c r="G372" i="45"/>
  <c r="H372" i="45" s="1"/>
  <c r="P383" i="37"/>
  <c r="Q383" i="37"/>
  <c r="P222" i="37"/>
  <c r="Q222" i="37" s="1"/>
  <c r="W285" i="37"/>
  <c r="X285" i="37"/>
  <c r="Y285" i="37" s="1"/>
  <c r="Z285" i="37" s="1"/>
  <c r="H207" i="45"/>
  <c r="P207" i="45"/>
  <c r="Q207" i="45" s="1"/>
  <c r="R207" i="45" s="1"/>
  <c r="T325" i="45"/>
  <c r="U325" i="45"/>
  <c r="V325" i="45"/>
  <c r="W325" i="45" s="1"/>
  <c r="X325" i="45" s="1"/>
  <c r="G355" i="45"/>
  <c r="H355" i="45"/>
  <c r="P194" i="37"/>
  <c r="Q194" i="37" s="1"/>
  <c r="T137" i="45"/>
  <c r="H190" i="45"/>
  <c r="P190" i="45"/>
  <c r="Q190" i="45" s="1"/>
  <c r="Y164" i="45"/>
  <c r="Z164" i="45"/>
  <c r="H315" i="45"/>
  <c r="P315" i="45" s="1"/>
  <c r="Q315" i="45" s="1"/>
  <c r="H357" i="45"/>
  <c r="P357" i="45"/>
  <c r="Q357" i="45" s="1"/>
  <c r="H365" i="45"/>
  <c r="P365" i="45"/>
  <c r="Q365" i="45"/>
  <c r="H373" i="45"/>
  <c r="P373" i="45"/>
  <c r="Q373" i="45"/>
  <c r="T172" i="37"/>
  <c r="Z159" i="37"/>
  <c r="Y258" i="37"/>
  <c r="Z258" i="37"/>
  <c r="S144" i="37"/>
  <c r="H153" i="45"/>
  <c r="P153" i="45"/>
  <c r="Q153" i="45"/>
  <c r="Y349" i="45"/>
  <c r="Z349" i="45" s="1"/>
  <c r="Y388" i="45"/>
  <c r="Z388" i="45"/>
  <c r="Y112" i="37"/>
  <c r="Z112" i="37" s="1"/>
  <c r="U188" i="37"/>
  <c r="V188" i="37"/>
  <c r="W188" i="37" s="1"/>
  <c r="X188" i="37" s="1"/>
  <c r="W288" i="37"/>
  <c r="X288" i="37"/>
  <c r="U114" i="37"/>
  <c r="V114" i="37" s="1"/>
  <c r="W114" i="37" s="1"/>
  <c r="X114" i="37" s="1"/>
  <c r="Y114" i="37" s="1"/>
  <c r="U111" i="45"/>
  <c r="G375" i="45"/>
  <c r="H375" i="45" s="1"/>
  <c r="G219" i="45"/>
  <c r="H219" i="45" s="1"/>
  <c r="G201" i="45"/>
  <c r="H201" i="45"/>
  <c r="G208" i="45"/>
  <c r="H208" i="45" s="1"/>
  <c r="P208" i="45" s="1"/>
  <c r="Q208" i="45" s="1"/>
  <c r="R208" i="45" s="1"/>
  <c r="T135" i="45"/>
  <c r="U135" i="45" s="1"/>
  <c r="V135" i="45"/>
  <c r="W135" i="45" s="1"/>
  <c r="X135" i="45" s="1"/>
  <c r="U159" i="45"/>
  <c r="V159" i="45"/>
  <c r="W159" i="45"/>
  <c r="X159" i="45" s="1"/>
  <c r="I316" i="37"/>
  <c r="P316" i="37"/>
  <c r="Q316" i="37"/>
  <c r="Y390" i="37"/>
  <c r="Z390" i="37" s="1"/>
  <c r="W255" i="37"/>
  <c r="Y132" i="45"/>
  <c r="Z132" i="45"/>
  <c r="V182" i="45"/>
  <c r="W182" i="45" s="1"/>
  <c r="X182" i="45" s="1"/>
  <c r="W257" i="45"/>
  <c r="X257" i="45" s="1"/>
  <c r="V291" i="45"/>
  <c r="L379" i="37"/>
  <c r="S181" i="37"/>
  <c r="T181" i="37" s="1"/>
  <c r="U181" i="37" s="1"/>
  <c r="V181" i="37" s="1"/>
  <c r="S106" i="37"/>
  <c r="T106" i="37"/>
  <c r="U106" i="37" s="1"/>
  <c r="P350" i="37"/>
  <c r="Q350" i="37" s="1"/>
  <c r="H301" i="37"/>
  <c r="I301" i="37"/>
  <c r="P301" i="37" s="1"/>
  <c r="Q301" i="37" s="1"/>
  <c r="I230" i="37"/>
  <c r="J230" i="37"/>
  <c r="K230" i="37" s="1"/>
  <c r="L230" i="37" s="1"/>
  <c r="M230" i="37" s="1"/>
  <c r="N230" i="37" s="1"/>
  <c r="P193" i="37"/>
  <c r="Q193" i="37" s="1"/>
  <c r="Y101" i="37"/>
  <c r="Z101" i="37"/>
  <c r="G209" i="37"/>
  <c r="H209" i="37" s="1"/>
  <c r="I209" i="37" s="1"/>
  <c r="J209" i="37"/>
  <c r="K209" i="37"/>
  <c r="L209" i="37" s="1"/>
  <c r="M209" i="37" s="1"/>
  <c r="N209" i="37" s="1"/>
  <c r="P209" i="37" s="1"/>
  <c r="Q209" i="37" s="1"/>
  <c r="I207" i="37"/>
  <c r="J207" i="37" s="1"/>
  <c r="K207" i="37" s="1"/>
  <c r="L207" i="37" s="1"/>
  <c r="Y152" i="37"/>
  <c r="G360" i="37"/>
  <c r="Y323" i="45"/>
  <c r="W335" i="45"/>
  <c r="X335" i="45"/>
  <c r="Y335" i="45" s="1"/>
  <c r="Z335" i="45" s="1"/>
  <c r="S327" i="37"/>
  <c r="G366" i="45"/>
  <c r="H366" i="45"/>
  <c r="W386" i="45"/>
  <c r="X386" i="45" s="1"/>
  <c r="U170" i="37"/>
  <c r="V170" i="37"/>
  <c r="W170" i="37" s="1"/>
  <c r="X170" i="37" s="1"/>
  <c r="U136" i="45"/>
  <c r="V136" i="45"/>
  <c r="W136" i="45"/>
  <c r="X136" i="45" s="1"/>
  <c r="U334" i="37"/>
  <c r="V334" i="37" s="1"/>
  <c r="W334" i="37" s="1"/>
  <c r="X334" i="37" s="1"/>
  <c r="Y334" i="37" s="1"/>
  <c r="Z334" i="37" s="1"/>
  <c r="G359" i="45"/>
  <c r="T134" i="37"/>
  <c r="U134" i="37" s="1"/>
  <c r="V134" i="37" s="1"/>
  <c r="W134" i="37" s="1"/>
  <c r="X134" i="37" s="1"/>
  <c r="U160" i="45"/>
  <c r="V160" i="45"/>
  <c r="U276" i="37"/>
  <c r="V276" i="37" s="1"/>
  <c r="X259" i="37"/>
  <c r="Y259" i="37" s="1"/>
  <c r="Z259" i="37" s="1"/>
  <c r="Y275" i="45"/>
  <c r="Z275" i="45" s="1"/>
  <c r="X333" i="45"/>
  <c r="Y333" i="45"/>
  <c r="Z333" i="45"/>
  <c r="H376" i="45"/>
  <c r="P376" i="45" s="1"/>
  <c r="Q376" i="45" s="1"/>
  <c r="R376" i="45" s="1"/>
  <c r="Y113" i="37"/>
  <c r="Z113" i="37" s="1"/>
  <c r="X387" i="45"/>
  <c r="Y387" i="45" s="1"/>
  <c r="Z387" i="45" s="1"/>
  <c r="H124" i="37"/>
  <c r="I124" i="37"/>
  <c r="J124" i="37" s="1"/>
  <c r="K124" i="37" s="1"/>
  <c r="L124" i="37" s="1"/>
  <c r="M124" i="37" s="1"/>
  <c r="U345" i="45"/>
  <c r="H203" i="45"/>
  <c r="P203" i="45" s="1"/>
  <c r="Q203" i="45" s="1"/>
  <c r="R203" i="45" s="1"/>
  <c r="W389" i="45"/>
  <c r="X389" i="45" s="1"/>
  <c r="G237" i="45"/>
  <c r="H237" i="45" s="1"/>
  <c r="P237" i="45" s="1"/>
  <c r="Y105" i="37"/>
  <c r="Z105" i="37"/>
  <c r="S319" i="45"/>
  <c r="T319" i="45" s="1"/>
  <c r="U319" i="45" s="1"/>
  <c r="V319" i="45" s="1"/>
  <c r="W319" i="45" s="1"/>
  <c r="X319" i="45" s="1"/>
  <c r="X261" i="37"/>
  <c r="Y261" i="37" s="1"/>
  <c r="Z261" i="37" s="1"/>
  <c r="U286" i="45"/>
  <c r="V286" i="45" s="1"/>
  <c r="G214" i="45"/>
  <c r="H214" i="45"/>
  <c r="P243" i="37"/>
  <c r="Q243" i="37" s="1"/>
  <c r="V287" i="37"/>
  <c r="U255" i="45"/>
  <c r="V152" i="45"/>
  <c r="W152" i="45" s="1"/>
  <c r="Y247" i="37"/>
  <c r="Z247" i="37" s="1"/>
  <c r="Y290" i="37"/>
  <c r="Z290" i="37" s="1"/>
  <c r="Y138" i="37"/>
  <c r="Z138" i="37" s="1"/>
  <c r="S107" i="45"/>
  <c r="T107" i="45" s="1"/>
  <c r="G124" i="45"/>
  <c r="H124" i="45" s="1"/>
  <c r="P124" i="45" s="1"/>
  <c r="Q124" i="45" s="1"/>
  <c r="G154" i="45"/>
  <c r="H154" i="45" s="1"/>
  <c r="S143" i="45"/>
  <c r="W334" i="45"/>
  <c r="X334" i="45" s="1"/>
  <c r="Y334" i="45" s="1"/>
  <c r="Y351" i="45"/>
  <c r="Z351" i="45" s="1"/>
  <c r="I244" i="37"/>
  <c r="J244" i="37" s="1"/>
  <c r="K244" i="37" s="1"/>
  <c r="L244" i="37" s="1"/>
  <c r="M244" i="37" s="1"/>
  <c r="N244" i="37" s="1"/>
  <c r="Y133" i="37"/>
  <c r="Z133" i="37" s="1"/>
  <c r="Y178" i="37"/>
  <c r="W253" i="37"/>
  <c r="X253" i="37" s="1"/>
  <c r="Y253" i="37" s="1"/>
  <c r="Y153" i="37"/>
  <c r="Z153" i="37"/>
  <c r="Y158" i="37"/>
  <c r="Z158" i="37" s="1"/>
  <c r="Y103" i="45"/>
  <c r="Z103" i="45"/>
  <c r="W381" i="45"/>
  <c r="X381" i="45" s="1"/>
  <c r="Y381" i="45" s="1"/>
  <c r="I202" i="37"/>
  <c r="J202" i="37"/>
  <c r="K202" i="37" s="1"/>
  <c r="Y144" i="45"/>
  <c r="Y259" i="45"/>
  <c r="Z259" i="45" s="1"/>
  <c r="S285" i="45"/>
  <c r="T285" i="45" s="1"/>
  <c r="U285" i="45" s="1"/>
  <c r="V285" i="45" s="1"/>
  <c r="W285" i="45" s="1"/>
  <c r="X285" i="45" s="1"/>
  <c r="Y272" i="37"/>
  <c r="Z272" i="37" s="1"/>
  <c r="I204" i="37"/>
  <c r="J204" i="37" s="1"/>
  <c r="K204" i="37" s="1"/>
  <c r="L204" i="37" s="1"/>
  <c r="M204" i="37" s="1"/>
  <c r="N204" i="37" s="1"/>
  <c r="H298" i="37"/>
  <c r="I298" i="37" s="1"/>
  <c r="P298" i="37" s="1"/>
  <c r="Q298" i="37" s="1"/>
  <c r="Y131" i="45"/>
  <c r="Z131" i="45" s="1"/>
  <c r="Y272" i="45"/>
  <c r="Z272" i="45" s="1"/>
  <c r="W256" i="37"/>
  <c r="X256" i="37" s="1"/>
  <c r="Y256" i="37" s="1"/>
  <c r="Y165" i="45"/>
  <c r="Z165" i="45" s="1"/>
  <c r="W308" i="37"/>
  <c r="X308" i="37" s="1"/>
  <c r="Y308" i="37" s="1"/>
  <c r="Z308" i="37" s="1"/>
  <c r="Y260" i="45"/>
  <c r="Z260" i="45" s="1"/>
  <c r="G220" i="45"/>
  <c r="H220" i="45" s="1"/>
  <c r="G139" i="45"/>
  <c r="H139" i="45" s="1"/>
  <c r="W392" i="37"/>
  <c r="X392" i="37" s="1"/>
  <c r="Y392" i="37" s="1"/>
  <c r="Z392" i="37" s="1"/>
  <c r="Y169" i="45"/>
  <c r="Z169" i="45" s="1"/>
  <c r="S320" i="45"/>
  <c r="T320" i="45" s="1"/>
  <c r="U320" i="45" s="1"/>
  <c r="V320" i="45" s="1"/>
  <c r="W320" i="45" s="1"/>
  <c r="X320" i="45" s="1"/>
  <c r="Y271" i="37"/>
  <c r="Z271" i="37" s="1"/>
  <c r="H121" i="37"/>
  <c r="I121" i="37" s="1"/>
  <c r="J121" i="37" s="1"/>
  <c r="K121" i="37" s="1"/>
  <c r="L121" i="37" s="1"/>
  <c r="M121" i="37" s="1"/>
  <c r="S115" i="45"/>
  <c r="T115" i="45" s="1"/>
  <c r="U115" i="45" s="1"/>
  <c r="V115" i="45" s="1"/>
  <c r="W115" i="45" s="1"/>
  <c r="X115" i="45" s="1"/>
  <c r="W352" i="45"/>
  <c r="X352" i="45" s="1"/>
  <c r="Y352" i="45" s="1"/>
  <c r="Y336" i="37"/>
  <c r="Z336" i="37" s="1"/>
  <c r="U247" i="45"/>
  <c r="V247" i="45" s="1"/>
  <c r="W247" i="45" s="1"/>
  <c r="X247" i="45" s="1"/>
  <c r="K363" i="37"/>
  <c r="L363" i="37" s="1"/>
  <c r="M363" i="37" s="1"/>
  <c r="N363" i="37" s="1"/>
  <c r="P212" i="45"/>
  <c r="Q212" i="45" s="1"/>
  <c r="R212" i="45" s="1"/>
  <c r="P232" i="45"/>
  <c r="Q232" i="45" s="1"/>
  <c r="R232" i="45" s="1"/>
  <c r="P238" i="45"/>
  <c r="Q238" i="45" s="1"/>
  <c r="R238" i="45" s="1"/>
  <c r="Y118" i="37"/>
  <c r="Z118" i="37" s="1"/>
  <c r="P213" i="45"/>
  <c r="Q213" i="45" s="1"/>
  <c r="R213" i="45" s="1"/>
  <c r="P118" i="45"/>
  <c r="Q118" i="45" s="1"/>
  <c r="P234" i="37"/>
  <c r="Q234" i="37" s="1"/>
  <c r="R234" i="37" s="1"/>
  <c r="S234" i="37" s="1"/>
  <c r="Y269" i="45"/>
  <c r="Z269" i="45" s="1"/>
  <c r="Y170" i="45"/>
  <c r="Z170" i="45" s="1"/>
  <c r="U293" i="37"/>
  <c r="V293" i="37" s="1"/>
  <c r="Y350" i="45"/>
  <c r="Z350" i="45" s="1"/>
  <c r="W335" i="37"/>
  <c r="X335" i="37" s="1"/>
  <c r="Y335" i="37" s="1"/>
  <c r="P238" i="37"/>
  <c r="Q238" i="37" s="1"/>
  <c r="R238" i="37" s="1"/>
  <c r="T332" i="37"/>
  <c r="U332" i="37" s="1"/>
  <c r="V332" i="37" s="1"/>
  <c r="W332" i="37" s="1"/>
  <c r="X332" i="37" s="1"/>
  <c r="P233" i="45"/>
  <c r="Q233" i="45"/>
  <c r="P206" i="45"/>
  <c r="Q206" i="45" s="1"/>
  <c r="P204" i="45"/>
  <c r="Q204" i="45"/>
  <c r="H119" i="37"/>
  <c r="I119" i="37" s="1"/>
  <c r="J119" i="37" s="1"/>
  <c r="K119" i="37" s="1"/>
  <c r="L119" i="37" s="1"/>
  <c r="M119" i="37" s="1"/>
  <c r="P125" i="37"/>
  <c r="Q125" i="37" s="1"/>
  <c r="R125" i="37" s="1"/>
  <c r="P371" i="37"/>
  <c r="Q371" i="37"/>
  <c r="Y266" i="37"/>
  <c r="Z266" i="37" s="1"/>
  <c r="G242" i="45"/>
  <c r="H242" i="45"/>
  <c r="U166" i="37"/>
  <c r="V166" i="37" s="1"/>
  <c r="W143" i="37"/>
  <c r="U282" i="45"/>
  <c r="V282" i="45" s="1"/>
  <c r="W282" i="45" s="1"/>
  <c r="X282" i="45" s="1"/>
  <c r="P148" i="37"/>
  <c r="Q148" i="37" s="1"/>
  <c r="W388" i="37"/>
  <c r="X388" i="37"/>
  <c r="P123" i="37"/>
  <c r="Q123" i="37" s="1"/>
  <c r="R123" i="37" s="1"/>
  <c r="T355" i="37"/>
  <c r="U355" i="37"/>
  <c r="V355" i="37" s="1"/>
  <c r="Y329" i="45"/>
  <c r="Z329" i="45" s="1"/>
  <c r="W110" i="37"/>
  <c r="U348" i="37"/>
  <c r="V348" i="37" s="1"/>
  <c r="W348" i="37" s="1"/>
  <c r="X348" i="37" s="1"/>
  <c r="U156" i="45"/>
  <c r="V156" i="45" s="1"/>
  <c r="W156" i="45" s="1"/>
  <c r="X156" i="45" s="1"/>
  <c r="U281" i="37"/>
  <c r="V281" i="37" s="1"/>
  <c r="O17" i="45"/>
  <c r="O16" i="45" s="1"/>
  <c r="O110" i="18"/>
  <c r="R279" i="37"/>
  <c r="Y289" i="37"/>
  <c r="Z289" i="37" s="1"/>
  <c r="S186" i="37"/>
  <c r="T186" i="37" s="1"/>
  <c r="U186" i="37" s="1"/>
  <c r="V186" i="37" s="1"/>
  <c r="W186" i="37" s="1"/>
  <c r="X186" i="37" s="1"/>
  <c r="Y332" i="45"/>
  <c r="P227" i="37"/>
  <c r="Q227" i="37" s="1"/>
  <c r="R227" i="37" s="1"/>
  <c r="T157" i="45"/>
  <c r="U157" i="45"/>
  <c r="V157" i="45" s="1"/>
  <c r="P235" i="45"/>
  <c r="Q235" i="45" s="1"/>
  <c r="R235" i="45" s="1"/>
  <c r="Y292" i="45"/>
  <c r="Z292" i="45" s="1"/>
  <c r="Y267" i="45"/>
  <c r="Z267" i="45" s="1"/>
  <c r="Y163" i="45"/>
  <c r="Z163" i="45" s="1"/>
  <c r="P375" i="37"/>
  <c r="Q375" i="37" s="1"/>
  <c r="R375" i="37" s="1"/>
  <c r="I206" i="37"/>
  <c r="R177" i="37"/>
  <c r="H314" i="45"/>
  <c r="P314" i="45"/>
  <c r="Q314" i="45" s="1"/>
  <c r="R314" i="45" s="1"/>
  <c r="V270" i="45"/>
  <c r="W270" i="45" s="1"/>
  <c r="X270" i="45" s="1"/>
  <c r="H304" i="37"/>
  <c r="I304" i="37" s="1"/>
  <c r="V263" i="45"/>
  <c r="W263" i="45"/>
  <c r="X263" i="45" s="1"/>
  <c r="Y263" i="45" s="1"/>
  <c r="Z263" i="45" s="1"/>
  <c r="P385" i="37"/>
  <c r="Q385" i="37" s="1"/>
  <c r="W133" i="45"/>
  <c r="X133" i="45" s="1"/>
  <c r="T329" i="37"/>
  <c r="U329" i="37" s="1"/>
  <c r="U161" i="37"/>
  <c r="V161" i="37"/>
  <c r="W161" i="37" s="1"/>
  <c r="W278" i="37"/>
  <c r="W386" i="37"/>
  <c r="X386" i="37" s="1"/>
  <c r="V262" i="45"/>
  <c r="W262" i="45" s="1"/>
  <c r="X262" i="45" s="1"/>
  <c r="P362" i="37"/>
  <c r="Q362" i="37" s="1"/>
  <c r="R362" i="37" s="1"/>
  <c r="W328" i="37"/>
  <c r="X328" i="37"/>
  <c r="U116" i="37"/>
  <c r="V116" i="37" s="1"/>
  <c r="W116" i="37" s="1"/>
  <c r="X116" i="37" s="1"/>
  <c r="W139" i="37"/>
  <c r="V164" i="37"/>
  <c r="W164" i="37" s="1"/>
  <c r="I250" i="37"/>
  <c r="P322" i="37"/>
  <c r="R346" i="37"/>
  <c r="S347" i="37"/>
  <c r="S263" i="37"/>
  <c r="T263" i="37" s="1"/>
  <c r="R252" i="37"/>
  <c r="Y353" i="37"/>
  <c r="Y385" i="45"/>
  <c r="Z385" i="45" s="1"/>
  <c r="P211" i="45"/>
  <c r="Q211" i="45"/>
  <c r="P191" i="45"/>
  <c r="Q191" i="45" s="1"/>
  <c r="P295" i="45"/>
  <c r="Q295" i="45"/>
  <c r="Y284" i="37"/>
  <c r="Z284" i="37" s="1"/>
  <c r="W380" i="45"/>
  <c r="X380" i="45"/>
  <c r="U325" i="37"/>
  <c r="I218" i="37"/>
  <c r="J218" i="37"/>
  <c r="K218" i="37"/>
  <c r="L218" i="37" s="1"/>
  <c r="M218" i="37" s="1"/>
  <c r="N218" i="37" s="1"/>
  <c r="Y136" i="37"/>
  <c r="Z136" i="37" s="1"/>
  <c r="V387" i="37"/>
  <c r="W387" i="37"/>
  <c r="X387" i="37"/>
  <c r="P236" i="45"/>
  <c r="Q236" i="45" s="1"/>
  <c r="G243" i="45"/>
  <c r="H243" i="45"/>
  <c r="P243" i="45" s="1"/>
  <c r="Q243" i="45" s="1"/>
  <c r="Y398" i="37"/>
  <c r="Z398" i="37"/>
  <c r="W344" i="45"/>
  <c r="X344" i="45" s="1"/>
  <c r="Y344" i="45" s="1"/>
  <c r="U359" i="37"/>
  <c r="V359" i="37"/>
  <c r="W359" i="37" s="1"/>
  <c r="Y280" i="45"/>
  <c r="Z280" i="45"/>
  <c r="J280" i="37"/>
  <c r="K280" i="37" s="1"/>
  <c r="L280" i="37" s="1"/>
  <c r="M280" i="37" s="1"/>
  <c r="V113" i="45"/>
  <c r="Y292" i="37"/>
  <c r="Z292" i="37"/>
  <c r="I312" i="37"/>
  <c r="P312" i="37" s="1"/>
  <c r="Q312" i="37" s="1"/>
  <c r="R312" i="37" s="1"/>
  <c r="Y273" i="37"/>
  <c r="Z273" i="37" s="1"/>
  <c r="N26" i="37"/>
  <c r="Y394" i="45"/>
  <c r="F50" i="39"/>
  <c r="F19" i="42" s="1"/>
  <c r="Q56" i="42"/>
  <c r="U56" i="42" s="1"/>
  <c r="R56" i="42"/>
  <c r="T56" i="42"/>
  <c r="S56" i="42"/>
  <c r="Q43" i="42"/>
  <c r="U43" i="42" s="1"/>
  <c r="T43" i="42"/>
  <c r="R43" i="42"/>
  <c r="T321" i="37"/>
  <c r="U321" i="37" s="1"/>
  <c r="Y135" i="37"/>
  <c r="Z135" i="37" s="1"/>
  <c r="Y114" i="45"/>
  <c r="Z114" i="45"/>
  <c r="Y265" i="45"/>
  <c r="Z265" i="45"/>
  <c r="S180" i="37"/>
  <c r="T180" i="37" s="1"/>
  <c r="U180" i="37" s="1"/>
  <c r="V180" i="37" s="1"/>
  <c r="W180" i="37" s="1"/>
  <c r="X180" i="37" s="1"/>
  <c r="Y254" i="45"/>
  <c r="Z254" i="45"/>
  <c r="Y253" i="45"/>
  <c r="Z253" i="45" s="1"/>
  <c r="P366" i="37"/>
  <c r="Q366" i="37"/>
  <c r="Y384" i="45"/>
  <c r="Z384" i="45" s="1"/>
  <c r="W179" i="37"/>
  <c r="W352" i="37"/>
  <c r="X352" i="37"/>
  <c r="I215" i="37"/>
  <c r="J215" i="37"/>
  <c r="K215" i="37"/>
  <c r="V354" i="37"/>
  <c r="W354" i="37" s="1"/>
  <c r="X354" i="37" s="1"/>
  <c r="W394" i="37"/>
  <c r="X394" i="37"/>
  <c r="G210" i="45"/>
  <c r="H210" i="45" s="1"/>
  <c r="T168" i="37"/>
  <c r="U168" i="37"/>
  <c r="V168" i="37" s="1"/>
  <c r="W168" i="37" s="1"/>
  <c r="X168" i="37" s="1"/>
  <c r="I367" i="37"/>
  <c r="V273" i="45"/>
  <c r="W273" i="45"/>
  <c r="U182" i="37"/>
  <c r="V182" i="37" s="1"/>
  <c r="Q58" i="42"/>
  <c r="U58" i="42" s="1"/>
  <c r="R58" i="42"/>
  <c r="T58" i="42"/>
  <c r="Q33" i="42"/>
  <c r="U33" i="42" s="1"/>
  <c r="R33" i="42"/>
  <c r="T33" i="42"/>
  <c r="F224" i="45"/>
  <c r="F216" i="45"/>
  <c r="P221" i="45"/>
  <c r="Q221" i="45" s="1"/>
  <c r="R221" i="45" s="1"/>
  <c r="O53" i="39"/>
  <c r="T41" i="42"/>
  <c r="F15" i="42"/>
  <c r="Q17" i="42"/>
  <c r="U17" i="42" s="1"/>
  <c r="R17" i="42"/>
  <c r="S17" i="42"/>
  <c r="T17" i="42"/>
  <c r="S57" i="42"/>
  <c r="Q57" i="42"/>
  <c r="U57" i="42" s="1"/>
  <c r="T57" i="42"/>
  <c r="Q13" i="37"/>
  <c r="C129" i="37"/>
  <c r="Q130" i="37"/>
  <c r="P156" i="37"/>
  <c r="Q156" i="37" s="1"/>
  <c r="F176" i="37"/>
  <c r="P323" i="37"/>
  <c r="Q323" i="37" s="1"/>
  <c r="C351" i="37"/>
  <c r="E386" i="37"/>
  <c r="P386" i="37" s="1"/>
  <c r="Q386" i="37" s="1"/>
  <c r="P387" i="37"/>
  <c r="Q387" i="37" s="1"/>
  <c r="Z387" i="37" s="1"/>
  <c r="I27" i="15"/>
  <c r="H27" i="15"/>
  <c r="F53" i="39"/>
  <c r="F20" i="42" s="1"/>
  <c r="Q54" i="39"/>
  <c r="S42" i="42"/>
  <c r="R42" i="42"/>
  <c r="Q52" i="39"/>
  <c r="P353" i="37"/>
  <c r="Q353" i="37" s="1"/>
  <c r="Z353" i="37" s="1"/>
  <c r="E352" i="37"/>
  <c r="F53" i="15"/>
  <c r="E52" i="15"/>
  <c r="F52" i="15" s="1"/>
  <c r="V117" i="35"/>
  <c r="W117" i="35"/>
  <c r="K50" i="39"/>
  <c r="F40" i="42"/>
  <c r="P29" i="42"/>
  <c r="Q147" i="37"/>
  <c r="R147" i="37"/>
  <c r="R165" i="37"/>
  <c r="Q165" i="37"/>
  <c r="E19" i="15"/>
  <c r="F20" i="15"/>
  <c r="H20" i="15"/>
  <c r="I20" i="15"/>
  <c r="G19" i="15"/>
  <c r="Y9" i="45"/>
  <c r="K99" i="37"/>
  <c r="K26" i="37"/>
  <c r="K402" i="37" s="1"/>
  <c r="K404" i="37" s="1"/>
  <c r="O99" i="37"/>
  <c r="I129" i="37"/>
  <c r="I26" i="37" s="1"/>
  <c r="I402" i="37" s="1"/>
  <c r="I404" i="37" s="1"/>
  <c r="G129" i="37"/>
  <c r="P167" i="37"/>
  <c r="Q167" i="37" s="1"/>
  <c r="R345" i="37"/>
  <c r="Q345" i="37"/>
  <c r="G43" i="15"/>
  <c r="H60" i="15"/>
  <c r="G54" i="15"/>
  <c r="P53" i="39"/>
  <c r="P20" i="42" s="1"/>
  <c r="N50" i="39"/>
  <c r="M40" i="42"/>
  <c r="G50" i="39"/>
  <c r="S43" i="42"/>
  <c r="S33" i="42"/>
  <c r="L1" i="37"/>
  <c r="P19" i="37"/>
  <c r="Q19" i="37"/>
  <c r="P100" i="37"/>
  <c r="Q100" i="37" s="1"/>
  <c r="Z100" i="37" s="1"/>
  <c r="E178" i="37"/>
  <c r="R248" i="37"/>
  <c r="I29" i="15"/>
  <c r="P161" i="45"/>
  <c r="Q161" i="45"/>
  <c r="R168" i="45"/>
  <c r="R166" i="45" s="1"/>
  <c r="E251" i="45"/>
  <c r="E7" i="35"/>
  <c r="V82" i="35"/>
  <c r="T195" i="35"/>
  <c r="T142" i="35"/>
  <c r="R129" i="35"/>
  <c r="V202" i="35"/>
  <c r="U142" i="35"/>
  <c r="W145" i="35"/>
  <c r="W112" i="35"/>
  <c r="W131" i="35"/>
  <c r="V131" i="35"/>
  <c r="V143" i="35"/>
  <c r="W146" i="35"/>
  <c r="T165" i="35"/>
  <c r="J64" i="41"/>
  <c r="J69" i="42"/>
  <c r="J68" i="42" s="1"/>
  <c r="J67" i="42" s="1"/>
  <c r="J57" i="41"/>
  <c r="J56" i="41" s="1"/>
  <c r="G175" i="45"/>
  <c r="D175" i="45"/>
  <c r="D25" i="45" s="1"/>
  <c r="T191" i="35"/>
  <c r="R189" i="35"/>
  <c r="U117" i="35"/>
  <c r="F147" i="35"/>
  <c r="W163" i="35"/>
  <c r="V163" i="35"/>
  <c r="W169" i="35"/>
  <c r="V169" i="35"/>
  <c r="W173" i="35"/>
  <c r="V173" i="35"/>
  <c r="U189" i="35"/>
  <c r="R190" i="35"/>
  <c r="W211" i="35"/>
  <c r="V211" i="35"/>
  <c r="P50" i="39"/>
  <c r="Q42" i="42"/>
  <c r="U42" i="42" s="1"/>
  <c r="R57" i="42"/>
  <c r="E50" i="39"/>
  <c r="M176" i="45"/>
  <c r="M175" i="45" s="1"/>
  <c r="M25" i="45" s="1"/>
  <c r="J251" i="45"/>
  <c r="J175" i="45" s="1"/>
  <c r="J25" i="45" s="1"/>
  <c r="O251" i="45"/>
  <c r="O175" i="45"/>
  <c r="O25" i="45" s="1"/>
  <c r="Q323" i="45"/>
  <c r="Z323" i="45"/>
  <c r="H322" i="45"/>
  <c r="H321" i="45" s="1"/>
  <c r="P53" i="35"/>
  <c r="V197" i="35"/>
  <c r="T189" i="35"/>
  <c r="U195" i="35"/>
  <c r="S195" i="35"/>
  <c r="W159" i="35"/>
  <c r="D116" i="35"/>
  <c r="S117" i="35"/>
  <c r="I193" i="35"/>
  <c r="L208" i="35"/>
  <c r="L203" i="35" s="1"/>
  <c r="R251" i="35"/>
  <c r="R252" i="35"/>
  <c r="U36" i="16"/>
  <c r="L64" i="41"/>
  <c r="L57" i="41"/>
  <c r="L56" i="41"/>
  <c r="L69" i="42"/>
  <c r="L68" i="42" s="1"/>
  <c r="L67" i="42" s="1"/>
  <c r="W167" i="35"/>
  <c r="V167" i="35"/>
  <c r="W171" i="35"/>
  <c r="V171" i="35"/>
  <c r="S210" i="35"/>
  <c r="G208" i="35"/>
  <c r="D122" i="18"/>
  <c r="Q24" i="16"/>
  <c r="M69" i="42"/>
  <c r="M68" i="42" s="1"/>
  <c r="M67" i="42" s="1"/>
  <c r="C51" i="23"/>
  <c r="H253" i="48"/>
  <c r="H250" i="48" s="1"/>
  <c r="L255" i="49"/>
  <c r="L252" i="49" s="1"/>
  <c r="L253" i="48"/>
  <c r="L250" i="48" s="1"/>
  <c r="P255" i="49"/>
  <c r="P252" i="49" s="1"/>
  <c r="P253" i="48"/>
  <c r="P250" i="48" s="1"/>
  <c r="I264" i="49"/>
  <c r="I261" i="49" s="1"/>
  <c r="I258" i="49" s="1"/>
  <c r="I262" i="48"/>
  <c r="I259" i="48"/>
  <c r="I256" i="48" s="1"/>
  <c r="M262" i="48"/>
  <c r="M259" i="48" s="1"/>
  <c r="M256" i="48" s="1"/>
  <c r="M264" i="49"/>
  <c r="M261" i="49" s="1"/>
  <c r="M258" i="49" s="1"/>
  <c r="Q341" i="16"/>
  <c r="N344" i="16"/>
  <c r="N389" i="16" s="1"/>
  <c r="I26" i="18"/>
  <c r="Q26" i="18"/>
  <c r="P31" i="18"/>
  <c r="I47" i="18"/>
  <c r="Q47" i="18" s="1"/>
  <c r="Q75" i="18"/>
  <c r="Q77" i="18"/>
  <c r="Q22" i="23"/>
  <c r="AB5" i="25"/>
  <c r="O76" i="21"/>
  <c r="N76" i="21"/>
  <c r="E76" i="21"/>
  <c r="J76" i="21"/>
  <c r="K76" i="21"/>
  <c r="I76" i="21"/>
  <c r="D76" i="21"/>
  <c r="H76" i="21"/>
  <c r="G76" i="21"/>
  <c r="M76" i="21"/>
  <c r="L76" i="21"/>
  <c r="Q72" i="42"/>
  <c r="U72" i="42"/>
  <c r="T72" i="42"/>
  <c r="R72" i="42"/>
  <c r="S73" i="42"/>
  <c r="Q73" i="42"/>
  <c r="U73" i="42" s="1"/>
  <c r="G76" i="42"/>
  <c r="Q80" i="42"/>
  <c r="U80" i="42" s="1"/>
  <c r="R80" i="42"/>
  <c r="Q81" i="42"/>
  <c r="U81" i="42" s="1"/>
  <c r="T81" i="42"/>
  <c r="S81" i="42"/>
  <c r="S82" i="42"/>
  <c r="Q82" i="42"/>
  <c r="U82" i="42"/>
  <c r="R82" i="42"/>
  <c r="T82" i="42"/>
  <c r="Q87" i="42"/>
  <c r="U87" i="42"/>
  <c r="R87" i="42"/>
  <c r="S90" i="42"/>
  <c r="T90" i="42"/>
  <c r="Q90" i="42"/>
  <c r="U90" i="42" s="1"/>
  <c r="S91" i="42"/>
  <c r="Q91" i="42"/>
  <c r="U91" i="42"/>
  <c r="O364" i="49"/>
  <c r="O357" i="48"/>
  <c r="Q363" i="49"/>
  <c r="Q356" i="48"/>
  <c r="I363" i="49"/>
  <c r="I356" i="48"/>
  <c r="Q382" i="49"/>
  <c r="Q379" i="48"/>
  <c r="AH41" i="22"/>
  <c r="V66" i="22"/>
  <c r="Q297" i="49"/>
  <c r="Q295" i="48"/>
  <c r="Q284" i="49"/>
  <c r="Q282" i="48"/>
  <c r="O6" i="40"/>
  <c r="P285" i="49"/>
  <c r="P283" i="48"/>
  <c r="N10" i="40"/>
  <c r="N34" i="42" s="1"/>
  <c r="N52" i="2"/>
  <c r="O286" i="49"/>
  <c r="O284" i="48"/>
  <c r="M52" i="2"/>
  <c r="M36" i="40"/>
  <c r="M35" i="40"/>
  <c r="N379" i="49"/>
  <c r="N296" i="49" s="1"/>
  <c r="J52" i="2"/>
  <c r="K286" i="49"/>
  <c r="K284" i="48"/>
  <c r="I36" i="40"/>
  <c r="I35" i="40"/>
  <c r="I52" i="2"/>
  <c r="G279" i="49"/>
  <c r="G277" i="48"/>
  <c r="G48" i="10"/>
  <c r="O177" i="16"/>
  <c r="Q250" i="49" s="1"/>
  <c r="Q249" i="49" s="1"/>
  <c r="Y5" i="29"/>
  <c r="Y18" i="29" s="1"/>
  <c r="Y31" i="29" s="1"/>
  <c r="D11" i="21"/>
  <c r="P13" i="21"/>
  <c r="D73" i="21"/>
  <c r="K7" i="21"/>
  <c r="I6" i="21"/>
  <c r="I67" i="21"/>
  <c r="I35" i="21"/>
  <c r="E11" i="21"/>
  <c r="E7" i="21" s="1"/>
  <c r="E73" i="21"/>
  <c r="R13" i="21"/>
  <c r="I253" i="48"/>
  <c r="I250" i="48" s="1"/>
  <c r="I255" i="49"/>
  <c r="I252" i="49" s="1"/>
  <c r="M253" i="48"/>
  <c r="M255" i="49"/>
  <c r="Q253" i="48"/>
  <c r="Q250" i="48" s="1"/>
  <c r="Q255" i="49"/>
  <c r="Q252" i="49" s="1"/>
  <c r="J264" i="49"/>
  <c r="J261" i="49" s="1"/>
  <c r="J258" i="49" s="1"/>
  <c r="J262" i="48"/>
  <c r="J259" i="48"/>
  <c r="J256" i="48" s="1"/>
  <c r="R26" i="25"/>
  <c r="R28" i="25" s="1"/>
  <c r="R256" i="35" s="1"/>
  <c r="E86" i="18"/>
  <c r="E109" i="18" s="1"/>
  <c r="O5" i="18"/>
  <c r="S35" i="25"/>
  <c r="P29" i="25"/>
  <c r="G136" i="20"/>
  <c r="T77" i="20"/>
  <c r="P77" i="20"/>
  <c r="Q77" i="20"/>
  <c r="O52" i="2"/>
  <c r="O53" i="2" s="1"/>
  <c r="D151" i="20"/>
  <c r="M31" i="42"/>
  <c r="M5" i="40"/>
  <c r="D50" i="2"/>
  <c r="E5" i="11"/>
  <c r="Z5" i="29"/>
  <c r="Z18" i="29" s="1"/>
  <c r="Z31" i="29" s="1"/>
  <c r="F305" i="49"/>
  <c r="F19" i="10"/>
  <c r="F58" i="10"/>
  <c r="E305" i="49"/>
  <c r="E48" i="10"/>
  <c r="E19" i="10"/>
  <c r="E58" i="10"/>
  <c r="M58" i="10"/>
  <c r="L61" i="10"/>
  <c r="L67" i="10"/>
  <c r="L58" i="10" s="1"/>
  <c r="Q67" i="10"/>
  <c r="Q58" i="10"/>
  <c r="O83" i="6"/>
  <c r="O4" i="6"/>
  <c r="O82" i="6"/>
  <c r="AL84" i="22"/>
  <c r="AZ99" i="22"/>
  <c r="AZ84" i="22" s="1"/>
  <c r="AZ65" i="22" s="1"/>
  <c r="BB100" i="22"/>
  <c r="O30" i="28"/>
  <c r="O31" i="28" s="1"/>
  <c r="T30" i="29"/>
  <c r="T31" i="29"/>
  <c r="R61" i="42"/>
  <c r="Q61" i="42"/>
  <c r="U61" i="42" s="1"/>
  <c r="T61" i="42"/>
  <c r="S61" i="42"/>
  <c r="Q62" i="42"/>
  <c r="U62" i="42" s="1"/>
  <c r="T62" i="42"/>
  <c r="S62" i="42"/>
  <c r="R62" i="42"/>
  <c r="Q70" i="42"/>
  <c r="U70" i="42" s="1"/>
  <c r="T70" i="42"/>
  <c r="R77" i="42"/>
  <c r="E76" i="42"/>
  <c r="Q77" i="42"/>
  <c r="U77" i="42" s="1"/>
  <c r="S77" i="42"/>
  <c r="T78" i="42"/>
  <c r="Q78" i="42"/>
  <c r="U78" i="42" s="1"/>
  <c r="S78" i="42"/>
  <c r="R78" i="42"/>
  <c r="Q364" i="49"/>
  <c r="Q357" i="48"/>
  <c r="I364" i="49"/>
  <c r="I357" i="48"/>
  <c r="K363" i="49"/>
  <c r="K356" i="48"/>
  <c r="AX27" i="22"/>
  <c r="AS6" i="22"/>
  <c r="M131" i="22"/>
  <c r="P383" i="49"/>
  <c r="V7" i="22"/>
  <c r="AD107" i="22"/>
  <c r="AB99" i="22"/>
  <c r="AB84" i="22"/>
  <c r="AB65" i="22" s="1"/>
  <c r="AD85" i="22"/>
  <c r="P32" i="35"/>
  <c r="G47" i="35"/>
  <c r="G46" i="35" s="1"/>
  <c r="Q79" i="35"/>
  <c r="L105" i="35"/>
  <c r="T197" i="35"/>
  <c r="S190" i="35"/>
  <c r="U165" i="35"/>
  <c r="U190" i="35"/>
  <c r="I208" i="35"/>
  <c r="K255" i="35"/>
  <c r="O255" i="35"/>
  <c r="K190" i="16"/>
  <c r="M64" i="41"/>
  <c r="E395" i="16"/>
  <c r="D75" i="20"/>
  <c r="J255" i="49"/>
  <c r="J252" i="49" s="1"/>
  <c r="J253" i="48"/>
  <c r="J250" i="48"/>
  <c r="N253" i="48"/>
  <c r="N255" i="49"/>
  <c r="R255" i="49"/>
  <c r="R252" i="49"/>
  <c r="R253" i="48"/>
  <c r="R250" i="48" s="1"/>
  <c r="H190" i="16"/>
  <c r="K264" i="49"/>
  <c r="K261" i="49" s="1"/>
  <c r="K258" i="49" s="1"/>
  <c r="K262" i="48"/>
  <c r="K259" i="48" s="1"/>
  <c r="K256" i="48" s="1"/>
  <c r="J75" i="20"/>
  <c r="M344" i="16"/>
  <c r="Q350" i="16"/>
  <c r="Q15" i="18"/>
  <c r="I60" i="18"/>
  <c r="Q60" i="18"/>
  <c r="Q72" i="18"/>
  <c r="Q85" i="18"/>
  <c r="Q87" i="18"/>
  <c r="Q89" i="18"/>
  <c r="I91" i="18"/>
  <c r="Q91" i="18" s="1"/>
  <c r="Q94" i="18"/>
  <c r="Z5" i="25"/>
  <c r="O6" i="20"/>
  <c r="V6" i="20"/>
  <c r="B75" i="20"/>
  <c r="O18" i="20"/>
  <c r="E65" i="41"/>
  <c r="E141" i="20"/>
  <c r="E139" i="20"/>
  <c r="E134" i="20"/>
  <c r="Q18" i="20"/>
  <c r="G65" i="41" s="1"/>
  <c r="R18" i="20"/>
  <c r="H65" i="41"/>
  <c r="G141" i="20"/>
  <c r="G139" i="20" s="1"/>
  <c r="S18" i="20"/>
  <c r="I65" i="41"/>
  <c r="R77" i="20"/>
  <c r="H93" i="41" s="1"/>
  <c r="H89" i="42" s="1"/>
  <c r="J151" i="20"/>
  <c r="Q10" i="2"/>
  <c r="D58" i="10"/>
  <c r="S22" i="10"/>
  <c r="J58" i="10"/>
  <c r="I67" i="10"/>
  <c r="I58" i="10"/>
  <c r="O81" i="6"/>
  <c r="O11" i="6"/>
  <c r="AB26" i="22"/>
  <c r="AB6" i="22" s="1"/>
  <c r="AZ26" i="22"/>
  <c r="AZ6" i="22"/>
  <c r="C67" i="21"/>
  <c r="H67" i="21"/>
  <c r="U30" i="28"/>
  <c r="U31" i="28"/>
  <c r="P30" i="29"/>
  <c r="U30" i="29"/>
  <c r="U31" i="29"/>
  <c r="V30" i="29"/>
  <c r="V31" i="29" s="1"/>
  <c r="S31" i="33"/>
  <c r="T31" i="33"/>
  <c r="X31" i="33"/>
  <c r="Z30" i="33"/>
  <c r="Z31" i="33"/>
  <c r="O30" i="33"/>
  <c r="O31" i="33" s="1"/>
  <c r="T91" i="42"/>
  <c r="S87" i="42"/>
  <c r="Q39" i="42"/>
  <c r="U39" i="42" s="1"/>
  <c r="K364" i="49"/>
  <c r="K357" i="48"/>
  <c r="M363" i="49"/>
  <c r="M356" i="48"/>
  <c r="AX41" i="22"/>
  <c r="AX40" i="22" s="1"/>
  <c r="AD27" i="22"/>
  <c r="F7" i="22"/>
  <c r="G380" i="49"/>
  <c r="G377" i="48"/>
  <c r="R371" i="49"/>
  <c r="R370" i="49"/>
  <c r="R368" i="48"/>
  <c r="R367" i="48"/>
  <c r="O21" i="6"/>
  <c r="N374" i="49"/>
  <c r="N371" i="48"/>
  <c r="I352" i="49"/>
  <c r="I351" i="49" s="1"/>
  <c r="I350" i="48"/>
  <c r="J194" i="35"/>
  <c r="T194" i="35" s="1"/>
  <c r="W207" i="35"/>
  <c r="V205" i="35"/>
  <c r="U209" i="35"/>
  <c r="R210" i="35"/>
  <c r="V210" i="35" s="1"/>
  <c r="M203" i="35"/>
  <c r="V214" i="35"/>
  <c r="R5" i="25"/>
  <c r="G255" i="49"/>
  <c r="G252" i="49" s="1"/>
  <c r="G253" i="48"/>
  <c r="K255" i="49"/>
  <c r="K252" i="49"/>
  <c r="K253" i="48"/>
  <c r="K250" i="48" s="1"/>
  <c r="K238" i="48" s="1"/>
  <c r="O255" i="49"/>
  <c r="O253" i="48"/>
  <c r="O250" i="48" s="1"/>
  <c r="L262" i="48"/>
  <c r="L259" i="48" s="1"/>
  <c r="L256" i="48" s="1"/>
  <c r="L264" i="49"/>
  <c r="L261" i="49" s="1"/>
  <c r="L258" i="49" s="1"/>
  <c r="X77" i="20"/>
  <c r="I31" i="18"/>
  <c r="L9" i="18"/>
  <c r="J30" i="18"/>
  <c r="C59" i="18"/>
  <c r="L59" i="18"/>
  <c r="Q61" i="18"/>
  <c r="Q65" i="18"/>
  <c r="Q67" i="18"/>
  <c r="N86" i="18"/>
  <c r="P86" i="18"/>
  <c r="I96" i="18"/>
  <c r="Q96" i="18"/>
  <c r="P5" i="25"/>
  <c r="R29" i="25"/>
  <c r="T5" i="25"/>
  <c r="V77" i="20"/>
  <c r="I136" i="20"/>
  <c r="I135" i="20" s="1"/>
  <c r="I134" i="20" s="1"/>
  <c r="Q15" i="2"/>
  <c r="Q13" i="2" s="1"/>
  <c r="Q10" i="40" s="1"/>
  <c r="J36" i="40"/>
  <c r="J35" i="40" s="1"/>
  <c r="J33" i="40" s="1"/>
  <c r="L36" i="40"/>
  <c r="L35" i="40" s="1"/>
  <c r="AB16" i="21"/>
  <c r="R16" i="42"/>
  <c r="S16" i="42"/>
  <c r="F51" i="10"/>
  <c r="F88" i="10"/>
  <c r="F86" i="10"/>
  <c r="D80" i="10"/>
  <c r="D20" i="10"/>
  <c r="D68" i="10" s="1"/>
  <c r="BB6" i="22"/>
  <c r="BB85" i="22"/>
  <c r="F76" i="21"/>
  <c r="C76" i="21"/>
  <c r="H81" i="21"/>
  <c r="P21" i="21"/>
  <c r="C6" i="21"/>
  <c r="N81" i="21"/>
  <c r="M81" i="21"/>
  <c r="I81" i="21"/>
  <c r="C81" i="21"/>
  <c r="K81" i="21"/>
  <c r="V31" i="28"/>
  <c r="Q31" i="28"/>
  <c r="Q30" i="29"/>
  <c r="Q31" i="29"/>
  <c r="V31" i="33"/>
  <c r="T80" i="42"/>
  <c r="R10" i="42"/>
  <c r="T10" i="42"/>
  <c r="S10" i="42"/>
  <c r="S35" i="42"/>
  <c r="R35" i="42"/>
  <c r="Q35" i="42"/>
  <c r="U35" i="42" s="1"/>
  <c r="F37" i="42"/>
  <c r="Q38" i="42"/>
  <c r="U38" i="42" s="1"/>
  <c r="R39" i="42"/>
  <c r="S39" i="42"/>
  <c r="M364" i="49"/>
  <c r="M357" i="48"/>
  <c r="O363" i="49"/>
  <c r="O356" i="48"/>
  <c r="J7" i="22"/>
  <c r="M353" i="49"/>
  <c r="M351" i="49" s="1"/>
  <c r="M351" i="48"/>
  <c r="M349" i="48" s="1"/>
  <c r="G82" i="20"/>
  <c r="S113" i="20"/>
  <c r="G159" i="20"/>
  <c r="K151" i="20"/>
  <c r="S62" i="10"/>
  <c r="K67" i="10"/>
  <c r="K58" i="10"/>
  <c r="Q45" i="39"/>
  <c r="P19" i="40"/>
  <c r="Q47" i="42"/>
  <c r="U47" i="42"/>
  <c r="S47" i="42"/>
  <c r="T47" i="42"/>
  <c r="T49" i="42"/>
  <c r="S49" i="42"/>
  <c r="Q49" i="42"/>
  <c r="U49" i="42" s="1"/>
  <c r="R63" i="42"/>
  <c r="T63" i="42"/>
  <c r="Q63" i="42"/>
  <c r="U63" i="42" s="1"/>
  <c r="S70" i="42"/>
  <c r="S71" i="42"/>
  <c r="Q71" i="42"/>
  <c r="U71" i="42" s="1"/>
  <c r="R79" i="42"/>
  <c r="T79" i="42"/>
  <c r="Q79" i="42"/>
  <c r="U79" i="42" s="1"/>
  <c r="AT41" i="22"/>
  <c r="AT40" i="22" s="1"/>
  <c r="AT26" i="22" s="1"/>
  <c r="AT7" i="22"/>
  <c r="Q380" i="49"/>
  <c r="Q377" i="48"/>
  <c r="AP27" i="22"/>
  <c r="AC65" i="22"/>
  <c r="W6" i="22"/>
  <c r="H124" i="22" s="1"/>
  <c r="V41" i="22"/>
  <c r="V40" i="22"/>
  <c r="Q65" i="22"/>
  <c r="M99" i="22"/>
  <c r="M84" i="22"/>
  <c r="M65" i="22"/>
  <c r="E131" i="22" s="1"/>
  <c r="M82" i="20"/>
  <c r="R358" i="49"/>
  <c r="Y113" i="20"/>
  <c r="L353" i="49"/>
  <c r="L351" i="49" s="1"/>
  <c r="L351" i="48"/>
  <c r="Q118" i="20"/>
  <c r="D82" i="20"/>
  <c r="I357" i="49" s="1"/>
  <c r="P118" i="20"/>
  <c r="G364" i="49"/>
  <c r="G357" i="48"/>
  <c r="AP66" i="22"/>
  <c r="Q305" i="49"/>
  <c r="Q303" i="49" s="1"/>
  <c r="Q303" i="48"/>
  <c r="Q301" i="48" s="1"/>
  <c r="W65" i="22"/>
  <c r="H123" i="22"/>
  <c r="K99" i="22"/>
  <c r="K84" i="22" s="1"/>
  <c r="K65" i="22" s="1"/>
  <c r="E123" i="22" s="1"/>
  <c r="N100" i="22"/>
  <c r="N99" i="22" s="1"/>
  <c r="N84" i="22" s="1"/>
  <c r="N65" i="22" s="1"/>
  <c r="AB10" i="21"/>
  <c r="U30" i="33"/>
  <c r="U31" i="33" s="1"/>
  <c r="R45" i="42"/>
  <c r="T45" i="42"/>
  <c r="S72" i="42"/>
  <c r="S80" i="42"/>
  <c r="R92" i="42"/>
  <c r="T92" i="42"/>
  <c r="Q92" i="42"/>
  <c r="U92" i="42" s="1"/>
  <c r="Q95" i="42"/>
  <c r="U95" i="42" s="1"/>
  <c r="S95" i="42"/>
  <c r="R96" i="42"/>
  <c r="Q96" i="42"/>
  <c r="U96" i="42" s="1"/>
  <c r="S96" i="42"/>
  <c r="AP41" i="22"/>
  <c r="AM7" i="22"/>
  <c r="AM6" i="22"/>
  <c r="L124" i="22" s="1"/>
  <c r="AP19" i="22"/>
  <c r="AP7" i="22" s="1"/>
  <c r="AL7" i="22"/>
  <c r="AK6" i="22"/>
  <c r="K131" i="22"/>
  <c r="AH7" i="22"/>
  <c r="AD7" i="22"/>
  <c r="AC6" i="22"/>
  <c r="R7" i="22"/>
  <c r="Q6" i="22"/>
  <c r="N27" i="22"/>
  <c r="L374" i="49"/>
  <c r="L371" i="48"/>
  <c r="P348" i="49"/>
  <c r="P346" i="48"/>
  <c r="P340" i="48" s="1"/>
  <c r="K348" i="49"/>
  <c r="K346" i="48"/>
  <c r="H348" i="49"/>
  <c r="H346" i="48"/>
  <c r="N347" i="49"/>
  <c r="N345" i="48"/>
  <c r="N340" i="48" s="1"/>
  <c r="R346" i="49"/>
  <c r="R344" i="48"/>
  <c r="I346" i="49"/>
  <c r="I344" i="48"/>
  <c r="Z113" i="20"/>
  <c r="N352" i="48"/>
  <c r="U118" i="20"/>
  <c r="T118" i="20"/>
  <c r="J356" i="49"/>
  <c r="J358" i="48"/>
  <c r="AH66" i="22"/>
  <c r="Z66" i="22"/>
  <c r="AU66" i="22"/>
  <c r="AX77" i="22"/>
  <c r="AX66" i="22"/>
  <c r="AM65" i="22"/>
  <c r="L123" i="22" s="1"/>
  <c r="L126" i="22" s="1"/>
  <c r="AI84" i="22"/>
  <c r="AI65" i="22"/>
  <c r="K123" i="22"/>
  <c r="H33" i="25"/>
  <c r="D33" i="25"/>
  <c r="N33" i="25"/>
  <c r="M33" i="25"/>
  <c r="F33" i="25"/>
  <c r="G33" i="25"/>
  <c r="J33" i="25"/>
  <c r="O33" i="25"/>
  <c r="E33" i="25"/>
  <c r="L33" i="25"/>
  <c r="J148" i="20"/>
  <c r="J150" i="20"/>
  <c r="J155" i="20" s="1"/>
  <c r="Q27" i="2"/>
  <c r="Q35" i="2"/>
  <c r="R30" i="33"/>
  <c r="R31" i="33" s="1"/>
  <c r="Q45" i="42"/>
  <c r="U45" i="42" s="1"/>
  <c r="T46" i="42"/>
  <c r="S38" i="42"/>
  <c r="R38" i="42"/>
  <c r="E37" i="42"/>
  <c r="G44" i="42"/>
  <c r="R73" i="42"/>
  <c r="T73" i="42"/>
  <c r="S74" i="42"/>
  <c r="Q74" i="42"/>
  <c r="U74" i="42" s="1"/>
  <c r="R74" i="42"/>
  <c r="S75" i="42"/>
  <c r="R75" i="42"/>
  <c r="Q75" i="42"/>
  <c r="U75" i="42"/>
  <c r="S83" i="42"/>
  <c r="R83" i="42"/>
  <c r="T87" i="42"/>
  <c r="S88" i="42"/>
  <c r="Q88" i="42"/>
  <c r="U88" i="42" s="1"/>
  <c r="T88" i="42"/>
  <c r="R90" i="42"/>
  <c r="R95" i="42"/>
  <c r="T98" i="42"/>
  <c r="R99" i="42"/>
  <c r="T99" i="42"/>
  <c r="S100" i="42"/>
  <c r="Q100" i="42"/>
  <c r="U100" i="42" s="1"/>
  <c r="R101" i="42"/>
  <c r="S101" i="42"/>
  <c r="AP48" i="22"/>
  <c r="AL41" i="22"/>
  <c r="AH27" i="22"/>
  <c r="AD48" i="22"/>
  <c r="Y40" i="22"/>
  <c r="Y26" i="22"/>
  <c r="Y6" i="22"/>
  <c r="U65" i="22"/>
  <c r="S6" i="22"/>
  <c r="R41" i="22"/>
  <c r="N41" i="22"/>
  <c r="N40" i="22"/>
  <c r="M372" i="49"/>
  <c r="M369" i="48"/>
  <c r="O352" i="48"/>
  <c r="AH85" i="22"/>
  <c r="AD66" i="22"/>
  <c r="J84" i="22"/>
  <c r="J65" i="22" s="1"/>
  <c r="P305" i="49"/>
  <c r="P303" i="49" s="1"/>
  <c r="P303" i="48"/>
  <c r="P301" i="48" s="1"/>
  <c r="P19" i="10"/>
  <c r="O284" i="49"/>
  <c r="O282" i="48"/>
  <c r="N285" i="49"/>
  <c r="N283" i="48"/>
  <c r="M284" i="49"/>
  <c r="M282" i="48"/>
  <c r="L285" i="49"/>
  <c r="L283" i="48"/>
  <c r="J286" i="49"/>
  <c r="J284" i="48"/>
  <c r="G65" i="22"/>
  <c r="D123" i="22"/>
  <c r="I305" i="49"/>
  <c r="I303" i="49"/>
  <c r="I303" i="48"/>
  <c r="I301" i="48"/>
  <c r="I19" i="10"/>
  <c r="F39" i="25"/>
  <c r="E39" i="25"/>
  <c r="G39" i="25"/>
  <c r="D39" i="25"/>
  <c r="H39" i="25"/>
  <c r="J39" i="25"/>
  <c r="L39" i="25"/>
  <c r="O39" i="25"/>
  <c r="M39" i="25"/>
  <c r="N279" i="49"/>
  <c r="N277" i="48"/>
  <c r="M278" i="49"/>
  <c r="M295" i="49" s="1"/>
  <c r="M276" i="48"/>
  <c r="J48" i="22"/>
  <c r="J27" i="22"/>
  <c r="E40" i="22"/>
  <c r="E26" i="22"/>
  <c r="E6" i="22"/>
  <c r="R374" i="49"/>
  <c r="R371" i="48"/>
  <c r="K374" i="49"/>
  <c r="K371" i="48"/>
  <c r="H371" i="49"/>
  <c r="H368" i="48"/>
  <c r="Q347" i="49"/>
  <c r="Q345" i="48"/>
  <c r="H347" i="49"/>
  <c r="H345" i="48"/>
  <c r="K346" i="49"/>
  <c r="K344" i="48"/>
  <c r="O353" i="49"/>
  <c r="O351" i="49"/>
  <c r="O351" i="48"/>
  <c r="O349" i="48"/>
  <c r="N353" i="49"/>
  <c r="N351" i="49" s="1"/>
  <c r="N351" i="48"/>
  <c r="N349" i="48"/>
  <c r="H82" i="20"/>
  <c r="H352" i="49"/>
  <c r="H350" i="48"/>
  <c r="AD99" i="22"/>
  <c r="R85" i="22"/>
  <c r="N66" i="22"/>
  <c r="R286" i="49"/>
  <c r="R284" i="48"/>
  <c r="P284" i="49"/>
  <c r="P282" i="48"/>
  <c r="N284" i="49"/>
  <c r="N282" i="48"/>
  <c r="P6" i="11"/>
  <c r="M286" i="49"/>
  <c r="M284" i="48"/>
  <c r="L297" i="49"/>
  <c r="K141" i="35"/>
  <c r="L295" i="48"/>
  <c r="L284" i="49"/>
  <c r="L282" i="48"/>
  <c r="G285" i="49"/>
  <c r="G283" i="48"/>
  <c r="I284" i="49"/>
  <c r="I282" i="48"/>
  <c r="Q278" i="49"/>
  <c r="Q295" i="49"/>
  <c r="Q276" i="48"/>
  <c r="I21" i="10"/>
  <c r="H21" i="10"/>
  <c r="M246" i="49"/>
  <c r="M244" i="48"/>
  <c r="I244" i="48"/>
  <c r="I246" i="49"/>
  <c r="AI6" i="22"/>
  <c r="K124" i="22"/>
  <c r="M36" i="2"/>
  <c r="R278" i="49"/>
  <c r="R295" i="49" s="1"/>
  <c r="Q139" i="35"/>
  <c r="R276" i="48"/>
  <c r="X38" i="11"/>
  <c r="R81" i="42"/>
  <c r="S92" i="42"/>
  <c r="R100" i="42"/>
  <c r="F48" i="22"/>
  <c r="F40" i="22" s="1"/>
  <c r="F27" i="22"/>
  <c r="O374" i="49"/>
  <c r="O371" i="48"/>
  <c r="L372" i="49"/>
  <c r="L370" i="49"/>
  <c r="L369" i="48"/>
  <c r="J371" i="49"/>
  <c r="J370" i="49" s="1"/>
  <c r="J368" i="48"/>
  <c r="J367" i="48" s="1"/>
  <c r="O348" i="49"/>
  <c r="O346" i="48"/>
  <c r="L348" i="49"/>
  <c r="L346" i="48"/>
  <c r="G348" i="49"/>
  <c r="G346" i="48"/>
  <c r="J347" i="49"/>
  <c r="J345" i="48"/>
  <c r="M346" i="49"/>
  <c r="M344" i="48"/>
  <c r="R354" i="49"/>
  <c r="R353" i="48"/>
  <c r="X113" i="20"/>
  <c r="K82" i="20"/>
  <c r="P358" i="49" s="1"/>
  <c r="U113" i="20"/>
  <c r="J352" i="49"/>
  <c r="J350" i="48"/>
  <c r="J349" i="48" s="1"/>
  <c r="H354" i="49"/>
  <c r="H353" i="48"/>
  <c r="O113" i="20"/>
  <c r="AP85" i="22"/>
  <c r="F85" i="22"/>
  <c r="G92" i="21"/>
  <c r="R9" i="10"/>
  <c r="AU99" i="22"/>
  <c r="AU84" i="22"/>
  <c r="T6" i="11"/>
  <c r="O9" i="10"/>
  <c r="N9" i="10"/>
  <c r="L305" i="49"/>
  <c r="L303" i="49"/>
  <c r="L303" i="48"/>
  <c r="L301" i="48" s="1"/>
  <c r="S99" i="22"/>
  <c r="S84" i="22"/>
  <c r="S65" i="22"/>
  <c r="V100" i="22"/>
  <c r="V99" i="22" s="1"/>
  <c r="V84" i="22" s="1"/>
  <c r="O66" i="22"/>
  <c r="O65" i="22"/>
  <c r="F123" i="22"/>
  <c r="R77" i="22"/>
  <c r="R66" i="22" s="1"/>
  <c r="H284" i="49"/>
  <c r="H282" i="48"/>
  <c r="G284" i="49"/>
  <c r="G282" i="48"/>
  <c r="I285" i="49"/>
  <c r="I283" i="48"/>
  <c r="G278" i="49"/>
  <c r="G276" i="48"/>
  <c r="R244" i="48"/>
  <c r="R246" i="49"/>
  <c r="L174" i="49"/>
  <c r="L172" i="48"/>
  <c r="K174" i="49"/>
  <c r="K172" i="48"/>
  <c r="R49" i="42"/>
  <c r="R91" i="42"/>
  <c r="I40" i="22"/>
  <c r="I26" i="22" s="1"/>
  <c r="I6" i="22" s="1"/>
  <c r="P372" i="49"/>
  <c r="P369" i="48"/>
  <c r="P367" i="48" s="1"/>
  <c r="P362" i="48" s="1"/>
  <c r="N371" i="49"/>
  <c r="N370" i="49"/>
  <c r="N368" i="48"/>
  <c r="N367" i="48" s="1"/>
  <c r="J374" i="49"/>
  <c r="J371" i="48"/>
  <c r="L347" i="49"/>
  <c r="L345" i="48"/>
  <c r="O346" i="49"/>
  <c r="O344" i="48"/>
  <c r="G346" i="49"/>
  <c r="G344" i="48"/>
  <c r="W113" i="20"/>
  <c r="V113" i="20"/>
  <c r="M352" i="48"/>
  <c r="T113" i="20"/>
  <c r="J354" i="49"/>
  <c r="J353" i="48"/>
  <c r="AX85" i="22"/>
  <c r="Z99" i="22"/>
  <c r="N85" i="22"/>
  <c r="H305" i="49"/>
  <c r="H19" i="10"/>
  <c r="AT96" i="22"/>
  <c r="AT85" i="22"/>
  <c r="AT84" i="22" s="1"/>
  <c r="O297" i="49"/>
  <c r="O295" i="48"/>
  <c r="K284" i="49"/>
  <c r="K282" i="48"/>
  <c r="J305" i="49"/>
  <c r="J303" i="49" s="1"/>
  <c r="J303" i="48"/>
  <c r="J301" i="48" s="1"/>
  <c r="G305" i="49"/>
  <c r="G303" i="49" s="1"/>
  <c r="G303" i="48"/>
  <c r="C65" i="22"/>
  <c r="C123" i="22"/>
  <c r="N37" i="25"/>
  <c r="F37" i="25"/>
  <c r="H37" i="25"/>
  <c r="M37" i="25"/>
  <c r="E37" i="25"/>
  <c r="J279" i="49"/>
  <c r="J277" i="49" s="1"/>
  <c r="J273" i="49"/>
  <c r="J277" i="48"/>
  <c r="J275" i="48" s="1"/>
  <c r="J271" i="48" s="1"/>
  <c r="Q348" i="49"/>
  <c r="M348" i="49"/>
  <c r="I348" i="49"/>
  <c r="Q353" i="48"/>
  <c r="P351" i="48"/>
  <c r="P352" i="48"/>
  <c r="L353" i="48"/>
  <c r="L350" i="48"/>
  <c r="K353" i="48"/>
  <c r="K350" i="48"/>
  <c r="I351" i="48"/>
  <c r="I352" i="48"/>
  <c r="H356" i="48"/>
  <c r="G351" i="48"/>
  <c r="G352" i="48"/>
  <c r="H320" i="48"/>
  <c r="R295" i="48"/>
  <c r="Q284" i="48"/>
  <c r="P295" i="48"/>
  <c r="N295" i="48"/>
  <c r="N284" i="48"/>
  <c r="L284" i="48"/>
  <c r="G289" i="48"/>
  <c r="Q22" i="2"/>
  <c r="Q20" i="2" s="1"/>
  <c r="O32" i="11"/>
  <c r="J295" i="49"/>
  <c r="I278" i="49"/>
  <c r="I295" i="49" s="1"/>
  <c r="I294" i="49" s="1"/>
  <c r="I293" i="49" s="1"/>
  <c r="L3" i="11"/>
  <c r="I276" i="48"/>
  <c r="H139" i="35"/>
  <c r="L93" i="11"/>
  <c r="P169" i="16"/>
  <c r="L246" i="49"/>
  <c r="L244" i="48"/>
  <c r="L170" i="48"/>
  <c r="L172" i="49"/>
  <c r="J174" i="49"/>
  <c r="J172" i="48"/>
  <c r="I172" i="49"/>
  <c r="I170" i="48"/>
  <c r="H170" i="48"/>
  <c r="G9" i="21"/>
  <c r="G7" i="21"/>
  <c r="F7" i="21"/>
  <c r="N348" i="49"/>
  <c r="J348" i="49"/>
  <c r="K351" i="49"/>
  <c r="S322" i="49"/>
  <c r="U322" i="49" s="1"/>
  <c r="H286" i="49"/>
  <c r="H284" i="48"/>
  <c r="F31" i="25"/>
  <c r="E31" i="25"/>
  <c r="G31" i="25"/>
  <c r="H31" i="25"/>
  <c r="H276" i="48"/>
  <c r="Q172" i="49"/>
  <c r="Q170" i="48"/>
  <c r="P172" i="49"/>
  <c r="P170" i="48"/>
  <c r="O86" i="35"/>
  <c r="O170" i="48"/>
  <c r="O172" i="49"/>
  <c r="J244" i="48"/>
  <c r="J246" i="49"/>
  <c r="J172" i="49"/>
  <c r="J170" i="48"/>
  <c r="J11" i="21"/>
  <c r="O278" i="49"/>
  <c r="O276" i="48"/>
  <c r="N139" i="35"/>
  <c r="G171" i="49"/>
  <c r="G169" i="48"/>
  <c r="G20" i="2"/>
  <c r="I113" i="48"/>
  <c r="S115" i="48"/>
  <c r="P77" i="16"/>
  <c r="L77" i="16"/>
  <c r="L72" i="16" s="1"/>
  <c r="K206" i="48"/>
  <c r="S165" i="48"/>
  <c r="O172" i="48"/>
  <c r="S254" i="48"/>
  <c r="J283" i="48"/>
  <c r="G295" i="48"/>
  <c r="G284" i="48"/>
  <c r="I295" i="48"/>
  <c r="R174" i="49"/>
  <c r="R172" i="48"/>
  <c r="Q252" i="16"/>
  <c r="O246" i="49"/>
  <c r="O244" i="48"/>
  <c r="M96" i="35"/>
  <c r="M174" i="49"/>
  <c r="M172" i="48"/>
  <c r="J169" i="16"/>
  <c r="I264" i="16"/>
  <c r="K172" i="49"/>
  <c r="K170" i="48"/>
  <c r="R65" i="48"/>
  <c r="R63" i="48"/>
  <c r="P50" i="48"/>
  <c r="P39" i="48"/>
  <c r="O82" i="48"/>
  <c r="N89" i="48"/>
  <c r="N61" i="48"/>
  <c r="N50" i="48"/>
  <c r="N48" i="48" s="1"/>
  <c r="M65" i="48"/>
  <c r="M47" i="48"/>
  <c r="L83" i="48"/>
  <c r="L80" i="48"/>
  <c r="L54" i="48"/>
  <c r="K89" i="48"/>
  <c r="K83" i="48"/>
  <c r="J85" i="48"/>
  <c r="J82" i="48"/>
  <c r="I60" i="48"/>
  <c r="I37" i="48"/>
  <c r="H83" i="48"/>
  <c r="K25" i="48"/>
  <c r="F22" i="21"/>
  <c r="S140" i="48"/>
  <c r="S174" i="48"/>
  <c r="S198" i="48"/>
  <c r="S196" i="48"/>
  <c r="S188" i="48"/>
  <c r="S182" i="48"/>
  <c r="S203" i="48"/>
  <c r="S225" i="48"/>
  <c r="S223" i="48"/>
  <c r="S222" i="48"/>
  <c r="S217" i="48"/>
  <c r="S215" i="48"/>
  <c r="S214" i="48"/>
  <c r="O206" i="48"/>
  <c r="R206" i="48"/>
  <c r="J206" i="48"/>
  <c r="S209" i="48"/>
  <c r="M206" i="48"/>
  <c r="P206" i="48"/>
  <c r="S207" i="48"/>
  <c r="H206" i="48"/>
  <c r="S233" i="48"/>
  <c r="G232" i="48"/>
  <c r="S234" i="48"/>
  <c r="L291" i="49"/>
  <c r="J291" i="49"/>
  <c r="P9" i="41"/>
  <c r="R172" i="49"/>
  <c r="R170" i="48"/>
  <c r="Q172" i="48"/>
  <c r="Q174" i="49"/>
  <c r="P246" i="49"/>
  <c r="P244" i="48"/>
  <c r="P174" i="49"/>
  <c r="P172" i="48"/>
  <c r="N244" i="48"/>
  <c r="N246" i="49"/>
  <c r="N172" i="49"/>
  <c r="N170" i="48"/>
  <c r="K246" i="49"/>
  <c r="K244" i="48"/>
  <c r="I172" i="48"/>
  <c r="I174" i="49"/>
  <c r="H244" i="48"/>
  <c r="H172" i="48"/>
  <c r="E82" i="16"/>
  <c r="O82" i="16"/>
  <c r="S103" i="48"/>
  <c r="S183" i="48"/>
  <c r="S263" i="48"/>
  <c r="M170" i="48"/>
  <c r="S197" i="48"/>
  <c r="S187" i="48"/>
  <c r="G206" i="48"/>
  <c r="S261" i="48"/>
  <c r="Q244" i="48"/>
  <c r="G172" i="49"/>
  <c r="N174" i="49"/>
  <c r="R89" i="48"/>
  <c r="R51" i="48"/>
  <c r="Q51" i="48"/>
  <c r="Q48" i="48"/>
  <c r="Q47" i="48"/>
  <c r="P82" i="48"/>
  <c r="P79" i="48"/>
  <c r="P66" i="48"/>
  <c r="P57" i="48"/>
  <c r="P51" i="48"/>
  <c r="O60" i="48"/>
  <c r="O56" i="48"/>
  <c r="O51" i="48"/>
  <c r="O47" i="48"/>
  <c r="O41" i="48"/>
  <c r="N84" i="48"/>
  <c r="N81" i="48"/>
  <c r="N60" i="48"/>
  <c r="N57" i="48"/>
  <c r="M81" i="48"/>
  <c r="M38" i="48"/>
  <c r="L87" i="48"/>
  <c r="L65" i="48"/>
  <c r="L47" i="48"/>
  <c r="L41" i="48"/>
  <c r="K66" i="48"/>
  <c r="K61" i="48"/>
  <c r="K55" i="49"/>
  <c r="K47" i="48"/>
  <c r="K37" i="48"/>
  <c r="K36" i="48" s="1"/>
  <c r="J54" i="48"/>
  <c r="J53" i="48" s="1"/>
  <c r="I82" i="48"/>
  <c r="I66" i="48"/>
  <c r="H61" i="48"/>
  <c r="H58" i="48"/>
  <c r="H54" i="48"/>
  <c r="H53" i="48" s="1"/>
  <c r="M27" i="48"/>
  <c r="J23" i="48"/>
  <c r="S106" i="48"/>
  <c r="S117" i="48"/>
  <c r="S139" i="48"/>
  <c r="S142" i="48"/>
  <c r="H232" i="48"/>
  <c r="G172" i="48"/>
  <c r="S268" i="48"/>
  <c r="N250" i="48"/>
  <c r="S252" i="48"/>
  <c r="M250" i="48"/>
  <c r="S249" i="48"/>
  <c r="S251" i="48"/>
  <c r="S267" i="49"/>
  <c r="U267" i="49" s="1"/>
  <c r="S274" i="49"/>
  <c r="U274" i="49"/>
  <c r="S153" i="48"/>
  <c r="S236" i="48"/>
  <c r="S226" i="49"/>
  <c r="U226" i="49" s="1"/>
  <c r="S247" i="49"/>
  <c r="U247" i="49" s="1"/>
  <c r="S248" i="49"/>
  <c r="U248" i="49" s="1"/>
  <c r="O252" i="49"/>
  <c r="J30" i="49"/>
  <c r="E30" i="49"/>
  <c r="I30" i="49"/>
  <c r="S61" i="49"/>
  <c r="S90" i="49"/>
  <c r="U90" i="49" s="1"/>
  <c r="F98" i="49"/>
  <c r="S156" i="49"/>
  <c r="U156" i="49" s="1"/>
  <c r="S259" i="49"/>
  <c r="U259" i="49"/>
  <c r="S258" i="48"/>
  <c r="S31" i="49"/>
  <c r="J234" i="49"/>
  <c r="N234" i="49"/>
  <c r="W321" i="49"/>
  <c r="W326" i="49"/>
  <c r="D7" i="49"/>
  <c r="P93" i="49"/>
  <c r="S168" i="49"/>
  <c r="U168" i="49"/>
  <c r="Q30" i="49"/>
  <c r="F37" i="49"/>
  <c r="F54" i="49"/>
  <c r="S136" i="49"/>
  <c r="U136" i="49" s="1"/>
  <c r="N183" i="49"/>
  <c r="R183" i="49"/>
  <c r="Q234" i="49"/>
  <c r="Y316" i="49"/>
  <c r="F319" i="49"/>
  <c r="E359" i="49"/>
  <c r="F79" i="35"/>
  <c r="D340" i="49"/>
  <c r="F185" i="35"/>
  <c r="H71" i="39"/>
  <c r="K100" i="35"/>
  <c r="K99" i="35" s="1"/>
  <c r="J241" i="16"/>
  <c r="J69" i="39" s="1"/>
  <c r="H31" i="39"/>
  <c r="N102" i="35"/>
  <c r="O95" i="35"/>
  <c r="P171" i="49"/>
  <c r="P169" i="48"/>
  <c r="G110" i="35"/>
  <c r="F58" i="39"/>
  <c r="F73" i="39"/>
  <c r="T34" i="42"/>
  <c r="R34" i="42"/>
  <c r="S34" i="42"/>
  <c r="O171" i="49"/>
  <c r="O169" i="48"/>
  <c r="N91" i="35"/>
  <c r="K86" i="35"/>
  <c r="J65" i="39"/>
  <c r="J386" i="16"/>
  <c r="M242" i="35"/>
  <c r="K14" i="45"/>
  <c r="M246" i="35"/>
  <c r="S194" i="35"/>
  <c r="H49" i="39"/>
  <c r="H21" i="42"/>
  <c r="J50" i="42"/>
  <c r="R169" i="48"/>
  <c r="N171" i="49"/>
  <c r="M91" i="35"/>
  <c r="M171" i="49"/>
  <c r="M169" i="48"/>
  <c r="L91" i="35"/>
  <c r="G19" i="42"/>
  <c r="O50" i="42"/>
  <c r="O48" i="42" s="1"/>
  <c r="O33" i="40"/>
  <c r="K169" i="48"/>
  <c r="W210" i="35"/>
  <c r="P393" i="16"/>
  <c r="K75" i="39"/>
  <c r="K27" i="42" s="1"/>
  <c r="L171" i="49"/>
  <c r="L169" i="48"/>
  <c r="K91" i="35"/>
  <c r="H169" i="48"/>
  <c r="G91" i="35"/>
  <c r="P296" i="49"/>
  <c r="H296" i="49"/>
  <c r="R248" i="48"/>
  <c r="R247" i="48"/>
  <c r="R207" i="49"/>
  <c r="R205" i="48"/>
  <c r="R191" i="49"/>
  <c r="R189" i="48"/>
  <c r="R180" i="49"/>
  <c r="R178" i="48"/>
  <c r="R170" i="49"/>
  <c r="R168" i="48"/>
  <c r="R160" i="49"/>
  <c r="R158" i="49" s="1"/>
  <c r="R158" i="48"/>
  <c r="R151" i="49"/>
  <c r="R149" i="48"/>
  <c r="R129" i="48"/>
  <c r="R123" i="48"/>
  <c r="R118" i="48"/>
  <c r="R109" i="48"/>
  <c r="Q195" i="48"/>
  <c r="Q165" i="49"/>
  <c r="Q163" i="48"/>
  <c r="Q159" i="49"/>
  <c r="Q157" i="48"/>
  <c r="Q150" i="49"/>
  <c r="Q148" i="48"/>
  <c r="Q143" i="48"/>
  <c r="Q126" i="48"/>
  <c r="Q121" i="48"/>
  <c r="Q112" i="48"/>
  <c r="Q108" i="48"/>
  <c r="Q101" i="48"/>
  <c r="P245" i="49"/>
  <c r="P243" i="48"/>
  <c r="P270" i="48"/>
  <c r="P267" i="48" s="1"/>
  <c r="P230" i="49"/>
  <c r="P229" i="49" s="1"/>
  <c r="P228" i="48"/>
  <c r="P227" i="48"/>
  <c r="P204" i="49"/>
  <c r="P202" i="48"/>
  <c r="P191" i="49"/>
  <c r="P189" i="48"/>
  <c r="P170" i="49"/>
  <c r="P168" i="48"/>
  <c r="P160" i="49"/>
  <c r="P158" i="48"/>
  <c r="P151" i="49"/>
  <c r="P149" i="48"/>
  <c r="P129" i="48"/>
  <c r="P123" i="48"/>
  <c r="P119" i="48"/>
  <c r="P110" i="48"/>
  <c r="P102" i="48"/>
  <c r="O204" i="48"/>
  <c r="O161" i="49"/>
  <c r="O159" i="48"/>
  <c r="O152" i="49"/>
  <c r="O150" i="48"/>
  <c r="O147" i="49"/>
  <c r="O145" i="48"/>
  <c r="O130" i="48"/>
  <c r="O124" i="48"/>
  <c r="O119" i="48"/>
  <c r="O110" i="48"/>
  <c r="O102" i="48"/>
  <c r="O98" i="48"/>
  <c r="N268" i="49"/>
  <c r="N266" i="49" s="1"/>
  <c r="N266" i="48"/>
  <c r="N264" i="48"/>
  <c r="N204" i="48"/>
  <c r="N170" i="49"/>
  <c r="N168" i="48"/>
  <c r="N160" i="49"/>
  <c r="N158" i="48"/>
  <c r="N151" i="49"/>
  <c r="N149" i="48"/>
  <c r="N129" i="48"/>
  <c r="N123" i="48"/>
  <c r="N118" i="48"/>
  <c r="N109" i="48"/>
  <c r="M248" i="48"/>
  <c r="M247" i="48" s="1"/>
  <c r="M245" i="49"/>
  <c r="M243" i="48"/>
  <c r="M195" i="48"/>
  <c r="M161" i="49"/>
  <c r="M159" i="48"/>
  <c r="M152" i="49"/>
  <c r="M150" i="48"/>
  <c r="M147" i="49"/>
  <c r="M145" i="48"/>
  <c r="M130" i="48"/>
  <c r="M124" i="48"/>
  <c r="M119" i="48"/>
  <c r="M110" i="48"/>
  <c r="M98" i="48"/>
  <c r="L248" i="48"/>
  <c r="L247" i="48" s="1"/>
  <c r="L239" i="49"/>
  <c r="L237" i="48"/>
  <c r="L207" i="49"/>
  <c r="L205" i="48"/>
  <c r="L191" i="49"/>
  <c r="L189" i="48"/>
  <c r="L162" i="49"/>
  <c r="L160" i="48"/>
  <c r="L153" i="49"/>
  <c r="L151" i="48"/>
  <c r="L148" i="49"/>
  <c r="L146" i="48"/>
  <c r="L131" i="48"/>
  <c r="L125" i="48"/>
  <c r="L120" i="48"/>
  <c r="L111" i="48"/>
  <c r="L104" i="48"/>
  <c r="K207" i="49"/>
  <c r="K205" i="48"/>
  <c r="K204" i="48"/>
  <c r="K170" i="49"/>
  <c r="K168" i="48"/>
  <c r="K161" i="49"/>
  <c r="K159" i="48"/>
  <c r="K152" i="49"/>
  <c r="K150" i="48"/>
  <c r="K147" i="49"/>
  <c r="K145" i="48"/>
  <c r="K130" i="48"/>
  <c r="K124" i="48"/>
  <c r="K119" i="48"/>
  <c r="K110" i="48"/>
  <c r="K102" i="48"/>
  <c r="J204" i="48"/>
  <c r="J179" i="49"/>
  <c r="J177" i="48"/>
  <c r="J165" i="49"/>
  <c r="J163" i="48"/>
  <c r="J159" i="49"/>
  <c r="J157" i="48"/>
  <c r="J150" i="49"/>
  <c r="J148" i="48"/>
  <c r="J143" i="48"/>
  <c r="J126" i="48"/>
  <c r="J121" i="48"/>
  <c r="J112" i="48"/>
  <c r="J108" i="48"/>
  <c r="J101" i="48"/>
  <c r="I207" i="49"/>
  <c r="I205" i="48"/>
  <c r="I191" i="49"/>
  <c r="I189" i="48"/>
  <c r="I170" i="49"/>
  <c r="I168" i="48"/>
  <c r="I161" i="49"/>
  <c r="I159" i="48"/>
  <c r="I152" i="49"/>
  <c r="I150" i="48"/>
  <c r="I147" i="49"/>
  <c r="I145" i="48"/>
  <c r="I130" i="48"/>
  <c r="I124" i="48"/>
  <c r="I119" i="48"/>
  <c r="I110" i="48"/>
  <c r="I102" i="48"/>
  <c r="I98" i="48"/>
  <c r="H237" i="48"/>
  <c r="H231" i="48" s="1"/>
  <c r="H204" i="48"/>
  <c r="H178" i="48"/>
  <c r="H168" i="48"/>
  <c r="H162" i="48" s="1"/>
  <c r="H158" i="48"/>
  <c r="H149" i="48"/>
  <c r="H129" i="48"/>
  <c r="H123" i="48"/>
  <c r="H118" i="48"/>
  <c r="H109" i="48"/>
  <c r="G245" i="49"/>
  <c r="G244" i="49" s="1"/>
  <c r="G243" i="48"/>
  <c r="G239" i="49"/>
  <c r="G237" i="48"/>
  <c r="G204" i="48"/>
  <c r="G170" i="49"/>
  <c r="G168" i="48"/>
  <c r="G161" i="49"/>
  <c r="G159" i="48"/>
  <c r="G152" i="49"/>
  <c r="G150" i="48"/>
  <c r="G147" i="49"/>
  <c r="G145" i="48"/>
  <c r="G130" i="48"/>
  <c r="G124" i="48"/>
  <c r="G119" i="48"/>
  <c r="G110" i="48"/>
  <c r="G102" i="48"/>
  <c r="E107" i="16"/>
  <c r="G98" i="48"/>
  <c r="L37" i="35"/>
  <c r="M70" i="49"/>
  <c r="K77" i="16"/>
  <c r="K72" i="16" s="1"/>
  <c r="F75" i="35"/>
  <c r="F73" i="35"/>
  <c r="G87" i="49"/>
  <c r="F34" i="35"/>
  <c r="G67" i="49"/>
  <c r="F30" i="35"/>
  <c r="R30" i="35" s="1"/>
  <c r="G63" i="49"/>
  <c r="F62" i="35"/>
  <c r="G53" i="49"/>
  <c r="F60" i="35"/>
  <c r="G51" i="49"/>
  <c r="F57" i="35"/>
  <c r="F53" i="35"/>
  <c r="F50" i="35"/>
  <c r="R50" i="35" s="1"/>
  <c r="G41" i="49"/>
  <c r="Q13" i="35"/>
  <c r="R14" i="49"/>
  <c r="P17" i="35"/>
  <c r="O15" i="35"/>
  <c r="N17" i="35"/>
  <c r="N15" i="35"/>
  <c r="M16" i="35"/>
  <c r="M13" i="35"/>
  <c r="M11" i="35" s="1"/>
  <c r="M9" i="35" s="1"/>
  <c r="N14" i="49"/>
  <c r="M10" i="35"/>
  <c r="N11" i="49"/>
  <c r="K15" i="35"/>
  <c r="K12" i="35"/>
  <c r="L13" i="49"/>
  <c r="J15" i="35"/>
  <c r="P96" i="35"/>
  <c r="R209" i="35"/>
  <c r="R88" i="42"/>
  <c r="N58" i="49"/>
  <c r="J65" i="49"/>
  <c r="J58" i="49"/>
  <c r="J50" i="49"/>
  <c r="J38" i="49"/>
  <c r="I38" i="49"/>
  <c r="H89" i="48"/>
  <c r="H84" i="48"/>
  <c r="H82" i="48"/>
  <c r="H49" i="48"/>
  <c r="H37" i="48"/>
  <c r="R25" i="48"/>
  <c r="Q26" i="49"/>
  <c r="P25" i="48"/>
  <c r="O25" i="48"/>
  <c r="N27" i="48"/>
  <c r="N26" i="49"/>
  <c r="M23" i="48"/>
  <c r="L25" i="48"/>
  <c r="Q291" i="49"/>
  <c r="R270" i="48"/>
  <c r="R267" i="48"/>
  <c r="R195" i="48"/>
  <c r="R161" i="49"/>
  <c r="R159" i="48"/>
  <c r="R152" i="49"/>
  <c r="R150" i="48"/>
  <c r="R147" i="49"/>
  <c r="R145" i="48"/>
  <c r="R130" i="48"/>
  <c r="R124" i="48"/>
  <c r="R119" i="48"/>
  <c r="R110" i="48"/>
  <c r="R102" i="48"/>
  <c r="R98" i="48"/>
  <c r="Q268" i="49"/>
  <c r="Q266" i="48"/>
  <c r="Q264" i="48"/>
  <c r="Q239" i="49"/>
  <c r="Q237" i="48"/>
  <c r="Q231" i="48" s="1"/>
  <c r="Q230" i="49"/>
  <c r="Q229" i="49" s="1"/>
  <c r="Q228" i="48"/>
  <c r="Q227" i="48" s="1"/>
  <c r="Q204" i="49"/>
  <c r="Q202" i="48"/>
  <c r="Q170" i="49"/>
  <c r="Q168" i="48"/>
  <c r="Q160" i="49"/>
  <c r="Q158" i="48"/>
  <c r="Q151" i="49"/>
  <c r="Q149" i="48"/>
  <c r="Q129" i="48"/>
  <c r="Q123" i="48"/>
  <c r="Q118" i="48"/>
  <c r="Q109" i="48"/>
  <c r="P204" i="48"/>
  <c r="P161" i="49"/>
  <c r="P159" i="48"/>
  <c r="P152" i="49"/>
  <c r="P150" i="48"/>
  <c r="P147" i="49"/>
  <c r="P145" i="48"/>
  <c r="P130" i="48"/>
  <c r="P124" i="48"/>
  <c r="P120" i="48"/>
  <c r="P111" i="48"/>
  <c r="P104" i="48"/>
  <c r="P100" i="48"/>
  <c r="O248" i="48"/>
  <c r="O247" i="48"/>
  <c r="O245" i="49"/>
  <c r="O243" i="48"/>
  <c r="O270" i="48"/>
  <c r="O267" i="48"/>
  <c r="O207" i="49"/>
  <c r="O205" i="48"/>
  <c r="O191" i="49"/>
  <c r="O189" i="48"/>
  <c r="O180" i="49"/>
  <c r="O178" i="48"/>
  <c r="O162" i="49"/>
  <c r="O160" i="48"/>
  <c r="O153" i="49"/>
  <c r="O151" i="48"/>
  <c r="O148" i="49"/>
  <c r="O146" i="48"/>
  <c r="O131" i="48"/>
  <c r="O125" i="48"/>
  <c r="O120" i="48"/>
  <c r="O111" i="48"/>
  <c r="O104" i="48"/>
  <c r="O100" i="48"/>
  <c r="N248" i="48"/>
  <c r="N247" i="48"/>
  <c r="N245" i="49"/>
  <c r="N243" i="48"/>
  <c r="N207" i="49"/>
  <c r="N205" i="48"/>
  <c r="N191" i="49"/>
  <c r="N189" i="48"/>
  <c r="N180" i="49"/>
  <c r="N178" i="48"/>
  <c r="N161" i="49"/>
  <c r="N159" i="48"/>
  <c r="N152" i="49"/>
  <c r="N150" i="48"/>
  <c r="N147" i="49"/>
  <c r="N145" i="48"/>
  <c r="N130" i="48"/>
  <c r="N124" i="48"/>
  <c r="N119" i="48"/>
  <c r="N110" i="48"/>
  <c r="N102" i="48"/>
  <c r="N98" i="48"/>
  <c r="M230" i="49"/>
  <c r="M229" i="49" s="1"/>
  <c r="M228" i="48"/>
  <c r="M227" i="48" s="1"/>
  <c r="M204" i="49"/>
  <c r="M202" i="48"/>
  <c r="M162" i="49"/>
  <c r="M160" i="48"/>
  <c r="M153" i="49"/>
  <c r="M151" i="48"/>
  <c r="M148" i="49"/>
  <c r="M146" i="48"/>
  <c r="M131" i="48"/>
  <c r="M125" i="48"/>
  <c r="M120" i="48"/>
  <c r="M111" i="48"/>
  <c r="M104" i="48"/>
  <c r="M100" i="48"/>
  <c r="L270" i="48"/>
  <c r="L267" i="48" s="1"/>
  <c r="L195" i="48"/>
  <c r="L165" i="49"/>
  <c r="L163" i="48"/>
  <c r="L159" i="49"/>
  <c r="L157" i="48"/>
  <c r="L150" i="49"/>
  <c r="L148" i="48"/>
  <c r="L143" i="48"/>
  <c r="L126" i="48"/>
  <c r="L121" i="48"/>
  <c r="L112" i="48"/>
  <c r="L108" i="48"/>
  <c r="L101" i="48"/>
  <c r="K248" i="48"/>
  <c r="K247" i="48"/>
  <c r="K245" i="49"/>
  <c r="K244" i="49" s="1"/>
  <c r="K243" i="48"/>
  <c r="K270" i="48"/>
  <c r="K267" i="48" s="1"/>
  <c r="K191" i="49"/>
  <c r="K189" i="48"/>
  <c r="K180" i="49"/>
  <c r="K178" i="48"/>
  <c r="K162" i="49"/>
  <c r="K160" i="48"/>
  <c r="K153" i="49"/>
  <c r="K151" i="48"/>
  <c r="K148" i="49"/>
  <c r="K146" i="48"/>
  <c r="K131" i="48"/>
  <c r="K125" i="48"/>
  <c r="K120" i="48"/>
  <c r="K111" i="48"/>
  <c r="K104" i="48"/>
  <c r="J248" i="48"/>
  <c r="J247" i="48"/>
  <c r="J245" i="49"/>
  <c r="J243" i="48"/>
  <c r="J207" i="49"/>
  <c r="J205" i="48"/>
  <c r="J191" i="49"/>
  <c r="J189" i="48"/>
  <c r="J180" i="49"/>
  <c r="J178" i="48"/>
  <c r="J170" i="49"/>
  <c r="J168" i="48"/>
  <c r="J160" i="49"/>
  <c r="J158" i="48"/>
  <c r="J151" i="49"/>
  <c r="J149" i="48"/>
  <c r="J129" i="48"/>
  <c r="J123" i="48"/>
  <c r="J118" i="48"/>
  <c r="J109" i="48"/>
  <c r="I248" i="48"/>
  <c r="I247" i="48"/>
  <c r="I245" i="49"/>
  <c r="I243" i="48"/>
  <c r="I195" i="48"/>
  <c r="I162" i="49"/>
  <c r="I160" i="48"/>
  <c r="I153" i="49"/>
  <c r="I151" i="48"/>
  <c r="I148" i="49"/>
  <c r="I146" i="48"/>
  <c r="I131" i="48"/>
  <c r="I125" i="48"/>
  <c r="I120" i="48"/>
  <c r="I111" i="48"/>
  <c r="I104" i="48"/>
  <c r="I100" i="48"/>
  <c r="H266" i="48"/>
  <c r="H264" i="48" s="1"/>
  <c r="H205" i="48"/>
  <c r="H189" i="48"/>
  <c r="H159" i="48"/>
  <c r="H150" i="48"/>
  <c r="H145" i="48"/>
  <c r="H130" i="48"/>
  <c r="H124" i="48"/>
  <c r="H119" i="48"/>
  <c r="H110" i="48"/>
  <c r="H102" i="48"/>
  <c r="H98" i="48"/>
  <c r="G207" i="49"/>
  <c r="G205" i="48"/>
  <c r="G179" i="49"/>
  <c r="G177" i="48"/>
  <c r="G162" i="49"/>
  <c r="G160" i="48"/>
  <c r="G153" i="49"/>
  <c r="G151" i="48"/>
  <c r="G148" i="49"/>
  <c r="G146" i="48"/>
  <c r="G131" i="48"/>
  <c r="G125" i="48"/>
  <c r="G120" i="48"/>
  <c r="G111" i="48"/>
  <c r="G104" i="48"/>
  <c r="G100" i="48"/>
  <c r="F71" i="35"/>
  <c r="R71" i="35" s="1"/>
  <c r="G85" i="49"/>
  <c r="F69" i="35"/>
  <c r="R69" i="35"/>
  <c r="G83" i="49"/>
  <c r="F35" i="35"/>
  <c r="R35" i="35" s="1"/>
  <c r="G68" i="49"/>
  <c r="F26" i="35"/>
  <c r="G59" i="49"/>
  <c r="F48" i="35"/>
  <c r="G39" i="49"/>
  <c r="Q17" i="35"/>
  <c r="Q15" i="35"/>
  <c r="P15" i="35"/>
  <c r="P12" i="35"/>
  <c r="Q13" i="49"/>
  <c r="O12" i="35"/>
  <c r="P13" i="49"/>
  <c r="N12" i="35"/>
  <c r="O13" i="49"/>
  <c r="M17" i="35"/>
  <c r="L17" i="35"/>
  <c r="L15" i="35"/>
  <c r="L12" i="35"/>
  <c r="M13" i="49"/>
  <c r="K16" i="35"/>
  <c r="J12" i="35"/>
  <c r="K13" i="49"/>
  <c r="G32" i="35"/>
  <c r="O96" i="35"/>
  <c r="T210" i="35"/>
  <c r="P376" i="48"/>
  <c r="N376" i="48"/>
  <c r="K291" i="49"/>
  <c r="H291" i="49"/>
  <c r="K176" i="16"/>
  <c r="K61" i="39" s="1"/>
  <c r="K169" i="16"/>
  <c r="E169" i="16"/>
  <c r="R87" i="48"/>
  <c r="R80" i="48"/>
  <c r="R60" i="48"/>
  <c r="R57" i="48"/>
  <c r="R46" i="48"/>
  <c r="R42" i="48" s="1"/>
  <c r="Q86" i="48"/>
  <c r="Q84" i="48"/>
  <c r="Q82" i="48"/>
  <c r="Q64" i="48"/>
  <c r="Q57" i="48"/>
  <c r="Q46" i="48"/>
  <c r="Q42" i="48" s="1"/>
  <c r="Q38" i="48"/>
  <c r="N65" i="49"/>
  <c r="L231" i="48"/>
  <c r="R230" i="49"/>
  <c r="R229" i="49" s="1"/>
  <c r="R228" i="48"/>
  <c r="R227" i="48"/>
  <c r="R204" i="49"/>
  <c r="R202" i="48"/>
  <c r="R162" i="49"/>
  <c r="R160" i="48"/>
  <c r="R153" i="49"/>
  <c r="R151" i="48"/>
  <c r="R148" i="49"/>
  <c r="R146" i="48"/>
  <c r="R131" i="48"/>
  <c r="R125" i="48"/>
  <c r="R120" i="48"/>
  <c r="R111" i="48"/>
  <c r="R104" i="48"/>
  <c r="R100" i="48"/>
  <c r="Q204" i="48"/>
  <c r="Q161" i="49"/>
  <c r="Q159" i="48"/>
  <c r="Q152" i="49"/>
  <c r="Q150" i="48"/>
  <c r="Q147" i="49"/>
  <c r="Q145" i="48"/>
  <c r="Q130" i="48"/>
  <c r="Q124" i="48"/>
  <c r="Q119" i="48"/>
  <c r="Q110" i="48"/>
  <c r="Q102" i="48"/>
  <c r="Q98" i="48"/>
  <c r="P268" i="49"/>
  <c r="P266" i="49" s="1"/>
  <c r="P266" i="48"/>
  <c r="P264" i="48" s="1"/>
  <c r="P239" i="49"/>
  <c r="P237" i="48"/>
  <c r="P231" i="48"/>
  <c r="P207" i="49"/>
  <c r="P205" i="48"/>
  <c r="P179" i="49"/>
  <c r="P177" i="48"/>
  <c r="P162" i="49"/>
  <c r="P160" i="48"/>
  <c r="P153" i="49"/>
  <c r="P151" i="48"/>
  <c r="P148" i="49"/>
  <c r="P146" i="48"/>
  <c r="P131" i="48"/>
  <c r="P125" i="48"/>
  <c r="P121" i="48"/>
  <c r="P112" i="48"/>
  <c r="P108" i="48"/>
  <c r="P101" i="48"/>
  <c r="O195" i="48"/>
  <c r="O165" i="49"/>
  <c r="O163" i="48"/>
  <c r="O159" i="49"/>
  <c r="O157" i="48"/>
  <c r="O150" i="49"/>
  <c r="O148" i="48"/>
  <c r="O143" i="48"/>
  <c r="O126" i="48"/>
  <c r="O121" i="48"/>
  <c r="O112" i="48"/>
  <c r="O108" i="48"/>
  <c r="O101" i="48"/>
  <c r="N239" i="49"/>
  <c r="N237" i="48"/>
  <c r="N231" i="48"/>
  <c r="N270" i="48"/>
  <c r="N267" i="48" s="1"/>
  <c r="N195" i="48"/>
  <c r="N162" i="49"/>
  <c r="N160" i="48"/>
  <c r="N153" i="49"/>
  <c r="N151" i="48"/>
  <c r="N148" i="49"/>
  <c r="N146" i="48"/>
  <c r="N131" i="48"/>
  <c r="N125" i="48"/>
  <c r="N120" i="48"/>
  <c r="N111" i="48"/>
  <c r="N104" i="48"/>
  <c r="N100" i="48"/>
  <c r="M239" i="49"/>
  <c r="M237" i="48"/>
  <c r="M231" i="48" s="1"/>
  <c r="M204" i="48"/>
  <c r="M179" i="49"/>
  <c r="M177" i="48"/>
  <c r="M165" i="49"/>
  <c r="M163" i="48"/>
  <c r="M159" i="49"/>
  <c r="M157" i="48"/>
  <c r="M150" i="49"/>
  <c r="M148" i="48"/>
  <c r="M143" i="48"/>
  <c r="M126" i="48"/>
  <c r="M121" i="48"/>
  <c r="M112" i="48"/>
  <c r="M108" i="48"/>
  <c r="M101" i="48"/>
  <c r="L230" i="49"/>
  <c r="L229" i="49" s="1"/>
  <c r="L228" i="48"/>
  <c r="L227" i="48" s="1"/>
  <c r="L204" i="49"/>
  <c r="L202" i="48"/>
  <c r="L179" i="49"/>
  <c r="L177" i="48"/>
  <c r="L160" i="49"/>
  <c r="L158" i="48"/>
  <c r="L151" i="49"/>
  <c r="L149" i="48"/>
  <c r="L129" i="48"/>
  <c r="L123" i="48"/>
  <c r="L118" i="48"/>
  <c r="L109" i="48"/>
  <c r="L98" i="48"/>
  <c r="K230" i="49"/>
  <c r="K229" i="49" s="1"/>
  <c r="K228" i="48"/>
  <c r="K227" i="48"/>
  <c r="K195" i="48"/>
  <c r="K165" i="49"/>
  <c r="K163" i="48"/>
  <c r="K159" i="49"/>
  <c r="K157" i="48"/>
  <c r="K150" i="49"/>
  <c r="K148" i="48"/>
  <c r="K143" i="48"/>
  <c r="K126" i="48"/>
  <c r="K121" i="48"/>
  <c r="K112" i="48"/>
  <c r="K108" i="48"/>
  <c r="K101" i="48"/>
  <c r="K98" i="48"/>
  <c r="J239" i="49"/>
  <c r="J237" i="48"/>
  <c r="J231" i="48" s="1"/>
  <c r="J270" i="48"/>
  <c r="J267" i="48" s="1"/>
  <c r="J195" i="48"/>
  <c r="J161" i="49"/>
  <c r="J159" i="48"/>
  <c r="J152" i="49"/>
  <c r="J150" i="48"/>
  <c r="J147" i="49"/>
  <c r="J145" i="48"/>
  <c r="J130" i="48"/>
  <c r="J124" i="48"/>
  <c r="J119" i="48"/>
  <c r="J110" i="48"/>
  <c r="J98" i="48"/>
  <c r="I270" i="48"/>
  <c r="I267" i="48"/>
  <c r="I230" i="49"/>
  <c r="I229" i="49" s="1"/>
  <c r="I228" i="48"/>
  <c r="I227" i="48"/>
  <c r="I204" i="49"/>
  <c r="I202" i="48"/>
  <c r="I179" i="49"/>
  <c r="I177" i="48"/>
  <c r="I165" i="49"/>
  <c r="I163" i="48"/>
  <c r="I159" i="49"/>
  <c r="I157" i="48"/>
  <c r="I150" i="49"/>
  <c r="I148" i="48"/>
  <c r="I143" i="48"/>
  <c r="I126" i="48"/>
  <c r="I121" i="48"/>
  <c r="I112" i="48"/>
  <c r="I108" i="48"/>
  <c r="I101" i="48"/>
  <c r="H270" i="48"/>
  <c r="H267" i="48" s="1"/>
  <c r="H195" i="48"/>
  <c r="H160" i="48"/>
  <c r="H151" i="48"/>
  <c r="H146" i="48"/>
  <c r="H131" i="48"/>
  <c r="H125" i="48"/>
  <c r="H120" i="48"/>
  <c r="H111" i="48"/>
  <c r="H104" i="48"/>
  <c r="H100" i="48"/>
  <c r="G268" i="49"/>
  <c r="G266" i="49" s="1"/>
  <c r="G266" i="48"/>
  <c r="G264" i="48"/>
  <c r="G243" i="49"/>
  <c r="G241" i="48"/>
  <c r="G270" i="48"/>
  <c r="G195" i="48"/>
  <c r="G180" i="49"/>
  <c r="G178" i="48"/>
  <c r="G165" i="49"/>
  <c r="G163" i="48"/>
  <c r="G159" i="49"/>
  <c r="G157" i="48"/>
  <c r="G150" i="49"/>
  <c r="G148" i="48"/>
  <c r="G143" i="48"/>
  <c r="G126" i="48"/>
  <c r="G121" i="48"/>
  <c r="G112" i="48"/>
  <c r="G108" i="48"/>
  <c r="G101" i="48"/>
  <c r="F77" i="35"/>
  <c r="G91" i="49"/>
  <c r="F74" i="35"/>
  <c r="G88" i="49"/>
  <c r="F67" i="35"/>
  <c r="G81" i="49"/>
  <c r="F33" i="35"/>
  <c r="G66" i="49"/>
  <c r="F29" i="35"/>
  <c r="R29" i="35"/>
  <c r="G62" i="49"/>
  <c r="S62" i="49" s="1"/>
  <c r="Y62" i="49" s="1"/>
  <c r="F23" i="35"/>
  <c r="G56" i="49"/>
  <c r="F61" i="35"/>
  <c r="R61" i="35" s="1"/>
  <c r="G52" i="49"/>
  <c r="S52" i="49" s="1"/>
  <c r="Y52" i="49" s="1"/>
  <c r="F49" i="35"/>
  <c r="G40" i="49"/>
  <c r="Q12" i="35"/>
  <c r="R13" i="49"/>
  <c r="P16" i="35"/>
  <c r="P10" i="35"/>
  <c r="Q11" i="49"/>
  <c r="O16" i="35"/>
  <c r="O13" i="35"/>
  <c r="P14" i="49"/>
  <c r="O10" i="35"/>
  <c r="P11" i="49"/>
  <c r="N16" i="35"/>
  <c r="M15" i="35"/>
  <c r="L10" i="35"/>
  <c r="M11" i="49"/>
  <c r="K13" i="35"/>
  <c r="L14" i="49"/>
  <c r="K10" i="35"/>
  <c r="L11" i="49"/>
  <c r="J16" i="35"/>
  <c r="J32" i="35"/>
  <c r="F96" i="35"/>
  <c r="F14" i="40"/>
  <c r="P324" i="16"/>
  <c r="O196" i="16"/>
  <c r="U252" i="16"/>
  <c r="M176" i="16"/>
  <c r="M61" i="39"/>
  <c r="M169" i="16"/>
  <c r="M324" i="16"/>
  <c r="L176" i="16"/>
  <c r="L61" i="39"/>
  <c r="L169" i="16"/>
  <c r="J324" i="16"/>
  <c r="J212" i="16"/>
  <c r="J205" i="16"/>
  <c r="I176" i="16"/>
  <c r="I61" i="39"/>
  <c r="I169" i="16"/>
  <c r="I324" i="16"/>
  <c r="H176" i="16"/>
  <c r="H61" i="39"/>
  <c r="H169" i="16"/>
  <c r="G176" i="16"/>
  <c r="G61" i="39" s="1"/>
  <c r="G169" i="16"/>
  <c r="R55" i="49"/>
  <c r="R50" i="48"/>
  <c r="R39" i="48"/>
  <c r="Q80" i="48"/>
  <c r="Q60" i="48"/>
  <c r="Q54" i="48"/>
  <c r="Q53" i="48" s="1"/>
  <c r="P80" i="48"/>
  <c r="P65" i="48"/>
  <c r="P63" i="48"/>
  <c r="P38" i="48"/>
  <c r="O65" i="48"/>
  <c r="O58" i="49"/>
  <c r="O49" i="48"/>
  <c r="O48" i="48" s="1"/>
  <c r="O37" i="48"/>
  <c r="O36" i="48" s="1"/>
  <c r="N87" i="48"/>
  <c r="N82" i="48"/>
  <c r="N66" i="48"/>
  <c r="N64" i="48"/>
  <c r="M51" i="48"/>
  <c r="M41" i="48"/>
  <c r="L86" i="48"/>
  <c r="L79" i="48"/>
  <c r="L65" i="49"/>
  <c r="L58" i="48"/>
  <c r="L56" i="48"/>
  <c r="L55" i="48"/>
  <c r="L51" i="48"/>
  <c r="L49" i="48"/>
  <c r="L37" i="48"/>
  <c r="L36" i="48" s="1"/>
  <c r="L35" i="48" s="1"/>
  <c r="K84" i="48"/>
  <c r="K64" i="48"/>
  <c r="K60" i="48"/>
  <c r="K54" i="48"/>
  <c r="J81" i="48"/>
  <c r="J65" i="48"/>
  <c r="J63" i="48"/>
  <c r="J39" i="48"/>
  <c r="H47" i="48"/>
  <c r="H41" i="48"/>
  <c r="H38" i="48"/>
  <c r="G83" i="48"/>
  <c r="G81" i="48"/>
  <c r="G66" i="48"/>
  <c r="R14" i="48"/>
  <c r="R13" i="48" s="1"/>
  <c r="Q11" i="48"/>
  <c r="Q10" i="48" s="1"/>
  <c r="P23" i="48"/>
  <c r="O11" i="48"/>
  <c r="O10" i="48"/>
  <c r="N26" i="48"/>
  <c r="M26" i="49"/>
  <c r="M16" i="48"/>
  <c r="M14" i="48"/>
  <c r="M11" i="48"/>
  <c r="M10" i="48" s="1"/>
  <c r="L26" i="48"/>
  <c r="L23" i="48"/>
  <c r="L15" i="48"/>
  <c r="L13" i="48" s="1"/>
  <c r="K26" i="48"/>
  <c r="K23" i="48"/>
  <c r="K11" i="48"/>
  <c r="R245" i="49"/>
  <c r="R243" i="48"/>
  <c r="R239" i="49"/>
  <c r="R237" i="48"/>
  <c r="R231" i="48" s="1"/>
  <c r="R204" i="48"/>
  <c r="R179" i="49"/>
  <c r="R178" i="49" s="1"/>
  <c r="R175" i="49" s="1"/>
  <c r="R177" i="48"/>
  <c r="R176" i="48" s="1"/>
  <c r="R173" i="48" s="1"/>
  <c r="R165" i="49"/>
  <c r="R163" i="48"/>
  <c r="R159" i="49"/>
  <c r="R157" i="48"/>
  <c r="R156" i="48"/>
  <c r="R150" i="49"/>
  <c r="R148" i="48"/>
  <c r="R143" i="48"/>
  <c r="R126" i="48"/>
  <c r="R121" i="48"/>
  <c r="R112" i="48"/>
  <c r="R108" i="48"/>
  <c r="R101" i="48"/>
  <c r="Q245" i="49"/>
  <c r="Q244" i="49"/>
  <c r="Q243" i="48"/>
  <c r="Q242" i="48"/>
  <c r="Q270" i="48"/>
  <c r="Q267" i="48"/>
  <c r="Q207" i="49"/>
  <c r="Q205" i="48"/>
  <c r="Q191" i="49"/>
  <c r="Q189" i="48"/>
  <c r="Q171" i="49"/>
  <c r="Q169" i="48"/>
  <c r="Q162" i="49"/>
  <c r="Q160" i="48"/>
  <c r="Q153" i="49"/>
  <c r="Q151" i="48"/>
  <c r="Q148" i="49"/>
  <c r="Q146" i="48"/>
  <c r="Q131" i="48"/>
  <c r="Q125" i="48"/>
  <c r="Q120" i="48"/>
  <c r="Q111" i="48"/>
  <c r="Q104" i="48"/>
  <c r="Q100" i="48"/>
  <c r="P195" i="48"/>
  <c r="P180" i="49"/>
  <c r="P178" i="48"/>
  <c r="P165" i="49"/>
  <c r="P164" i="49" s="1"/>
  <c r="P163" i="48"/>
  <c r="P162" i="48" s="1"/>
  <c r="P159" i="49"/>
  <c r="P157" i="48"/>
  <c r="P150" i="49"/>
  <c r="P148" i="48"/>
  <c r="P143" i="48"/>
  <c r="P126" i="48"/>
  <c r="P118" i="48"/>
  <c r="P109" i="48"/>
  <c r="P98" i="48"/>
  <c r="O268" i="49"/>
  <c r="O266" i="49"/>
  <c r="O266" i="48"/>
  <c r="O264" i="48"/>
  <c r="O239" i="49"/>
  <c r="O237" i="48"/>
  <c r="O230" i="49"/>
  <c r="O229" i="49"/>
  <c r="O228" i="48"/>
  <c r="O227" i="48"/>
  <c r="O204" i="49"/>
  <c r="O202" i="48"/>
  <c r="O179" i="49"/>
  <c r="O177" i="48"/>
  <c r="O176" i="48" s="1"/>
  <c r="O173" i="48" s="1"/>
  <c r="O170" i="49"/>
  <c r="O168" i="48"/>
  <c r="O160" i="49"/>
  <c r="O158" i="48"/>
  <c r="O151" i="49"/>
  <c r="O149" i="48"/>
  <c r="O129" i="48"/>
  <c r="O123" i="48"/>
  <c r="O118" i="48"/>
  <c r="O109" i="48"/>
  <c r="N230" i="49"/>
  <c r="N229" i="49"/>
  <c r="N228" i="48"/>
  <c r="N227" i="48"/>
  <c r="N204" i="49"/>
  <c r="N202" i="48"/>
  <c r="N179" i="49"/>
  <c r="N177" i="48"/>
  <c r="N165" i="49"/>
  <c r="N163" i="48"/>
  <c r="N162" i="48" s="1"/>
  <c r="N155" i="48" s="1"/>
  <c r="N159" i="49"/>
  <c r="N157" i="48"/>
  <c r="N156" i="48"/>
  <c r="N150" i="49"/>
  <c r="N148" i="48"/>
  <c r="N143" i="48"/>
  <c r="N126" i="48"/>
  <c r="N121" i="48"/>
  <c r="N112" i="48"/>
  <c r="N108" i="48"/>
  <c r="N101" i="48"/>
  <c r="M270" i="48"/>
  <c r="M267" i="48" s="1"/>
  <c r="M207" i="49"/>
  <c r="M205" i="48"/>
  <c r="M191" i="49"/>
  <c r="M189" i="48"/>
  <c r="M180" i="49"/>
  <c r="M178" i="48"/>
  <c r="M170" i="49"/>
  <c r="M168" i="48"/>
  <c r="M160" i="49"/>
  <c r="M158" i="48"/>
  <c r="M151" i="49"/>
  <c r="M149" i="48"/>
  <c r="M129" i="48"/>
  <c r="M123" i="48"/>
  <c r="M118" i="48"/>
  <c r="M109" i="48"/>
  <c r="L245" i="49"/>
  <c r="L243" i="48"/>
  <c r="L204" i="48"/>
  <c r="L180" i="49"/>
  <c r="L178" i="48"/>
  <c r="L170" i="49"/>
  <c r="L168" i="48"/>
  <c r="L161" i="49"/>
  <c r="L159" i="48"/>
  <c r="L152" i="49"/>
  <c r="L150" i="48"/>
  <c r="L147" i="49"/>
  <c r="L145" i="48"/>
  <c r="L130" i="48"/>
  <c r="L124" i="48"/>
  <c r="L119" i="48"/>
  <c r="L110" i="48"/>
  <c r="L102" i="48"/>
  <c r="L100" i="48"/>
  <c r="K239" i="49"/>
  <c r="K233" i="49" s="1"/>
  <c r="K237" i="48"/>
  <c r="K231" i="48" s="1"/>
  <c r="K204" i="49"/>
  <c r="K202" i="48"/>
  <c r="K179" i="49"/>
  <c r="K177" i="48"/>
  <c r="K176" i="48"/>
  <c r="K173" i="48" s="1"/>
  <c r="K160" i="49"/>
  <c r="K158" i="48"/>
  <c r="K151" i="49"/>
  <c r="K149" i="48"/>
  <c r="K129" i="48"/>
  <c r="K123" i="48"/>
  <c r="K118" i="48"/>
  <c r="K109" i="48"/>
  <c r="K100" i="48"/>
  <c r="J230" i="49"/>
  <c r="J229" i="49"/>
  <c r="J228" i="48"/>
  <c r="J227" i="48"/>
  <c r="J204" i="49"/>
  <c r="J202" i="48"/>
  <c r="J171" i="49"/>
  <c r="J169" i="48"/>
  <c r="J162" i="49"/>
  <c r="J160" i="48"/>
  <c r="J153" i="49"/>
  <c r="J151" i="48"/>
  <c r="J148" i="49"/>
  <c r="J146" i="48"/>
  <c r="J131" i="48"/>
  <c r="J125" i="48"/>
  <c r="J120" i="48"/>
  <c r="J111" i="48"/>
  <c r="J104" i="48"/>
  <c r="J100" i="48"/>
  <c r="I239" i="49"/>
  <c r="I237" i="48"/>
  <c r="I231" i="48"/>
  <c r="I204" i="48"/>
  <c r="I180" i="49"/>
  <c r="I178" i="48"/>
  <c r="I160" i="49"/>
  <c r="I158" i="48"/>
  <c r="I151" i="49"/>
  <c r="I149" i="48"/>
  <c r="I129" i="48"/>
  <c r="I123" i="48"/>
  <c r="I118" i="48"/>
  <c r="I109" i="48"/>
  <c r="H248" i="48"/>
  <c r="H247" i="48" s="1"/>
  <c r="H243" i="48"/>
  <c r="H228" i="48"/>
  <c r="H227" i="48"/>
  <c r="H202" i="48"/>
  <c r="H200" i="48"/>
  <c r="H199" i="48" s="1"/>
  <c r="H177" i="48"/>
  <c r="H163" i="48"/>
  <c r="H157" i="48"/>
  <c r="H148" i="48"/>
  <c r="H143" i="48"/>
  <c r="H126" i="48"/>
  <c r="H121" i="48"/>
  <c r="H112" i="48"/>
  <c r="H108" i="48"/>
  <c r="H101" i="48"/>
  <c r="G230" i="49"/>
  <c r="G229" i="49" s="1"/>
  <c r="G228" i="48"/>
  <c r="G204" i="49"/>
  <c r="G202" i="49" s="1"/>
  <c r="G201" i="49" s="1"/>
  <c r="G202" i="48"/>
  <c r="G191" i="49"/>
  <c r="G189" i="48"/>
  <c r="G160" i="49"/>
  <c r="G158" i="48"/>
  <c r="G151" i="49"/>
  <c r="G149" i="48"/>
  <c r="G129" i="48"/>
  <c r="G123" i="48"/>
  <c r="G118" i="48"/>
  <c r="G109" i="48"/>
  <c r="F72" i="35"/>
  <c r="R72" i="35"/>
  <c r="G86" i="49"/>
  <c r="F70" i="35"/>
  <c r="G84" i="49"/>
  <c r="F68" i="35"/>
  <c r="G82" i="49"/>
  <c r="F37" i="35"/>
  <c r="G70" i="49"/>
  <c r="G69" i="49" s="1"/>
  <c r="E77" i="16"/>
  <c r="F27" i="35"/>
  <c r="G60" i="49"/>
  <c r="F24" i="35"/>
  <c r="G57" i="49"/>
  <c r="S57" i="49" s="1"/>
  <c r="Y57" i="49" s="1"/>
  <c r="F58" i="35"/>
  <c r="R58" i="35"/>
  <c r="G49" i="49"/>
  <c r="F52" i="35"/>
  <c r="R52" i="35" s="1"/>
  <c r="G43" i="49"/>
  <c r="S43" i="49"/>
  <c r="Q16" i="35"/>
  <c r="Q10" i="35"/>
  <c r="R11" i="49"/>
  <c r="P13" i="35"/>
  <c r="Q14" i="49"/>
  <c r="O17" i="35"/>
  <c r="N13" i="35"/>
  <c r="O14" i="49"/>
  <c r="N10" i="35"/>
  <c r="O11" i="49"/>
  <c r="M12" i="35"/>
  <c r="N13" i="49"/>
  <c r="L16" i="35"/>
  <c r="L13" i="35"/>
  <c r="M14" i="49"/>
  <c r="K17" i="35"/>
  <c r="J13" i="35"/>
  <c r="R13" i="35" s="1"/>
  <c r="K14" i="49"/>
  <c r="K12" i="48"/>
  <c r="J10" i="35"/>
  <c r="K11" i="49"/>
  <c r="K9" i="48"/>
  <c r="I32" i="35"/>
  <c r="K96" i="35"/>
  <c r="Q96" i="35"/>
  <c r="U210" i="35"/>
  <c r="F28" i="48"/>
  <c r="F22" i="48" s="1"/>
  <c r="F7" i="48" s="1"/>
  <c r="R379" i="48"/>
  <c r="G291" i="49"/>
  <c r="Q131" i="16"/>
  <c r="G212" i="16"/>
  <c r="G205" i="16"/>
  <c r="E324" i="16"/>
  <c r="E212" i="16"/>
  <c r="R81" i="48"/>
  <c r="R79" i="48"/>
  <c r="R61" i="48"/>
  <c r="R55" i="48"/>
  <c r="R53" i="48" s="1"/>
  <c r="Q87" i="48"/>
  <c r="Q85" i="48"/>
  <c r="Q83" i="48"/>
  <c r="Q65" i="48"/>
  <c r="Q58" i="48"/>
  <c r="Q38" i="49"/>
  <c r="P83" i="48"/>
  <c r="P61" i="48"/>
  <c r="P58" i="48"/>
  <c r="P55" i="48"/>
  <c r="P53" i="48"/>
  <c r="P47" i="48"/>
  <c r="P41" i="48"/>
  <c r="O85" i="48"/>
  <c r="O83" i="48"/>
  <c r="O81" i="48"/>
  <c r="O50" i="49"/>
  <c r="N85" i="48"/>
  <c r="M27" i="35"/>
  <c r="N55" i="48"/>
  <c r="N38" i="48"/>
  <c r="N36" i="48" s="1"/>
  <c r="N35" i="48" s="1"/>
  <c r="M87" i="48"/>
  <c r="M82" i="48"/>
  <c r="M80" i="48"/>
  <c r="M66" i="48"/>
  <c r="M64" i="48"/>
  <c r="M60" i="48"/>
  <c r="M57" i="48"/>
  <c r="M39" i="48"/>
  <c r="M36" i="48"/>
  <c r="M38" i="49"/>
  <c r="L89" i="48"/>
  <c r="L82" i="48"/>
  <c r="L64" i="48"/>
  <c r="L58" i="49"/>
  <c r="K80" i="48"/>
  <c r="K58" i="48"/>
  <c r="K50" i="48"/>
  <c r="K38" i="49"/>
  <c r="J89" i="48"/>
  <c r="J84" i="48"/>
  <c r="J61" i="48"/>
  <c r="J58" i="48"/>
  <c r="I24" i="35"/>
  <c r="J51" i="48"/>
  <c r="J48" i="48"/>
  <c r="J47" i="48"/>
  <c r="I86" i="48"/>
  <c r="I65" i="48"/>
  <c r="I61" i="48"/>
  <c r="I50" i="48"/>
  <c r="I48" i="48" s="1"/>
  <c r="I47" i="48"/>
  <c r="I41" i="48"/>
  <c r="I38" i="48"/>
  <c r="I36" i="48" s="1"/>
  <c r="H86" i="48"/>
  <c r="H79" i="48"/>
  <c r="H64" i="48"/>
  <c r="H63" i="48" s="1"/>
  <c r="H51" i="48"/>
  <c r="H46" i="48"/>
  <c r="G89" i="48"/>
  <c r="G86" i="48"/>
  <c r="G64" i="48"/>
  <c r="G60" i="48"/>
  <c r="G50" i="48"/>
  <c r="G38" i="48"/>
  <c r="R27" i="48"/>
  <c r="R26" i="49"/>
  <c r="R11" i="48"/>
  <c r="R10" i="48" s="1"/>
  <c r="Q26" i="48"/>
  <c r="Q24" i="48" s="1"/>
  <c r="Q23" i="48"/>
  <c r="Q15" i="48"/>
  <c r="Q13" i="48" s="1"/>
  <c r="Q9" i="48"/>
  <c r="P27" i="48"/>
  <c r="P26" i="49"/>
  <c r="P12" i="48"/>
  <c r="P10" i="48" s="1"/>
  <c r="P9" i="48"/>
  <c r="O27" i="48"/>
  <c r="O26" i="49"/>
  <c r="O24" i="49" s="1"/>
  <c r="O15" i="48"/>
  <c r="N23" i="48"/>
  <c r="N14" i="48"/>
  <c r="N13" i="48" s="1"/>
  <c r="N8" i="48" s="1"/>
  <c r="M26" i="48"/>
  <c r="M24" i="48" s="1"/>
  <c r="M22" i="48" s="1"/>
  <c r="M9" i="48"/>
  <c r="L12" i="48"/>
  <c r="L10" i="48"/>
  <c r="O231" i="48"/>
  <c r="I15" i="35"/>
  <c r="I10" i="35"/>
  <c r="J11" i="49"/>
  <c r="H12" i="35"/>
  <c r="I13" i="49"/>
  <c r="G16" i="35"/>
  <c r="G10" i="35"/>
  <c r="G26" i="49"/>
  <c r="G24" i="49" s="1"/>
  <c r="F38" i="35"/>
  <c r="G71" i="49"/>
  <c r="I40" i="35"/>
  <c r="J73" i="49"/>
  <c r="J69" i="49" s="1"/>
  <c r="K39" i="35"/>
  <c r="L72" i="49"/>
  <c r="H39" i="35"/>
  <c r="I72" i="49"/>
  <c r="I69" i="49" s="1"/>
  <c r="I38" i="35"/>
  <c r="J71" i="49"/>
  <c r="J37" i="35"/>
  <c r="K70" i="49"/>
  <c r="K69" i="49" s="1"/>
  <c r="K64" i="49" s="1"/>
  <c r="L40" i="35"/>
  <c r="M73" i="49"/>
  <c r="Q40" i="35"/>
  <c r="R73" i="49"/>
  <c r="O39" i="35"/>
  <c r="P72" i="49"/>
  <c r="Q38" i="35"/>
  <c r="R71" i="49"/>
  <c r="M38" i="35"/>
  <c r="N71" i="49"/>
  <c r="N37" i="35"/>
  <c r="O70" i="49"/>
  <c r="O69" i="49" s="1"/>
  <c r="G43" i="35"/>
  <c r="I42" i="35"/>
  <c r="J75" i="49"/>
  <c r="Q42" i="35"/>
  <c r="R75" i="49"/>
  <c r="N42" i="35"/>
  <c r="O75" i="49"/>
  <c r="K45" i="35"/>
  <c r="L78" i="49"/>
  <c r="G45" i="35"/>
  <c r="I44" i="35"/>
  <c r="J77" i="49"/>
  <c r="L45" i="35"/>
  <c r="M78" i="49"/>
  <c r="O45" i="35"/>
  <c r="P78" i="49"/>
  <c r="M44" i="35"/>
  <c r="N77" i="49"/>
  <c r="L44" i="49"/>
  <c r="O44" i="49"/>
  <c r="I16" i="35"/>
  <c r="H16" i="35"/>
  <c r="H10" i="35"/>
  <c r="I11" i="49"/>
  <c r="G13" i="35"/>
  <c r="F17" i="35"/>
  <c r="F15" i="35"/>
  <c r="F39" i="35"/>
  <c r="G72" i="49"/>
  <c r="J40" i="35"/>
  <c r="K73" i="49"/>
  <c r="G40" i="35"/>
  <c r="J38" i="35"/>
  <c r="K71" i="49"/>
  <c r="K37" i="35"/>
  <c r="L70" i="49"/>
  <c r="L71" i="49"/>
  <c r="L73" i="49"/>
  <c r="G37" i="35"/>
  <c r="N40" i="35"/>
  <c r="O73" i="49"/>
  <c r="P39" i="35"/>
  <c r="Q72" i="49"/>
  <c r="M39" i="35"/>
  <c r="N72" i="49"/>
  <c r="N38" i="35"/>
  <c r="O71" i="49"/>
  <c r="O37" i="35"/>
  <c r="P70" i="49"/>
  <c r="F42" i="35"/>
  <c r="G75" i="49"/>
  <c r="J43" i="35"/>
  <c r="K76" i="49"/>
  <c r="H43" i="35"/>
  <c r="I76" i="49"/>
  <c r="J42" i="35"/>
  <c r="J41" i="35" s="1"/>
  <c r="K75" i="49"/>
  <c r="K74" i="49"/>
  <c r="L42" i="35"/>
  <c r="M75" i="49"/>
  <c r="P43" i="35"/>
  <c r="Q76" i="49"/>
  <c r="M43" i="35"/>
  <c r="N76" i="49"/>
  <c r="O42" i="35"/>
  <c r="P75" i="49"/>
  <c r="F45" i="35"/>
  <c r="G78" i="49"/>
  <c r="H45" i="35"/>
  <c r="I78" i="49"/>
  <c r="J44" i="35"/>
  <c r="K77" i="49"/>
  <c r="L44" i="35"/>
  <c r="M77" i="49"/>
  <c r="Q44" i="35"/>
  <c r="R77" i="49"/>
  <c r="N44" i="35"/>
  <c r="O77" i="49"/>
  <c r="I11" i="48"/>
  <c r="H23" i="48"/>
  <c r="H15" i="48"/>
  <c r="Q16" i="16"/>
  <c r="G27" i="48"/>
  <c r="G25" i="48"/>
  <c r="I70" i="48"/>
  <c r="R71" i="48"/>
  <c r="R67" i="48" s="1"/>
  <c r="R62" i="48" s="1"/>
  <c r="M77" i="16"/>
  <c r="M72" i="16" s="1"/>
  <c r="N20" i="35" s="1"/>
  <c r="I77" i="16"/>
  <c r="I72" i="16"/>
  <c r="P82" i="16"/>
  <c r="P76" i="48"/>
  <c r="I13" i="35"/>
  <c r="J14" i="49"/>
  <c r="J12" i="49" s="1"/>
  <c r="H13" i="35"/>
  <c r="I14" i="49"/>
  <c r="G17" i="35"/>
  <c r="F64" i="35"/>
  <c r="R64" i="35" s="1"/>
  <c r="G25" i="49"/>
  <c r="S25" i="49" s="1"/>
  <c r="F12" i="35"/>
  <c r="G13" i="49"/>
  <c r="G12" i="49" s="1"/>
  <c r="F40" i="35"/>
  <c r="G73" i="49"/>
  <c r="K40" i="35"/>
  <c r="I39" i="35"/>
  <c r="J72" i="49"/>
  <c r="K38" i="35"/>
  <c r="G38" i="35"/>
  <c r="H37" i="35"/>
  <c r="R37" i="35" s="1"/>
  <c r="I70" i="49"/>
  <c r="L38" i="35"/>
  <c r="M71" i="49"/>
  <c r="O40" i="35"/>
  <c r="O36" i="35" s="1"/>
  <c r="P73" i="49"/>
  <c r="Q39" i="35"/>
  <c r="R72" i="49"/>
  <c r="N39" i="35"/>
  <c r="O72" i="49"/>
  <c r="O38" i="35"/>
  <c r="P71" i="49"/>
  <c r="P37" i="35"/>
  <c r="P36" i="35" s="1"/>
  <c r="Q70" i="49"/>
  <c r="K43" i="35"/>
  <c r="L76" i="49"/>
  <c r="I43" i="35"/>
  <c r="I41" i="35" s="1"/>
  <c r="J76" i="49"/>
  <c r="G42" i="35"/>
  <c r="Q43" i="35"/>
  <c r="R76" i="49"/>
  <c r="R74" i="49" s="1"/>
  <c r="N43" i="35"/>
  <c r="O76" i="49"/>
  <c r="P42" i="35"/>
  <c r="Q75" i="49"/>
  <c r="Q74" i="49" s="1"/>
  <c r="F44" i="35"/>
  <c r="G77" i="49"/>
  <c r="I45" i="35"/>
  <c r="J78" i="49"/>
  <c r="G44" i="35"/>
  <c r="P45" i="35"/>
  <c r="Q78" i="49"/>
  <c r="M45" i="35"/>
  <c r="N78" i="49"/>
  <c r="O44" i="35"/>
  <c r="P77" i="49"/>
  <c r="J27" i="48"/>
  <c r="J24" i="48" s="1"/>
  <c r="J22" i="48" s="1"/>
  <c r="J26" i="49"/>
  <c r="J15" i="48"/>
  <c r="J13" i="48"/>
  <c r="I25" i="48"/>
  <c r="I24" i="48" s="1"/>
  <c r="H12" i="48"/>
  <c r="H71" i="48"/>
  <c r="N77" i="16"/>
  <c r="Q77" i="16" s="1"/>
  <c r="J77" i="16"/>
  <c r="F77" i="16"/>
  <c r="F82" i="16"/>
  <c r="Q178" i="48"/>
  <c r="Q176" i="48" s="1"/>
  <c r="Q173" i="48" s="1"/>
  <c r="K44" i="49"/>
  <c r="J17" i="35"/>
  <c r="I17" i="35"/>
  <c r="R17" i="35" s="1"/>
  <c r="I12" i="35"/>
  <c r="J13" i="49"/>
  <c r="H17" i="35"/>
  <c r="H15" i="35"/>
  <c r="H14" i="35" s="1"/>
  <c r="G15" i="35"/>
  <c r="G12" i="35"/>
  <c r="G11" i="35" s="1"/>
  <c r="F16" i="35"/>
  <c r="R16" i="35" s="1"/>
  <c r="F13" i="35"/>
  <c r="G14" i="49"/>
  <c r="F10" i="35"/>
  <c r="G11" i="49"/>
  <c r="S11" i="49" s="1"/>
  <c r="H40" i="35"/>
  <c r="I73" i="49"/>
  <c r="J39" i="35"/>
  <c r="K72" i="49"/>
  <c r="S72" i="49" s="1"/>
  <c r="U72" i="49" s="1"/>
  <c r="G39" i="35"/>
  <c r="H38" i="35"/>
  <c r="I71" i="49"/>
  <c r="I37" i="35"/>
  <c r="I36" i="35" s="1"/>
  <c r="J70" i="49"/>
  <c r="L39" i="35"/>
  <c r="M72" i="49"/>
  <c r="P40" i="35"/>
  <c r="Q73" i="49"/>
  <c r="M40" i="35"/>
  <c r="N73" i="49"/>
  <c r="P38" i="35"/>
  <c r="Q71" i="49"/>
  <c r="Q37" i="35"/>
  <c r="R70" i="49"/>
  <c r="R69" i="49" s="1"/>
  <c r="M37" i="35"/>
  <c r="N70" i="49"/>
  <c r="F43" i="35"/>
  <c r="G76" i="49"/>
  <c r="K42" i="35"/>
  <c r="L75" i="49"/>
  <c r="H42" i="35"/>
  <c r="I75" i="49"/>
  <c r="I74" i="49" s="1"/>
  <c r="L43" i="35"/>
  <c r="M76" i="49"/>
  <c r="O43" i="35"/>
  <c r="O41" i="35" s="1"/>
  <c r="P76" i="49"/>
  <c r="M42" i="35"/>
  <c r="N75" i="49"/>
  <c r="J45" i="35"/>
  <c r="R45" i="35" s="1"/>
  <c r="K78" i="49"/>
  <c r="K44" i="35"/>
  <c r="L77" i="49"/>
  <c r="H44" i="35"/>
  <c r="R44" i="35" s="1"/>
  <c r="I77" i="49"/>
  <c r="Q45" i="35"/>
  <c r="R78" i="49"/>
  <c r="N45" i="35"/>
  <c r="O78" i="49"/>
  <c r="P44" i="35"/>
  <c r="Q77" i="49"/>
  <c r="J12" i="48"/>
  <c r="J10" i="48" s="1"/>
  <c r="J8" i="48" s="1"/>
  <c r="O77" i="16"/>
  <c r="G77" i="16"/>
  <c r="H82" i="16"/>
  <c r="Q82" i="16" s="1"/>
  <c r="Q177" i="48"/>
  <c r="S20" i="49"/>
  <c r="M44" i="49"/>
  <c r="P44" i="49"/>
  <c r="S46" i="49"/>
  <c r="L30" i="49"/>
  <c r="F64" i="49"/>
  <c r="I44" i="49"/>
  <c r="R44" i="49"/>
  <c r="S94" i="49"/>
  <c r="P208" i="49"/>
  <c r="S163" i="49"/>
  <c r="U163" i="49" s="1"/>
  <c r="S235" i="49"/>
  <c r="U235" i="49"/>
  <c r="J208" i="49"/>
  <c r="S139" i="49"/>
  <c r="U139" i="49" s="1"/>
  <c r="S143" i="49"/>
  <c r="U143" i="49" s="1"/>
  <c r="L183" i="49"/>
  <c r="P183" i="49"/>
  <c r="R208" i="49"/>
  <c r="S228" i="49"/>
  <c r="U228" i="49"/>
  <c r="L234" i="49"/>
  <c r="L93" i="49"/>
  <c r="S181" i="49"/>
  <c r="U181" i="49"/>
  <c r="F182" i="49"/>
  <c r="K183" i="49"/>
  <c r="S23" i="49"/>
  <c r="F30" i="49"/>
  <c r="F24" i="49" s="1"/>
  <c r="F9" i="49" s="1"/>
  <c r="P30" i="49"/>
  <c r="S34" i="49"/>
  <c r="L38" i="49"/>
  <c r="Q44" i="49"/>
  <c r="S47" i="49"/>
  <c r="I50" i="49"/>
  <c r="P55" i="49"/>
  <c r="I58" i="49"/>
  <c r="I208" i="49"/>
  <c r="S213" i="49"/>
  <c r="U213" i="49" s="1"/>
  <c r="S217" i="49"/>
  <c r="U217" i="49"/>
  <c r="S221" i="49"/>
  <c r="U221" i="49" s="1"/>
  <c r="S225" i="49"/>
  <c r="U225" i="49"/>
  <c r="R234" i="49"/>
  <c r="M234" i="49"/>
  <c r="S238" i="49"/>
  <c r="U238" i="49"/>
  <c r="R266" i="49"/>
  <c r="N319" i="49"/>
  <c r="S22" i="49"/>
  <c r="S166" i="49"/>
  <c r="U166" i="49" s="1"/>
  <c r="S236" i="49"/>
  <c r="U236" i="49"/>
  <c r="J266" i="49"/>
  <c r="L266" i="49"/>
  <c r="S21" i="49"/>
  <c r="G30" i="49"/>
  <c r="N30" i="49"/>
  <c r="R30" i="49"/>
  <c r="S32" i="49"/>
  <c r="K58" i="49"/>
  <c r="K54" i="49" s="1"/>
  <c r="S140" i="49"/>
  <c r="U140" i="49" s="1"/>
  <c r="I183" i="49"/>
  <c r="M183" i="49"/>
  <c r="S183" i="49" s="1"/>
  <c r="U183" i="49" s="1"/>
  <c r="Q183" i="49"/>
  <c r="S231" i="49"/>
  <c r="U231" i="49" s="1"/>
  <c r="M252" i="49"/>
  <c r="O261" i="49"/>
  <c r="O258" i="49" s="1"/>
  <c r="S265" i="49"/>
  <c r="U265" i="49"/>
  <c r="K266" i="49"/>
  <c r="N50" i="49"/>
  <c r="R93" i="49"/>
  <c r="S129" i="49"/>
  <c r="U129" i="49" s="1"/>
  <c r="S137" i="49"/>
  <c r="U137" i="49" s="1"/>
  <c r="S141" i="49"/>
  <c r="U141" i="49" s="1"/>
  <c r="S167" i="49"/>
  <c r="U167" i="49" s="1"/>
  <c r="S176" i="49"/>
  <c r="U176" i="49" s="1"/>
  <c r="S177" i="49"/>
  <c r="U177" i="49" s="1"/>
  <c r="F154" i="49"/>
  <c r="S192" i="49"/>
  <c r="U192" i="49"/>
  <c r="S196" i="49"/>
  <c r="U196" i="49" s="1"/>
  <c r="K208" i="49"/>
  <c r="S210" i="49"/>
  <c r="U210" i="49" s="1"/>
  <c r="S214" i="49"/>
  <c r="U214" i="49" s="1"/>
  <c r="S218" i="49"/>
  <c r="U218" i="49" s="1"/>
  <c r="I234" i="49"/>
  <c r="N252" i="49"/>
  <c r="S256" i="49"/>
  <c r="U256" i="49" s="1"/>
  <c r="S260" i="49"/>
  <c r="U260" i="49" s="1"/>
  <c r="P261" i="49"/>
  <c r="P258" i="49" s="1"/>
  <c r="S263" i="49"/>
  <c r="U263" i="49" s="1"/>
  <c r="S271" i="49"/>
  <c r="U271" i="49" s="1"/>
  <c r="Y304" i="49"/>
  <c r="S35" i="49"/>
  <c r="W35" i="49" s="1"/>
  <c r="I65" i="49"/>
  <c r="N93" i="49"/>
  <c r="S95" i="49"/>
  <c r="S124" i="49"/>
  <c r="U124" i="49" s="1"/>
  <c r="S169" i="49"/>
  <c r="U169" i="49" s="1"/>
  <c r="Q319" i="49"/>
  <c r="Y338" i="49"/>
  <c r="K30" i="49"/>
  <c r="O30" i="49"/>
  <c r="J93" i="49"/>
  <c r="M93" i="49"/>
  <c r="S119" i="49"/>
  <c r="U119" i="49" s="1"/>
  <c r="S185" i="49"/>
  <c r="U185" i="49" s="1"/>
  <c r="S190" i="49"/>
  <c r="U190" i="49" s="1"/>
  <c r="S194" i="49"/>
  <c r="U194" i="49" s="1"/>
  <c r="S198" i="49"/>
  <c r="U198" i="49" s="1"/>
  <c r="S203" i="49"/>
  <c r="U203" i="49" s="1"/>
  <c r="S205" i="49"/>
  <c r="U205" i="49" s="1"/>
  <c r="S209" i="49"/>
  <c r="U209" i="49" s="1"/>
  <c r="M208" i="49"/>
  <c r="M201" i="49" s="1"/>
  <c r="S212" i="49"/>
  <c r="U212" i="49" s="1"/>
  <c r="S216" i="49"/>
  <c r="U216" i="49"/>
  <c r="S220" i="49"/>
  <c r="U220" i="49" s="1"/>
  <c r="N261" i="49"/>
  <c r="N258" i="49"/>
  <c r="R261" i="49"/>
  <c r="R258" i="49" s="1"/>
  <c r="D282" i="49"/>
  <c r="D281" i="49"/>
  <c r="D311" i="49" s="1"/>
  <c r="Y300" i="49"/>
  <c r="Y306" i="49"/>
  <c r="Y321" i="49"/>
  <c r="W327" i="49"/>
  <c r="S33" i="49"/>
  <c r="S42" i="49"/>
  <c r="S101" i="49"/>
  <c r="S105" i="49"/>
  <c r="U105" i="49" s="1"/>
  <c r="S130" i="49"/>
  <c r="U130" i="49" s="1"/>
  <c r="S134" i="49"/>
  <c r="U134" i="49" s="1"/>
  <c r="S138" i="49"/>
  <c r="U138" i="49" s="1"/>
  <c r="S142" i="49"/>
  <c r="U142" i="49" s="1"/>
  <c r="S173" i="49"/>
  <c r="U173" i="49" s="1"/>
  <c r="S184" i="49"/>
  <c r="U184" i="49" s="1"/>
  <c r="S188" i="49"/>
  <c r="U188" i="49" s="1"/>
  <c r="S189" i="49"/>
  <c r="U189" i="49" s="1"/>
  <c r="S193" i="49"/>
  <c r="U193" i="49" s="1"/>
  <c r="S200" i="49"/>
  <c r="U200" i="49" s="1"/>
  <c r="O208" i="49"/>
  <c r="S211" i="49"/>
  <c r="U211" i="49"/>
  <c r="S215" i="49"/>
  <c r="U215" i="49" s="1"/>
  <c r="S219" i="49"/>
  <c r="U219" i="49"/>
  <c r="S223" i="49"/>
  <c r="U223" i="49" s="1"/>
  <c r="S227" i="49"/>
  <c r="U227" i="49"/>
  <c r="S251" i="49"/>
  <c r="U251" i="49" s="1"/>
  <c r="S257" i="49"/>
  <c r="U257" i="49"/>
  <c r="M319" i="49"/>
  <c r="K370" i="49"/>
  <c r="H319" i="49"/>
  <c r="W367" i="49"/>
  <c r="S45" i="49"/>
  <c r="U45" i="49" s="1"/>
  <c r="S270" i="49"/>
  <c r="U270" i="49" s="1"/>
  <c r="G351" i="49"/>
  <c r="Y373" i="49"/>
  <c r="E342" i="49"/>
  <c r="F350" i="49"/>
  <c r="F341" i="49" s="1"/>
  <c r="F340" i="49" s="1"/>
  <c r="S155" i="49"/>
  <c r="U155" i="49"/>
  <c r="Y287" i="49"/>
  <c r="Y299" i="49"/>
  <c r="W306" i="49"/>
  <c r="Y326" i="49"/>
  <c r="W331" i="49"/>
  <c r="W376" i="49"/>
  <c r="V387" i="49"/>
  <c r="Y276" i="49"/>
  <c r="W304" i="49"/>
  <c r="W316" i="49"/>
  <c r="Y330" i="49"/>
  <c r="Y366" i="49"/>
  <c r="W386" i="49"/>
  <c r="W388" i="49"/>
  <c r="W366" i="49"/>
  <c r="W373" i="49"/>
  <c r="Y375" i="49"/>
  <c r="N80" i="49"/>
  <c r="G80" i="49"/>
  <c r="G79" i="49"/>
  <c r="J244" i="49"/>
  <c r="Q164" i="49"/>
  <c r="R187" i="49"/>
  <c r="R186" i="49"/>
  <c r="S51" i="49"/>
  <c r="Y51" i="49"/>
  <c r="S63" i="49"/>
  <c r="Y63" i="49"/>
  <c r="I80" i="49"/>
  <c r="P69" i="49"/>
  <c r="Q69" i="49"/>
  <c r="S13" i="49"/>
  <c r="U13" i="49" s="1"/>
  <c r="S27" i="49"/>
  <c r="M69" i="49"/>
  <c r="M80" i="49"/>
  <c r="J344" i="49"/>
  <c r="I187" i="35"/>
  <c r="I186" i="35" s="1"/>
  <c r="I185" i="35" s="1"/>
  <c r="I184" i="35" s="1"/>
  <c r="I183" i="35" s="1"/>
  <c r="R130" i="20"/>
  <c r="R131" i="20" s="1"/>
  <c r="O345" i="49"/>
  <c r="J345" i="49"/>
  <c r="H345" i="49"/>
  <c r="G319" i="49"/>
  <c r="X191" i="35"/>
  <c r="O6" i="21"/>
  <c r="O66" i="21" s="1"/>
  <c r="S135" i="35"/>
  <c r="N187" i="35"/>
  <c r="N186" i="35" s="1"/>
  <c r="N185" i="35" s="1"/>
  <c r="S330" i="48"/>
  <c r="AA330" i="48" s="1"/>
  <c r="P62" i="39"/>
  <c r="H175" i="20"/>
  <c r="L358" i="49"/>
  <c r="L357" i="49"/>
  <c r="M357" i="49"/>
  <c r="M358" i="49"/>
  <c r="G216" i="45"/>
  <c r="P216" i="45" s="1"/>
  <c r="Q216" i="45" s="1"/>
  <c r="R216" i="45" s="1"/>
  <c r="H216" i="45"/>
  <c r="W113" i="45"/>
  <c r="X113" i="45"/>
  <c r="V325" i="37"/>
  <c r="W325" i="37" s="1"/>
  <c r="X325" i="37" s="1"/>
  <c r="J250" i="37"/>
  <c r="K250" i="37"/>
  <c r="L250" i="37"/>
  <c r="M250" i="37" s="1"/>
  <c r="X278" i="37"/>
  <c r="Y278" i="37"/>
  <c r="Z278" i="37"/>
  <c r="T143" i="45"/>
  <c r="U143" i="45" s="1"/>
  <c r="V143" i="45" s="1"/>
  <c r="W143" i="45" s="1"/>
  <c r="V111" i="45"/>
  <c r="W111" i="45"/>
  <c r="X111" i="45"/>
  <c r="U172" i="37"/>
  <c r="V172" i="37"/>
  <c r="W172" i="37" s="1"/>
  <c r="X172" i="37" s="1"/>
  <c r="U137" i="45"/>
  <c r="V137" i="45"/>
  <c r="J196" i="37"/>
  <c r="K196" i="37" s="1"/>
  <c r="L196" i="37" s="1"/>
  <c r="M196" i="37"/>
  <c r="N196" i="37" s="1"/>
  <c r="I337" i="37"/>
  <c r="P337" i="37"/>
  <c r="Q337" i="37"/>
  <c r="R337" i="37" s="1"/>
  <c r="J342" i="45"/>
  <c r="K342" i="45"/>
  <c r="P342" i="45"/>
  <c r="Q342" i="45" s="1"/>
  <c r="T271" i="45"/>
  <c r="U271" i="45"/>
  <c r="V271" i="45"/>
  <c r="W271" i="45" s="1"/>
  <c r="X271" i="45" s="1"/>
  <c r="H119" i="45"/>
  <c r="P119" i="45"/>
  <c r="Q119" i="45" s="1"/>
  <c r="H299" i="45"/>
  <c r="P299" i="45"/>
  <c r="Q299" i="45"/>
  <c r="R299" i="45" s="1"/>
  <c r="E62" i="16"/>
  <c r="E24" i="39" s="1"/>
  <c r="Q63" i="16"/>
  <c r="O103" i="35"/>
  <c r="O100" i="35"/>
  <c r="O99" i="35" s="1"/>
  <c r="N241" i="16"/>
  <c r="N69" i="39" s="1"/>
  <c r="N382" i="49"/>
  <c r="M220" i="35"/>
  <c r="N379" i="48"/>
  <c r="L34" i="2"/>
  <c r="L26" i="37"/>
  <c r="Y100" i="37"/>
  <c r="Y197" i="45"/>
  <c r="Z197" i="45"/>
  <c r="W11" i="21"/>
  <c r="J7" i="21"/>
  <c r="G124" i="22"/>
  <c r="T385" i="49"/>
  <c r="T384" i="49" s="1"/>
  <c r="Q248" i="48"/>
  <c r="Q247" i="48"/>
  <c r="G203" i="35"/>
  <c r="T208" i="35"/>
  <c r="J367" i="37"/>
  <c r="K367" i="37"/>
  <c r="L367" i="37" s="1"/>
  <c r="M367" i="37" s="1"/>
  <c r="N367" i="37" s="1"/>
  <c r="T347" i="37"/>
  <c r="W287" i="37"/>
  <c r="X287" i="37"/>
  <c r="T144" i="37"/>
  <c r="U144" i="37"/>
  <c r="V144" i="37" s="1"/>
  <c r="W144" i="37" s="1"/>
  <c r="X144" i="37" s="1"/>
  <c r="Y144" i="37"/>
  <c r="Z144" i="37" s="1"/>
  <c r="X284" i="45"/>
  <c r="Y284" i="45"/>
  <c r="Z284" i="45"/>
  <c r="J210" i="37"/>
  <c r="K210" i="37" s="1"/>
  <c r="T313" i="37"/>
  <c r="K377" i="37"/>
  <c r="L377" i="37"/>
  <c r="T326" i="45"/>
  <c r="F71" i="39"/>
  <c r="F25" i="42" s="1"/>
  <c r="R25" i="42" s="1"/>
  <c r="Q155" i="16"/>
  <c r="H103" i="35"/>
  <c r="G66" i="35"/>
  <c r="G65" i="35" s="1"/>
  <c r="G63" i="35" s="1"/>
  <c r="F62" i="39"/>
  <c r="F393" i="16"/>
  <c r="K278" i="49"/>
  <c r="K276" i="48"/>
  <c r="K293" i="48" s="1"/>
  <c r="K292" i="48" s="1"/>
  <c r="K291" i="48" s="1"/>
  <c r="N5" i="11"/>
  <c r="I366" i="16"/>
  <c r="I365" i="16"/>
  <c r="I363" i="16" s="1"/>
  <c r="I45" i="2"/>
  <c r="I44" i="2" s="1"/>
  <c r="J139" i="35"/>
  <c r="J138" i="35" s="1"/>
  <c r="J137" i="35" s="1"/>
  <c r="J121" i="35"/>
  <c r="H46" i="2"/>
  <c r="M5" i="11"/>
  <c r="H366" i="16" s="1"/>
  <c r="H365" i="16" s="1"/>
  <c r="H363" i="16" s="1"/>
  <c r="G17" i="45"/>
  <c r="F121" i="18"/>
  <c r="X139" i="37"/>
  <c r="Y139" i="37" s="1"/>
  <c r="Z139" i="37" s="1"/>
  <c r="V255" i="45"/>
  <c r="V345" i="45"/>
  <c r="W345" i="45" s="1"/>
  <c r="X345" i="45" s="1"/>
  <c r="H360" i="37"/>
  <c r="I126" i="37"/>
  <c r="J126" i="37" s="1"/>
  <c r="K126" i="37" s="1"/>
  <c r="L126" i="37" s="1"/>
  <c r="V331" i="45"/>
  <c r="W331" i="45"/>
  <c r="X331" i="45"/>
  <c r="W391" i="37"/>
  <c r="X391" i="37"/>
  <c r="V132" i="37"/>
  <c r="W132" i="37" s="1"/>
  <c r="X132" i="37" s="1"/>
  <c r="Y132" i="37"/>
  <c r="Z132" i="37" s="1"/>
  <c r="T330" i="37"/>
  <c r="U330" i="37"/>
  <c r="V330" i="37"/>
  <c r="W330" i="37" s="1"/>
  <c r="X330" i="37" s="1"/>
  <c r="U246" i="45"/>
  <c r="V246" i="45"/>
  <c r="W142" i="35"/>
  <c r="V142" i="35"/>
  <c r="M20" i="42"/>
  <c r="S29" i="49"/>
  <c r="W29" i="49" s="1"/>
  <c r="K26" i="49"/>
  <c r="K247" i="16"/>
  <c r="K241" i="16" s="1"/>
  <c r="K69" i="39" s="1"/>
  <c r="M4" i="2"/>
  <c r="M8" i="39"/>
  <c r="M7" i="39"/>
  <c r="M9" i="42" s="1"/>
  <c r="M15" i="16"/>
  <c r="Q20" i="16"/>
  <c r="C26" i="37"/>
  <c r="R305" i="45"/>
  <c r="I11" i="35"/>
  <c r="F26" i="22"/>
  <c r="F6" i="22" s="1"/>
  <c r="K358" i="49"/>
  <c r="K357" i="49"/>
  <c r="G175" i="20"/>
  <c r="X143" i="37"/>
  <c r="Y143" i="37"/>
  <c r="Z143" i="37"/>
  <c r="W291" i="45"/>
  <c r="X291" i="45" s="1"/>
  <c r="J239" i="37"/>
  <c r="K239" i="37"/>
  <c r="L239" i="37"/>
  <c r="M239" i="37" s="1"/>
  <c r="N239" i="37" s="1"/>
  <c r="J190" i="37"/>
  <c r="K190" i="37"/>
  <c r="L190" i="37" s="1"/>
  <c r="M190" i="37" s="1"/>
  <c r="N190" i="37" s="1"/>
  <c r="X351" i="37"/>
  <c r="Y351" i="37" s="1"/>
  <c r="I381" i="37"/>
  <c r="J381" i="37"/>
  <c r="K381" i="37"/>
  <c r="L381" i="37" s="1"/>
  <c r="M381" i="37" s="1"/>
  <c r="N381" i="37" s="1"/>
  <c r="P240" i="45"/>
  <c r="Q240" i="45" s="1"/>
  <c r="T300" i="45"/>
  <c r="U300" i="45"/>
  <c r="V300" i="45"/>
  <c r="AA19" i="48"/>
  <c r="Y19" i="48"/>
  <c r="O82" i="20"/>
  <c r="F199" i="35"/>
  <c r="G358" i="49"/>
  <c r="G357" i="49"/>
  <c r="C175" i="20"/>
  <c r="C137" i="20"/>
  <c r="C135" i="20"/>
  <c r="C134" i="20"/>
  <c r="C130" i="20"/>
  <c r="Q336" i="49"/>
  <c r="Q335" i="49"/>
  <c r="Q334" i="48"/>
  <c r="Q333" i="48" s="1"/>
  <c r="O97" i="41"/>
  <c r="P179" i="35"/>
  <c r="P178" i="35" s="1"/>
  <c r="E73" i="39"/>
  <c r="E72" i="39" s="1"/>
  <c r="E26" i="42" s="1"/>
  <c r="E58" i="39"/>
  <c r="E56" i="39" s="1"/>
  <c r="Q29" i="45"/>
  <c r="P28" i="45"/>
  <c r="Q28" i="45" s="1"/>
  <c r="S288" i="45"/>
  <c r="T288" i="45"/>
  <c r="U288" i="45"/>
  <c r="V288" i="45" s="1"/>
  <c r="W288" i="45" s="1"/>
  <c r="X288" i="45" s="1"/>
  <c r="D121" i="18"/>
  <c r="E17" i="45"/>
  <c r="E16" i="45" s="1"/>
  <c r="S76" i="48"/>
  <c r="AA76" i="48" s="1"/>
  <c r="R68" i="35"/>
  <c r="P187" i="49"/>
  <c r="P186" i="49" s="1"/>
  <c r="R36" i="48"/>
  <c r="S40" i="49"/>
  <c r="G123" i="22"/>
  <c r="T333" i="49"/>
  <c r="O130" i="20"/>
  <c r="E93" i="41"/>
  <c r="AL40" i="22"/>
  <c r="AU65" i="22"/>
  <c r="N123" i="22"/>
  <c r="N126" i="22" s="1"/>
  <c r="U208" i="35"/>
  <c r="BB99" i="22"/>
  <c r="BB84" i="22" s="1"/>
  <c r="BB65" i="22" s="1"/>
  <c r="R128" i="22" s="1"/>
  <c r="D110" i="18"/>
  <c r="Z394" i="45"/>
  <c r="E97" i="15"/>
  <c r="F97" i="15"/>
  <c r="Q241" i="37"/>
  <c r="P193" i="45"/>
  <c r="Q193" i="45"/>
  <c r="R193" i="45" s="1"/>
  <c r="P317" i="45"/>
  <c r="Q317" i="45" s="1"/>
  <c r="Y264" i="37"/>
  <c r="Z264" i="37"/>
  <c r="Y109" i="37"/>
  <c r="Z109" i="37" s="1"/>
  <c r="Y146" i="45"/>
  <c r="Z146" i="45" s="1"/>
  <c r="P367" i="45"/>
  <c r="Q367" i="45"/>
  <c r="R367" i="45" s="1"/>
  <c r="S367" i="45" s="1"/>
  <c r="T367" i="45" s="1"/>
  <c r="P246" i="37"/>
  <c r="Q246" i="37" s="1"/>
  <c r="R246" i="37" s="1"/>
  <c r="Y171" i="45"/>
  <c r="Z171" i="45" s="1"/>
  <c r="P214" i="37"/>
  <c r="Q214" i="37"/>
  <c r="P191" i="37"/>
  <c r="Q191" i="37" s="1"/>
  <c r="R191" i="37" s="1"/>
  <c r="Y107" i="37"/>
  <c r="Z107" i="37"/>
  <c r="P368" i="45"/>
  <c r="Q368" i="45" s="1"/>
  <c r="R368" i="45" s="1"/>
  <c r="P195" i="37"/>
  <c r="Q195" i="37"/>
  <c r="Y127" i="45"/>
  <c r="Z127" i="45" s="1"/>
  <c r="Y252" i="45"/>
  <c r="P201" i="37"/>
  <c r="Q201" i="37"/>
  <c r="R201" i="37" s="1"/>
  <c r="P216" i="37"/>
  <c r="Q216" i="37"/>
  <c r="P364" i="37"/>
  <c r="Q364" i="37"/>
  <c r="R364" i="37" s="1"/>
  <c r="P374" i="37"/>
  <c r="Q374" i="37" s="1"/>
  <c r="Y304" i="45"/>
  <c r="Z304" i="45"/>
  <c r="Y313" i="45"/>
  <c r="Z313" i="45"/>
  <c r="P221" i="37"/>
  <c r="Q221" i="37" s="1"/>
  <c r="R221" i="37" s="1"/>
  <c r="P293" i="45"/>
  <c r="Q293" i="45"/>
  <c r="R293" i="45" s="1"/>
  <c r="P308" i="45"/>
  <c r="Q308" i="45"/>
  <c r="R308" i="45" s="1"/>
  <c r="H24" i="48"/>
  <c r="I46" i="35"/>
  <c r="P31" i="39"/>
  <c r="P13" i="42"/>
  <c r="F7" i="39"/>
  <c r="F9" i="42" s="1"/>
  <c r="G7" i="39"/>
  <c r="S17" i="48"/>
  <c r="AA17" i="48" s="1"/>
  <c r="F31" i="39"/>
  <c r="F13" i="42" s="1"/>
  <c r="M46" i="35"/>
  <c r="D312" i="48"/>
  <c r="O58" i="39"/>
  <c r="O56" i="39" s="1"/>
  <c r="M20" i="10"/>
  <c r="J23" i="45"/>
  <c r="J22" i="45" s="1"/>
  <c r="J23" i="21"/>
  <c r="V24" i="21"/>
  <c r="AB24" i="21"/>
  <c r="W14" i="21"/>
  <c r="AB14" i="21" s="1"/>
  <c r="W24" i="21"/>
  <c r="L20" i="10"/>
  <c r="I23" i="45"/>
  <c r="K5" i="2"/>
  <c r="I126" i="22"/>
  <c r="Q121" i="35"/>
  <c r="P45" i="2"/>
  <c r="B175" i="20"/>
  <c r="C158" i="20"/>
  <c r="C58" i="18"/>
  <c r="I9" i="18"/>
  <c r="N25" i="45"/>
  <c r="R155" i="45"/>
  <c r="L402" i="37"/>
  <c r="G97" i="15"/>
  <c r="H97" i="15"/>
  <c r="H98" i="15"/>
  <c r="R130" i="37"/>
  <c r="S130" i="37"/>
  <c r="T130" i="37"/>
  <c r="U130" i="37" s="1"/>
  <c r="V130" i="37" s="1"/>
  <c r="W130" i="37" s="1"/>
  <c r="X130" i="37" s="1"/>
  <c r="P175" i="37"/>
  <c r="Q175" i="37" s="1"/>
  <c r="R175" i="37" s="1"/>
  <c r="S175" i="37" s="1"/>
  <c r="T175" i="37" s="1"/>
  <c r="U175" i="37" s="1"/>
  <c r="V175" i="37" s="1"/>
  <c r="W175" i="37" s="1"/>
  <c r="X175" i="37" s="1"/>
  <c r="R357" i="49"/>
  <c r="K19" i="10"/>
  <c r="J149" i="35"/>
  <c r="T318" i="49"/>
  <c r="T317" i="49" s="1"/>
  <c r="H17" i="45"/>
  <c r="H16" i="45" s="1"/>
  <c r="G110" i="18"/>
  <c r="G121" i="18"/>
  <c r="J384" i="16"/>
  <c r="K233" i="35" s="1"/>
  <c r="K245" i="35" s="1"/>
  <c r="H112" i="18"/>
  <c r="P251" i="45"/>
  <c r="Y265" i="37"/>
  <c r="Z265" i="37"/>
  <c r="J72" i="16"/>
  <c r="K56" i="48"/>
  <c r="O200" i="48"/>
  <c r="P97" i="48"/>
  <c r="L48" i="48"/>
  <c r="O63" i="48"/>
  <c r="Q36" i="48"/>
  <c r="R73" i="35"/>
  <c r="J393" i="16"/>
  <c r="K303" i="48"/>
  <c r="K301" i="48"/>
  <c r="H131" i="22"/>
  <c r="T44" i="42"/>
  <c r="N26" i="22"/>
  <c r="N6" i="22"/>
  <c r="I385" i="49" s="1"/>
  <c r="I384" i="49" s="1"/>
  <c r="E129" i="22"/>
  <c r="D175" i="20"/>
  <c r="H357" i="49"/>
  <c r="H358" i="49"/>
  <c r="G25" i="45"/>
  <c r="Y354" i="37"/>
  <c r="Z354" i="37" s="1"/>
  <c r="Y328" i="37"/>
  <c r="Z328" i="37" s="1"/>
  <c r="P242" i="45"/>
  <c r="Q242" i="45"/>
  <c r="P214" i="45"/>
  <c r="Q214" i="45" s="1"/>
  <c r="Y170" i="37"/>
  <c r="Z170" i="37" s="1"/>
  <c r="Y135" i="45"/>
  <c r="Z135" i="45" s="1"/>
  <c r="Y288" i="37"/>
  <c r="Z288" i="37"/>
  <c r="P355" i="45"/>
  <c r="Q355" i="45" s="1"/>
  <c r="R355" i="45" s="1"/>
  <c r="S355" i="45" s="1"/>
  <c r="P199" i="37"/>
  <c r="Q199" i="37" s="1"/>
  <c r="P349" i="37"/>
  <c r="Q349" i="37"/>
  <c r="P364" i="45"/>
  <c r="Q364" i="45" s="1"/>
  <c r="R364" i="45" s="1"/>
  <c r="P122" i="37"/>
  <c r="Q122" i="37" s="1"/>
  <c r="R122" i="37" s="1"/>
  <c r="P380" i="37"/>
  <c r="Q380" i="37" s="1"/>
  <c r="Y327" i="45"/>
  <c r="Z327" i="45"/>
  <c r="Y347" i="45"/>
  <c r="Z347" i="45" s="1"/>
  <c r="Y393" i="37"/>
  <c r="Z393" i="37"/>
  <c r="Y275" i="37"/>
  <c r="Z275" i="37" s="1"/>
  <c r="Y100" i="45"/>
  <c r="Z100" i="45"/>
  <c r="I62" i="16"/>
  <c r="J20" i="35" s="1"/>
  <c r="H205" i="16"/>
  <c r="I90" i="35"/>
  <c r="I7" i="16"/>
  <c r="H46" i="35"/>
  <c r="O62" i="16"/>
  <c r="O24" i="39"/>
  <c r="K205" i="16"/>
  <c r="L90" i="35" s="1"/>
  <c r="L88" i="35" s="1"/>
  <c r="M46" i="2"/>
  <c r="R5" i="11"/>
  <c r="M366" i="16"/>
  <c r="M365" i="16" s="1"/>
  <c r="M363" i="16" s="1"/>
  <c r="O393" i="16"/>
  <c r="O62" i="39"/>
  <c r="R20" i="10"/>
  <c r="O23" i="45"/>
  <c r="O149" i="35"/>
  <c r="O147" i="35"/>
  <c r="P48" i="10"/>
  <c r="O239" i="35"/>
  <c r="J46" i="2"/>
  <c r="U2" i="11"/>
  <c r="I150" i="20"/>
  <c r="I155" i="20" s="1"/>
  <c r="F69" i="42"/>
  <c r="F68" i="42" s="1"/>
  <c r="F67" i="42" s="1"/>
  <c r="F57" i="41"/>
  <c r="F56" i="41"/>
  <c r="F64" i="41"/>
  <c r="K110" i="18"/>
  <c r="K18" i="45"/>
  <c r="K16" i="45"/>
  <c r="M17" i="45"/>
  <c r="N17" i="37"/>
  <c r="M110" i="18"/>
  <c r="M18" i="45"/>
  <c r="M12" i="45" s="1"/>
  <c r="N18" i="37"/>
  <c r="H402" i="37"/>
  <c r="H404" i="37"/>
  <c r="R278" i="45"/>
  <c r="R251" i="45" s="1"/>
  <c r="Q332" i="45"/>
  <c r="Z332" i="45"/>
  <c r="Q102" i="45"/>
  <c r="R102" i="45"/>
  <c r="Q252" i="45"/>
  <c r="W320" i="37"/>
  <c r="X320" i="37"/>
  <c r="P344" i="45"/>
  <c r="Q344" i="45"/>
  <c r="Z344" i="45" s="1"/>
  <c r="Q345" i="45"/>
  <c r="E121" i="18"/>
  <c r="F17" i="45"/>
  <c r="E80" i="15"/>
  <c r="F80" i="15" s="1"/>
  <c r="F81" i="15"/>
  <c r="I22" i="48"/>
  <c r="I22" i="35"/>
  <c r="I21" i="35"/>
  <c r="R164" i="49"/>
  <c r="K63" i="48"/>
  <c r="K62" i="48" s="1"/>
  <c r="N56" i="48"/>
  <c r="S113" i="48"/>
  <c r="L349" i="48"/>
  <c r="K305" i="49"/>
  <c r="K303" i="49" s="1"/>
  <c r="K175" i="20"/>
  <c r="Q358" i="49"/>
  <c r="Q357" i="49"/>
  <c r="M175" i="20"/>
  <c r="AD84" i="22"/>
  <c r="P380" i="48"/>
  <c r="F26" i="37"/>
  <c r="F402" i="37" s="1"/>
  <c r="F404" i="37" s="1"/>
  <c r="Z144" i="45"/>
  <c r="Y202" i="45"/>
  <c r="Z202" i="45"/>
  <c r="M66" i="35"/>
  <c r="M65" i="35" s="1"/>
  <c r="M63" i="35" s="1"/>
  <c r="Q73" i="16"/>
  <c r="G62" i="16"/>
  <c r="G24" i="39" s="1"/>
  <c r="Q289" i="48"/>
  <c r="P135" i="35"/>
  <c r="O14" i="40"/>
  <c r="K8" i="39"/>
  <c r="K7" i="39" s="1"/>
  <c r="K9" i="42" s="1"/>
  <c r="K15" i="16"/>
  <c r="J5" i="11"/>
  <c r="E366" i="16"/>
  <c r="E365" i="16" s="1"/>
  <c r="E363" i="16" s="1"/>
  <c r="E45" i="2"/>
  <c r="E44" i="2" s="1"/>
  <c r="F121" i="35"/>
  <c r="S31" i="29"/>
  <c r="P357" i="49"/>
  <c r="F110" i="18"/>
  <c r="G18" i="45"/>
  <c r="G12" i="45" s="1"/>
  <c r="F122" i="18"/>
  <c r="B130" i="20"/>
  <c r="R135" i="20" s="1"/>
  <c r="P151" i="37"/>
  <c r="Q151" i="37"/>
  <c r="R151" i="37" s="1"/>
  <c r="S151" i="37" s="1"/>
  <c r="T151" i="37" s="1"/>
  <c r="U151" i="37"/>
  <c r="V151" i="37" s="1"/>
  <c r="W151" i="37" s="1"/>
  <c r="X151" i="37" s="1"/>
  <c r="P222" i="45"/>
  <c r="Q222" i="45" s="1"/>
  <c r="R222" i="45" s="1"/>
  <c r="S222" i="45" s="1"/>
  <c r="T222" i="45" s="1"/>
  <c r="R141" i="45"/>
  <c r="S142" i="45"/>
  <c r="C175" i="45"/>
  <c r="Q251" i="45"/>
  <c r="N30" i="16"/>
  <c r="O19" i="35"/>
  <c r="L86" i="35"/>
  <c r="K386" i="16"/>
  <c r="L102" i="35"/>
  <c r="L100" i="35" s="1"/>
  <c r="L99" i="35" s="1"/>
  <c r="M36" i="35"/>
  <c r="P19" i="35"/>
  <c r="O15" i="39"/>
  <c r="O12" i="39" s="1"/>
  <c r="O11" i="42" s="1"/>
  <c r="V296" i="48"/>
  <c r="Y296" i="48"/>
  <c r="AA33" i="48"/>
  <c r="Y33" i="48"/>
  <c r="J19" i="35"/>
  <c r="I15" i="39"/>
  <c r="I12" i="39" s="1"/>
  <c r="I11" i="42" s="1"/>
  <c r="O53" i="48"/>
  <c r="O52" i="48" s="1"/>
  <c r="V18" i="48"/>
  <c r="W18" i="48"/>
  <c r="Y18" i="48"/>
  <c r="AA18" i="48"/>
  <c r="I187" i="49"/>
  <c r="I186" i="49"/>
  <c r="T40" i="42"/>
  <c r="S181" i="48"/>
  <c r="I79" i="49"/>
  <c r="S85" i="49"/>
  <c r="K79" i="49"/>
  <c r="T91" i="48"/>
  <c r="H43" i="16"/>
  <c r="I200" i="16"/>
  <c r="J90" i="35"/>
  <c r="P103" i="35"/>
  <c r="P100" i="35" s="1"/>
  <c r="P99" i="35" s="1"/>
  <c r="O241" i="16"/>
  <c r="O69" i="39" s="1"/>
  <c r="S255" i="49"/>
  <c r="U255" i="49" s="1"/>
  <c r="R53" i="35"/>
  <c r="G72" i="16"/>
  <c r="M25" i="35"/>
  <c r="M21" i="35" s="1"/>
  <c r="S82" i="49"/>
  <c r="Y82" i="49" s="1"/>
  <c r="H242" i="48"/>
  <c r="S81" i="49"/>
  <c r="U81" i="49" s="1"/>
  <c r="O242" i="48"/>
  <c r="J62" i="39"/>
  <c r="U194" i="35"/>
  <c r="D311" i="48"/>
  <c r="R79" i="35"/>
  <c r="K43" i="16"/>
  <c r="Q15" i="42"/>
  <c r="U15" i="42" s="1"/>
  <c r="R233" i="49"/>
  <c r="N72" i="16"/>
  <c r="S49" i="49"/>
  <c r="Y49" i="49"/>
  <c r="R49" i="35"/>
  <c r="R57" i="35"/>
  <c r="R34" i="35"/>
  <c r="I171" i="49"/>
  <c r="E19" i="42"/>
  <c r="D309" i="48"/>
  <c r="W298" i="49"/>
  <c r="V200" i="35"/>
  <c r="Q158" i="16"/>
  <c r="Q87" i="16"/>
  <c r="H200" i="16"/>
  <c r="J62" i="16"/>
  <c r="T135" i="35"/>
  <c r="P66" i="35"/>
  <c r="P65" i="35" s="1"/>
  <c r="P63" i="35" s="1"/>
  <c r="L66" i="35"/>
  <c r="M31" i="39"/>
  <c r="M13" i="42" s="1"/>
  <c r="P43" i="16"/>
  <c r="O46" i="35"/>
  <c r="L242" i="48"/>
  <c r="S53" i="49"/>
  <c r="Y53" i="49" s="1"/>
  <c r="P242" i="48"/>
  <c r="Q233" i="16"/>
  <c r="H56" i="48"/>
  <c r="Y298" i="49"/>
  <c r="N362" i="48"/>
  <c r="V201" i="35"/>
  <c r="F43" i="16"/>
  <c r="T17" i="48"/>
  <c r="O66" i="35"/>
  <c r="O65" i="35"/>
  <c r="O63" i="35" s="1"/>
  <c r="H86" i="35"/>
  <c r="K21" i="35"/>
  <c r="F27" i="39"/>
  <c r="Q27" i="39"/>
  <c r="Q29" i="39"/>
  <c r="AA20" i="48"/>
  <c r="Y20" i="48"/>
  <c r="Y31" i="48"/>
  <c r="AA31" i="48"/>
  <c r="AA29" i="48"/>
  <c r="Y29" i="48"/>
  <c r="O90" i="35"/>
  <c r="O88" i="35" s="1"/>
  <c r="N200" i="16"/>
  <c r="G105" i="35"/>
  <c r="R109" i="35"/>
  <c r="E30" i="42"/>
  <c r="S31" i="42"/>
  <c r="Y330" i="48"/>
  <c r="V212" i="35"/>
  <c r="W212" i="35"/>
  <c r="G30" i="16"/>
  <c r="H19" i="35"/>
  <c r="G15" i="39"/>
  <c r="G12" i="39"/>
  <c r="G11" i="42" s="1"/>
  <c r="J30" i="16"/>
  <c r="J7" i="16" s="1"/>
  <c r="K19" i="35"/>
  <c r="J15" i="39"/>
  <c r="J12" i="39" s="1"/>
  <c r="J11" i="42" s="1"/>
  <c r="N8" i="39"/>
  <c r="N7" i="39"/>
  <c r="N9" i="42" s="1"/>
  <c r="N15" i="16"/>
  <c r="F62" i="16"/>
  <c r="Q66" i="16"/>
  <c r="U66" i="16" s="1"/>
  <c r="F36" i="49"/>
  <c r="G14" i="35"/>
  <c r="K48" i="48"/>
  <c r="K35" i="48" s="1"/>
  <c r="S86" i="49"/>
  <c r="U86" i="49"/>
  <c r="H147" i="48"/>
  <c r="P147" i="48"/>
  <c r="M14" i="35"/>
  <c r="R74" i="35"/>
  <c r="S59" i="49"/>
  <c r="S83" i="49"/>
  <c r="M242" i="48"/>
  <c r="M238" i="48" s="1"/>
  <c r="H91" i="35"/>
  <c r="S15" i="42"/>
  <c r="I169" i="48"/>
  <c r="R208" i="35"/>
  <c r="W208" i="35" s="1"/>
  <c r="Q65" i="35"/>
  <c r="Q63" i="35" s="1"/>
  <c r="F15" i="16"/>
  <c r="Q88" i="16"/>
  <c r="H241" i="16"/>
  <c r="H69" i="39" s="1"/>
  <c r="T14" i="42"/>
  <c r="Q46" i="35"/>
  <c r="S28" i="48"/>
  <c r="Q51" i="16"/>
  <c r="N43" i="16"/>
  <c r="N32" i="39"/>
  <c r="N31" i="39"/>
  <c r="N13" i="42" s="1"/>
  <c r="I43" i="16"/>
  <c r="I32" i="39"/>
  <c r="I31" i="39" s="1"/>
  <c r="I13" i="42" s="1"/>
  <c r="I86" i="35"/>
  <c r="H65" i="39"/>
  <c r="H386" i="16"/>
  <c r="R114" i="16"/>
  <c r="T321" i="48"/>
  <c r="L317" i="48"/>
  <c r="S321" i="48"/>
  <c r="U321" i="48"/>
  <c r="O32" i="39"/>
  <c r="O31" i="39" s="1"/>
  <c r="O13" i="42" s="1"/>
  <c r="O43" i="16"/>
  <c r="Y21" i="48"/>
  <c r="AA21" i="48"/>
  <c r="V196" i="35"/>
  <c r="W196" i="35"/>
  <c r="M58" i="39"/>
  <c r="M56" i="39" s="1"/>
  <c r="M73" i="39"/>
  <c r="M72" i="39" s="1"/>
  <c r="M26" i="42" s="1"/>
  <c r="L95" i="35"/>
  <c r="K200" i="16"/>
  <c r="E8" i="39"/>
  <c r="I19" i="35"/>
  <c r="H30" i="16"/>
  <c r="H7" i="16" s="1"/>
  <c r="H15" i="39"/>
  <c r="H12" i="39" s="1"/>
  <c r="H11" i="42" s="1"/>
  <c r="K15" i="39"/>
  <c r="K12" i="39" s="1"/>
  <c r="K11" i="42" s="1"/>
  <c r="L19" i="35"/>
  <c r="K30" i="16"/>
  <c r="W198" i="35"/>
  <c r="V198" i="35"/>
  <c r="O246" i="35"/>
  <c r="O242" i="35"/>
  <c r="M14" i="45" s="1"/>
  <c r="V88" i="48"/>
  <c r="AA88" i="48"/>
  <c r="W88" i="48"/>
  <c r="G37" i="39"/>
  <c r="G43" i="16"/>
  <c r="Q57" i="16"/>
  <c r="F97" i="49"/>
  <c r="F96" i="49" s="1"/>
  <c r="S28" i="49"/>
  <c r="N37" i="49"/>
  <c r="S51" i="48"/>
  <c r="AA51" i="48" s="1"/>
  <c r="I78" i="48"/>
  <c r="S60" i="49"/>
  <c r="Y60" i="49"/>
  <c r="R70" i="35"/>
  <c r="J202" i="49"/>
  <c r="K202" i="49"/>
  <c r="N164" i="49"/>
  <c r="O233" i="49"/>
  <c r="Q187" i="49"/>
  <c r="Q186" i="49" s="1"/>
  <c r="J62" i="48"/>
  <c r="S56" i="49"/>
  <c r="Y56" i="49" s="1"/>
  <c r="L187" i="49"/>
  <c r="R62" i="35"/>
  <c r="R75" i="35"/>
  <c r="S14" i="42"/>
  <c r="I203" i="35"/>
  <c r="T87" i="48"/>
  <c r="T85" i="48"/>
  <c r="O340" i="48"/>
  <c r="R15" i="42"/>
  <c r="I65" i="35"/>
  <c r="I63" i="35" s="1"/>
  <c r="Q14" i="42"/>
  <c r="U14" i="42" s="1"/>
  <c r="G15" i="16"/>
  <c r="Q33" i="39"/>
  <c r="G25" i="35"/>
  <c r="G21" i="35" s="1"/>
  <c r="I58" i="39"/>
  <c r="I56" i="39" s="1"/>
  <c r="I73" i="39"/>
  <c r="I72" i="39" s="1"/>
  <c r="I26" i="42" s="1"/>
  <c r="W90" i="48"/>
  <c r="V90" i="48"/>
  <c r="AA90" i="48"/>
  <c r="E9" i="41"/>
  <c r="U91" i="48"/>
  <c r="S91" i="48"/>
  <c r="J37" i="39"/>
  <c r="J31" i="39" s="1"/>
  <c r="J13" i="42" s="1"/>
  <c r="J43" i="16"/>
  <c r="G38" i="2"/>
  <c r="G49" i="41"/>
  <c r="G48" i="41"/>
  <c r="S69" i="48"/>
  <c r="AA69" i="48" s="1"/>
  <c r="F19" i="35"/>
  <c r="E15" i="39"/>
  <c r="E30" i="16"/>
  <c r="Q32" i="16"/>
  <c r="Y30" i="48"/>
  <c r="AA30" i="48"/>
  <c r="Y17" i="48"/>
  <c r="V17" i="48"/>
  <c r="L15" i="39"/>
  <c r="L12" i="39" s="1"/>
  <c r="L11" i="42" s="1"/>
  <c r="M19" i="35"/>
  <c r="L30" i="16"/>
  <c r="L14" i="16" s="1"/>
  <c r="M30" i="16"/>
  <c r="N19" i="35"/>
  <c r="M15" i="39"/>
  <c r="M12" i="39" s="1"/>
  <c r="M11" i="42" s="1"/>
  <c r="O10" i="39"/>
  <c r="O7" i="39"/>
  <c r="O9" i="42" s="1"/>
  <c r="O15" i="16"/>
  <c r="P15" i="39"/>
  <c r="P12" i="39" s="1"/>
  <c r="P11" i="42" s="1"/>
  <c r="P30" i="16"/>
  <c r="Q44" i="16"/>
  <c r="E43" i="16"/>
  <c r="E32" i="39"/>
  <c r="L32" i="39"/>
  <c r="L31" i="39" s="1"/>
  <c r="L13" i="42" s="1"/>
  <c r="L43" i="16"/>
  <c r="L42" i="16" s="1"/>
  <c r="O295" i="49"/>
  <c r="I233" i="49"/>
  <c r="N24" i="49"/>
  <c r="M41" i="35"/>
  <c r="K41" i="35"/>
  <c r="P72" i="16"/>
  <c r="N53" i="48"/>
  <c r="N52" i="48" s="1"/>
  <c r="S84" i="49"/>
  <c r="Y84" i="49" s="1"/>
  <c r="N147" i="48"/>
  <c r="R242" i="48"/>
  <c r="R238" i="48" s="1"/>
  <c r="N24" i="48"/>
  <c r="M48" i="48"/>
  <c r="M35" i="48" s="1"/>
  <c r="O62" i="48"/>
  <c r="R48" i="48"/>
  <c r="R77" i="35"/>
  <c r="S39" i="49"/>
  <c r="Y39" i="49" s="1"/>
  <c r="S68" i="49"/>
  <c r="Y68" i="49" s="1"/>
  <c r="J242" i="48"/>
  <c r="J238" i="48" s="1"/>
  <c r="I14" i="16"/>
  <c r="R95" i="35"/>
  <c r="N100" i="35"/>
  <c r="N99" i="35" s="1"/>
  <c r="P46" i="35"/>
  <c r="S40" i="42"/>
  <c r="Q236" i="16"/>
  <c r="F34" i="48"/>
  <c r="Y95" i="49"/>
  <c r="U95" i="49"/>
  <c r="W32" i="49"/>
  <c r="Y21" i="49"/>
  <c r="Y29" i="49"/>
  <c r="Y46" i="49"/>
  <c r="U46" i="49"/>
  <c r="Y59" i="49"/>
  <c r="Y83" i="49"/>
  <c r="U83" i="49"/>
  <c r="Y35" i="49"/>
  <c r="Y94" i="49"/>
  <c r="U94" i="49"/>
  <c r="Y40" i="49"/>
  <c r="Y61" i="49"/>
  <c r="Y361" i="49"/>
  <c r="Y28" i="49"/>
  <c r="Y33" i="49"/>
  <c r="Y43" i="49"/>
  <c r="U43" i="49"/>
  <c r="U84" i="49"/>
  <c r="Y85" i="49"/>
  <c r="Y362" i="49"/>
  <c r="U362" i="49"/>
  <c r="W34" i="49"/>
  <c r="Y23" i="49"/>
  <c r="Y81" i="49"/>
  <c r="Y92" i="49"/>
  <c r="U92" i="49"/>
  <c r="P24" i="49"/>
  <c r="F95" i="48"/>
  <c r="N65" i="39"/>
  <c r="N386" i="16"/>
  <c r="S206" i="48"/>
  <c r="R44" i="42"/>
  <c r="P48" i="48"/>
  <c r="X128" i="35"/>
  <c r="V128" i="35"/>
  <c r="W128" i="35"/>
  <c r="F72" i="16"/>
  <c r="S170" i="48"/>
  <c r="R255" i="35"/>
  <c r="I53" i="48"/>
  <c r="L53" i="2"/>
  <c r="L51" i="2"/>
  <c r="S44" i="42"/>
  <c r="R362" i="48"/>
  <c r="I54" i="49"/>
  <c r="W28" i="49"/>
  <c r="L164" i="49"/>
  <c r="L79" i="49"/>
  <c r="J365" i="49"/>
  <c r="J178" i="49"/>
  <c r="J175" i="49" s="1"/>
  <c r="M187" i="49"/>
  <c r="M186" i="49" s="1"/>
  <c r="P244" i="49"/>
  <c r="Q24" i="49"/>
  <c r="D314" i="49"/>
  <c r="D315" i="49"/>
  <c r="O37" i="49"/>
  <c r="M54" i="49"/>
  <c r="G149" i="49"/>
  <c r="K187" i="49"/>
  <c r="K186" i="49" s="1"/>
  <c r="L202" i="49"/>
  <c r="L201" i="49" s="1"/>
  <c r="M149" i="49"/>
  <c r="M146" i="49" s="1"/>
  <c r="M164" i="49"/>
  <c r="P202" i="49"/>
  <c r="P201" i="49" s="1"/>
  <c r="S152" i="49"/>
  <c r="U152" i="49" s="1"/>
  <c r="Q202" i="49"/>
  <c r="Q201" i="49" s="1"/>
  <c r="N54" i="49"/>
  <c r="M244" i="49"/>
  <c r="D6" i="49"/>
  <c r="Y32" i="49"/>
  <c r="O54" i="49"/>
  <c r="G50" i="49"/>
  <c r="N187" i="49"/>
  <c r="N186" i="49"/>
  <c r="O187" i="49"/>
  <c r="O186" i="49" s="1"/>
  <c r="P233" i="49"/>
  <c r="W23" i="49"/>
  <c r="O178" i="49"/>
  <c r="O175" i="49" s="1"/>
  <c r="S174" i="49"/>
  <c r="U174" i="49" s="1"/>
  <c r="Q233" i="49"/>
  <c r="N74" i="49"/>
  <c r="M74" i="49"/>
  <c r="K365" i="49"/>
  <c r="P54" i="49"/>
  <c r="S160" i="49"/>
  <c r="U160" i="49" s="1"/>
  <c r="L365" i="49"/>
  <c r="S41" i="49"/>
  <c r="J54" i="49"/>
  <c r="S353" i="49"/>
  <c r="J24" i="49"/>
  <c r="S110" i="49"/>
  <c r="U110" i="49" s="1"/>
  <c r="G158" i="49"/>
  <c r="S103" i="49"/>
  <c r="U103" i="49" s="1"/>
  <c r="S114" i="49"/>
  <c r="U114" i="49"/>
  <c r="S150" i="49"/>
  <c r="U150" i="49" s="1"/>
  <c r="I164" i="49"/>
  <c r="S204" i="49"/>
  <c r="U204" i="49" s="1"/>
  <c r="K164" i="49"/>
  <c r="M158" i="49"/>
  <c r="N233" i="49"/>
  <c r="P178" i="49"/>
  <c r="P175" i="49"/>
  <c r="S126" i="49"/>
  <c r="U126" i="49"/>
  <c r="Q158" i="49"/>
  <c r="Q157" i="49"/>
  <c r="Q154" i="49" s="1"/>
  <c r="R202" i="49"/>
  <c r="R201" i="49" s="1"/>
  <c r="J240" i="49"/>
  <c r="J232" i="49" s="1"/>
  <c r="Y34" i="49"/>
  <c r="R24" i="49"/>
  <c r="R37" i="49"/>
  <c r="K37" i="49"/>
  <c r="I158" i="49"/>
  <c r="M202" i="49"/>
  <c r="R157" i="49"/>
  <c r="N79" i="49"/>
  <c r="P370" i="49"/>
  <c r="P365" i="49" s="1"/>
  <c r="K201" i="49"/>
  <c r="I24" i="49"/>
  <c r="S133" i="49"/>
  <c r="U133" i="49" s="1"/>
  <c r="S161" i="49"/>
  <c r="U161" i="49"/>
  <c r="J351" i="49"/>
  <c r="I149" i="49"/>
  <c r="I146" i="49" s="1"/>
  <c r="H370" i="49"/>
  <c r="H365" i="49" s="1"/>
  <c r="W33" i="49"/>
  <c r="S374" i="49"/>
  <c r="U374" i="49" s="1"/>
  <c r="I343" i="49"/>
  <c r="I342" i="49" s="1"/>
  <c r="M12" i="49"/>
  <c r="L244" i="49"/>
  <c r="R244" i="49"/>
  <c r="S106" i="49"/>
  <c r="U106" i="49" s="1"/>
  <c r="S153" i="49"/>
  <c r="G178" i="49"/>
  <c r="G175" i="49" s="1"/>
  <c r="S102" i="49"/>
  <c r="S148" i="49"/>
  <c r="U148" i="49" s="1"/>
  <c r="S162" i="49"/>
  <c r="U162" i="49" s="1"/>
  <c r="I244" i="49"/>
  <c r="I240" i="49" s="1"/>
  <c r="S125" i="49"/>
  <c r="U125" i="49" s="1"/>
  <c r="S151" i="49"/>
  <c r="U151" i="49" s="1"/>
  <c r="J187" i="49"/>
  <c r="J186" i="49" s="1"/>
  <c r="S180" i="49"/>
  <c r="U180" i="49" s="1"/>
  <c r="S123" i="49"/>
  <c r="U123" i="49" s="1"/>
  <c r="S145" i="49"/>
  <c r="U145" i="49" s="1"/>
  <c r="L158" i="49"/>
  <c r="N149" i="49"/>
  <c r="N146" i="49" s="1"/>
  <c r="N202" i="49"/>
  <c r="N201" i="49"/>
  <c r="O149" i="49"/>
  <c r="O146" i="49" s="1"/>
  <c r="O202" i="49"/>
  <c r="O201" i="49"/>
  <c r="O244" i="49"/>
  <c r="S268" i="49"/>
  <c r="U268" i="49" s="1"/>
  <c r="J37" i="49"/>
  <c r="M79" i="49"/>
  <c r="J149" i="49"/>
  <c r="J146" i="49"/>
  <c r="I37" i="49"/>
  <c r="S354" i="49"/>
  <c r="U354" i="49" s="1"/>
  <c r="L24" i="49"/>
  <c r="Q12" i="49"/>
  <c r="M240" i="49"/>
  <c r="M233" i="49"/>
  <c r="Q54" i="49"/>
  <c r="S93" i="49"/>
  <c r="U93" i="49" s="1"/>
  <c r="O74" i="49"/>
  <c r="S71" i="49"/>
  <c r="I12" i="49"/>
  <c r="N158" i="49"/>
  <c r="P149" i="49"/>
  <c r="P146" i="49" s="1"/>
  <c r="M24" i="49"/>
  <c r="J233" i="49"/>
  <c r="Y332" i="49"/>
  <c r="W332" i="49"/>
  <c r="S166" i="45"/>
  <c r="T166" i="45" s="1"/>
  <c r="U166" i="45" s="1"/>
  <c r="V166" i="45" s="1"/>
  <c r="W166" i="45"/>
  <c r="X166" i="45" s="1"/>
  <c r="R373" i="45"/>
  <c r="I5" i="2"/>
  <c r="G126" i="22"/>
  <c r="G176" i="35"/>
  <c r="I380" i="48"/>
  <c r="R153" i="45"/>
  <c r="R294" i="37"/>
  <c r="R353" i="45"/>
  <c r="R230" i="45"/>
  <c r="T7" i="21"/>
  <c r="G35" i="21"/>
  <c r="S7" i="21"/>
  <c r="G67" i="21"/>
  <c r="I382" i="48"/>
  <c r="I381" i="48" s="1"/>
  <c r="H223" i="35"/>
  <c r="H222" i="35" s="1"/>
  <c r="E122" i="18"/>
  <c r="R121" i="45"/>
  <c r="P129" i="22"/>
  <c r="R357" i="45"/>
  <c r="L54" i="49"/>
  <c r="W21" i="49"/>
  <c r="G38" i="49"/>
  <c r="J201" i="49"/>
  <c r="S207" i="49"/>
  <c r="U207" i="49" s="1"/>
  <c r="S179" i="49"/>
  <c r="U179" i="49" s="1"/>
  <c r="M37" i="49"/>
  <c r="L74" i="49"/>
  <c r="G41" i="35"/>
  <c r="S38" i="48"/>
  <c r="AA38" i="48" s="1"/>
  <c r="N12" i="49"/>
  <c r="P158" i="49"/>
  <c r="R149" i="49"/>
  <c r="R146" i="49"/>
  <c r="N63" i="48"/>
  <c r="N62" i="48"/>
  <c r="P36" i="48"/>
  <c r="W31" i="49"/>
  <c r="Y31" i="49"/>
  <c r="Y90" i="49"/>
  <c r="S172" i="48"/>
  <c r="H52" i="48"/>
  <c r="S172" i="49"/>
  <c r="U172" i="49" s="1"/>
  <c r="S232" i="48"/>
  <c r="E67" i="21"/>
  <c r="H295" i="49"/>
  <c r="H294" i="49"/>
  <c r="H293" i="49" s="1"/>
  <c r="P31" i="25"/>
  <c r="F67" i="21"/>
  <c r="F35" i="21"/>
  <c r="S139" i="35"/>
  <c r="H138" i="35"/>
  <c r="G349" i="48"/>
  <c r="E5" i="2"/>
  <c r="C126" i="22"/>
  <c r="S346" i="49"/>
  <c r="U346" i="49"/>
  <c r="O305" i="49"/>
  <c r="O303" i="49" s="1"/>
  <c r="O303" i="48"/>
  <c r="O301" i="48" s="1"/>
  <c r="O19" i="10"/>
  <c r="N149" i="35"/>
  <c r="N147" i="35"/>
  <c r="X82" i="20"/>
  <c r="K158" i="20"/>
  <c r="K137" i="20"/>
  <c r="K130" i="20"/>
  <c r="K131" i="20"/>
  <c r="J362" i="48"/>
  <c r="E23" i="45"/>
  <c r="H20" i="10"/>
  <c r="H279" i="49" s="1"/>
  <c r="H69" i="10"/>
  <c r="I69" i="10"/>
  <c r="J69" i="10" s="1"/>
  <c r="U283" i="48"/>
  <c r="T283" i="48"/>
  <c r="S283" i="48"/>
  <c r="H351" i="49"/>
  <c r="H367" i="48"/>
  <c r="T368" i="48"/>
  <c r="P39" i="25"/>
  <c r="I380" i="49"/>
  <c r="I378" i="49" s="1"/>
  <c r="I377" i="48"/>
  <c r="I375" i="48" s="1"/>
  <c r="H218" i="35"/>
  <c r="H216" i="35" s="1"/>
  <c r="AD65" i="22"/>
  <c r="L383" i="49"/>
  <c r="L380" i="48"/>
  <c r="K221" i="35"/>
  <c r="P33" i="25"/>
  <c r="J5" i="2"/>
  <c r="H126" i="22"/>
  <c r="Y82" i="20"/>
  <c r="M158" i="20"/>
  <c r="M137" i="20"/>
  <c r="M135" i="20"/>
  <c r="M134" i="20" s="1"/>
  <c r="Z82" i="20"/>
  <c r="M130" i="20"/>
  <c r="M131" i="20"/>
  <c r="J58" i="18"/>
  <c r="P30" i="18"/>
  <c r="Q30" i="18"/>
  <c r="I349" i="48"/>
  <c r="K150" i="20"/>
  <c r="K155" i="20" s="1"/>
  <c r="G64" i="41"/>
  <c r="M389" i="16"/>
  <c r="P75" i="20"/>
  <c r="Q75" i="20"/>
  <c r="AX26" i="22"/>
  <c r="AX6" i="22" s="1"/>
  <c r="E380" i="49"/>
  <c r="E378" i="49" s="1"/>
  <c r="E377" i="49" s="1"/>
  <c r="D380" i="49"/>
  <c r="D378" i="49"/>
  <c r="D377" i="49" s="1"/>
  <c r="D339" i="49" s="1"/>
  <c r="E67" i="10"/>
  <c r="E377" i="48"/>
  <c r="E375" i="48" s="1"/>
  <c r="E374" i="48" s="1"/>
  <c r="D377" i="48"/>
  <c r="D375" i="48" s="1"/>
  <c r="D374" i="48" s="1"/>
  <c r="D337" i="48" s="1"/>
  <c r="D218" i="35"/>
  <c r="D216" i="35" s="1"/>
  <c r="D215" i="35" s="1"/>
  <c r="D182" i="35" s="1"/>
  <c r="F380" i="49"/>
  <c r="F378" i="49" s="1"/>
  <c r="F377" i="49" s="1"/>
  <c r="F377" i="48"/>
  <c r="F375" i="48" s="1"/>
  <c r="F374" i="48" s="1"/>
  <c r="E218" i="35"/>
  <c r="E216" i="35" s="1"/>
  <c r="E215" i="35" s="1"/>
  <c r="E182" i="35" s="1"/>
  <c r="F67" i="10"/>
  <c r="AB13" i="21"/>
  <c r="O176" i="16"/>
  <c r="O61" i="39" s="1"/>
  <c r="O60" i="39" s="1"/>
  <c r="O23" i="42" s="1"/>
  <c r="I51" i="2"/>
  <c r="I53" i="2"/>
  <c r="J53" i="2"/>
  <c r="J51" i="2"/>
  <c r="M50" i="42"/>
  <c r="M48" i="42" s="1"/>
  <c r="M33" i="40"/>
  <c r="N53" i="2"/>
  <c r="N51" i="2"/>
  <c r="O31" i="42"/>
  <c r="O30" i="42" s="1"/>
  <c r="O29" i="42" s="1"/>
  <c r="O5" i="40"/>
  <c r="X189" i="35"/>
  <c r="W189" i="35"/>
  <c r="V189" i="35"/>
  <c r="N19" i="42"/>
  <c r="I54" i="15"/>
  <c r="H54" i="15"/>
  <c r="G53" i="15"/>
  <c r="S345" i="37"/>
  <c r="T345" i="37"/>
  <c r="R344" i="37"/>
  <c r="S165" i="37"/>
  <c r="T165" i="37"/>
  <c r="U165" i="37"/>
  <c r="V165" i="37" s="1"/>
  <c r="W165" i="37" s="1"/>
  <c r="X165" i="37" s="1"/>
  <c r="P129" i="37"/>
  <c r="Q129" i="37" s="1"/>
  <c r="T324" i="37"/>
  <c r="U324" i="37"/>
  <c r="V324" i="37"/>
  <c r="P210" i="45"/>
  <c r="Q210" i="45" s="1"/>
  <c r="Y352" i="37"/>
  <c r="Y180" i="37"/>
  <c r="Z180" i="37" s="1"/>
  <c r="N109" i="18"/>
  <c r="R243" i="45"/>
  <c r="S243" i="45" s="1"/>
  <c r="Y387" i="37"/>
  <c r="Y262" i="45"/>
  <c r="Z262" i="45" s="1"/>
  <c r="R176" i="37"/>
  <c r="S177" i="37"/>
  <c r="T177" i="37" s="1"/>
  <c r="Y388" i="37"/>
  <c r="Z388" i="37"/>
  <c r="R242" i="45"/>
  <c r="R204" i="45"/>
  <c r="R214" i="45"/>
  <c r="P366" i="45"/>
  <c r="Q366" i="45"/>
  <c r="R193" i="37"/>
  <c r="Y320" i="45"/>
  <c r="Z320" i="45" s="1"/>
  <c r="P372" i="45"/>
  <c r="Q372" i="45"/>
  <c r="R372" i="45" s="1"/>
  <c r="P336" i="45"/>
  <c r="Q336" i="45" s="1"/>
  <c r="R241" i="37"/>
  <c r="P141" i="37"/>
  <c r="Q141" i="37" s="1"/>
  <c r="Z352" i="45"/>
  <c r="R300" i="37"/>
  <c r="P244" i="37"/>
  <c r="Q244" i="37"/>
  <c r="Y172" i="45"/>
  <c r="Z172" i="45" s="1"/>
  <c r="S104" i="37"/>
  <c r="Y186" i="45"/>
  <c r="Z186" i="45"/>
  <c r="R242" i="37"/>
  <c r="S223" i="37"/>
  <c r="R120" i="37"/>
  <c r="S109" i="45"/>
  <c r="S291" i="37"/>
  <c r="T291" i="37" s="1"/>
  <c r="S302" i="37"/>
  <c r="T302" i="37"/>
  <c r="U302" i="37" s="1"/>
  <c r="S117" i="37"/>
  <c r="R216" i="37"/>
  <c r="Y311" i="37"/>
  <c r="Z311" i="37" s="1"/>
  <c r="S199" i="45"/>
  <c r="T199" i="45" s="1"/>
  <c r="U199" i="45" s="1"/>
  <c r="V199" i="45"/>
  <c r="W199" i="45" s="1"/>
  <c r="X199" i="45" s="1"/>
  <c r="R240" i="45"/>
  <c r="R306" i="45"/>
  <c r="S111" i="37"/>
  <c r="T111" i="37"/>
  <c r="U111" i="37" s="1"/>
  <c r="V111" i="37" s="1"/>
  <c r="W111" i="37" s="1"/>
  <c r="X111" i="37" s="1"/>
  <c r="P125" i="45"/>
  <c r="Q125" i="45" s="1"/>
  <c r="S173" i="45"/>
  <c r="T173" i="45" s="1"/>
  <c r="U173" i="45"/>
  <c r="V173" i="45"/>
  <c r="W173" i="45" s="1"/>
  <c r="X173" i="45" s="1"/>
  <c r="S357" i="37"/>
  <c r="T357" i="37" s="1"/>
  <c r="U357" i="37" s="1"/>
  <c r="V357" i="37" s="1"/>
  <c r="W357" i="37" s="1"/>
  <c r="X357" i="37" s="1"/>
  <c r="Y228" i="45"/>
  <c r="Z228" i="45"/>
  <c r="F14" i="16"/>
  <c r="F7" i="16"/>
  <c r="P240" i="37"/>
  <c r="Q240" i="37"/>
  <c r="U222" i="45"/>
  <c r="V222" i="45" s="1"/>
  <c r="W222" i="45" s="1"/>
  <c r="X222" i="45" s="1"/>
  <c r="R244" i="45"/>
  <c r="Y316" i="45"/>
  <c r="Z316" i="45" s="1"/>
  <c r="M200" i="16"/>
  <c r="N90" i="35"/>
  <c r="N88" i="35" s="1"/>
  <c r="F47" i="41"/>
  <c r="F60" i="42"/>
  <c r="R105" i="35"/>
  <c r="S244" i="48"/>
  <c r="I286" i="49"/>
  <c r="S286" i="49"/>
  <c r="U286" i="49" s="1"/>
  <c r="I284" i="48"/>
  <c r="G52" i="2"/>
  <c r="G36" i="40"/>
  <c r="G35" i="40"/>
  <c r="H130" i="35"/>
  <c r="V7" i="21"/>
  <c r="J35" i="21"/>
  <c r="V35" i="21"/>
  <c r="J67" i="21"/>
  <c r="S9" i="21"/>
  <c r="AB9" i="21"/>
  <c r="T9" i="21"/>
  <c r="G69" i="21"/>
  <c r="I293" i="48"/>
  <c r="I292" i="48"/>
  <c r="I291" i="48" s="1"/>
  <c r="U371" i="48"/>
  <c r="T371" i="48"/>
  <c r="S371" i="48"/>
  <c r="G293" i="48"/>
  <c r="G275" i="48"/>
  <c r="O46" i="2"/>
  <c r="T5" i="11"/>
  <c r="O366" i="16"/>
  <c r="O365" i="16" s="1"/>
  <c r="O363" i="16" s="1"/>
  <c r="O102" i="41"/>
  <c r="I20" i="10"/>
  <c r="F23" i="45"/>
  <c r="F22" i="45" s="1"/>
  <c r="S285" i="49"/>
  <c r="U285" i="49" s="1"/>
  <c r="T82" i="20"/>
  <c r="H158" i="20"/>
  <c r="H137" i="20"/>
  <c r="H135" i="20"/>
  <c r="H134" i="20" s="1"/>
  <c r="H130" i="20"/>
  <c r="P5" i="2"/>
  <c r="J36" i="2"/>
  <c r="J102" i="41"/>
  <c r="S82" i="20"/>
  <c r="G137" i="20"/>
  <c r="G158" i="20"/>
  <c r="G157" i="20"/>
  <c r="G130" i="20"/>
  <c r="G131" i="20" s="1"/>
  <c r="W136" i="20" s="1"/>
  <c r="L58" i="18"/>
  <c r="P9" i="18"/>
  <c r="I69" i="42"/>
  <c r="I68" i="42" s="1"/>
  <c r="I67" i="42" s="1"/>
  <c r="I57" i="41"/>
  <c r="I56" i="41" s="1"/>
  <c r="I64" i="41"/>
  <c r="V75" i="20"/>
  <c r="W75" i="20"/>
  <c r="E396" i="16"/>
  <c r="E397" i="16"/>
  <c r="R76" i="42"/>
  <c r="T76" i="42"/>
  <c r="Q76" i="42"/>
  <c r="U76" i="42" s="1"/>
  <c r="S76" i="42"/>
  <c r="E88" i="10"/>
  <c r="E51" i="10"/>
  <c r="E86" i="10"/>
  <c r="G135" i="20"/>
  <c r="G134" i="20"/>
  <c r="M5" i="18"/>
  <c r="I86" i="18"/>
  <c r="Q86" i="18" s="1"/>
  <c r="D7" i="21"/>
  <c r="P11" i="21"/>
  <c r="D71" i="21"/>
  <c r="G88" i="10"/>
  <c r="F239" i="35"/>
  <c r="I50" i="42"/>
  <c r="I48" i="42" s="1"/>
  <c r="I33" i="40"/>
  <c r="M53" i="2"/>
  <c r="M51" i="2"/>
  <c r="P19" i="42"/>
  <c r="P18" i="42" s="1"/>
  <c r="P49" i="39"/>
  <c r="S147" i="35"/>
  <c r="S208" i="35"/>
  <c r="X129" i="35"/>
  <c r="V129" i="35"/>
  <c r="W129" i="35"/>
  <c r="E157" i="35"/>
  <c r="E158" i="35"/>
  <c r="E6" i="35"/>
  <c r="H19" i="15"/>
  <c r="I19" i="15"/>
  <c r="G18" i="15"/>
  <c r="E18" i="15"/>
  <c r="F19" i="15"/>
  <c r="S147" i="37"/>
  <c r="T147" i="37" s="1"/>
  <c r="U147" i="37" s="1"/>
  <c r="V147" i="37" s="1"/>
  <c r="W147" i="37" s="1"/>
  <c r="X147" i="37" s="1"/>
  <c r="Y147" i="37"/>
  <c r="Z147" i="37" s="1"/>
  <c r="N1" i="37"/>
  <c r="P99" i="37"/>
  <c r="Q99" i="37"/>
  <c r="R366" i="37"/>
  <c r="R295" i="45"/>
  <c r="S295" i="45" s="1"/>
  <c r="T295" i="45" s="1"/>
  <c r="S252" i="37"/>
  <c r="T252" i="37" s="1"/>
  <c r="U252" i="37" s="1"/>
  <c r="S346" i="37"/>
  <c r="T346" i="37" s="1"/>
  <c r="U346" i="37" s="1"/>
  <c r="V346" i="37" s="1"/>
  <c r="W346" i="37" s="1"/>
  <c r="X346" i="37" s="1"/>
  <c r="Q322" i="37"/>
  <c r="AB322" i="37"/>
  <c r="Y386" i="37"/>
  <c r="Z386" i="37"/>
  <c r="Y133" i="45"/>
  <c r="Z133" i="45" s="1"/>
  <c r="S279" i="37"/>
  <c r="R148" i="37"/>
  <c r="S148" i="37" s="1"/>
  <c r="T148" i="37" s="1"/>
  <c r="U148" i="37" s="1"/>
  <c r="R206" i="45"/>
  <c r="Q237" i="45"/>
  <c r="P124" i="37"/>
  <c r="Q124" i="37" s="1"/>
  <c r="Y386" i="45"/>
  <c r="Z386" i="45"/>
  <c r="P230" i="37"/>
  <c r="Q230" i="37" s="1"/>
  <c r="R230" i="37" s="1"/>
  <c r="R350" i="37"/>
  <c r="Y182" i="45"/>
  <c r="Z182" i="45" s="1"/>
  <c r="Y159" i="45"/>
  <c r="P139" i="45"/>
  <c r="Q139" i="45" s="1"/>
  <c r="P201" i="45"/>
  <c r="Q201" i="45"/>
  <c r="P375" i="45"/>
  <c r="Q375" i="45" s="1"/>
  <c r="Z114" i="37"/>
  <c r="Y188" i="37"/>
  <c r="Z188" i="37" s="1"/>
  <c r="Z381" i="45"/>
  <c r="Y325" i="45"/>
  <c r="Z325" i="45" s="1"/>
  <c r="R222" i="37"/>
  <c r="Y258" i="45"/>
  <c r="Z258" i="45"/>
  <c r="P140" i="45"/>
  <c r="Q140" i="45" s="1"/>
  <c r="R140" i="45" s="1"/>
  <c r="R225" i="37"/>
  <c r="P373" i="37"/>
  <c r="Q373" i="37" s="1"/>
  <c r="Z256" i="37"/>
  <c r="P371" i="45"/>
  <c r="Q371" i="45" s="1"/>
  <c r="R371" i="45" s="1"/>
  <c r="Z334" i="45"/>
  <c r="S108" i="45"/>
  <c r="T108" i="45" s="1"/>
  <c r="U108" i="45" s="1"/>
  <c r="V108" i="45" s="1"/>
  <c r="W108" i="45"/>
  <c r="X108" i="45" s="1"/>
  <c r="Y256" i="45"/>
  <c r="Z256" i="45"/>
  <c r="Y158" i="45"/>
  <c r="P197" i="37"/>
  <c r="Q197" i="37" s="1"/>
  <c r="P372" i="37"/>
  <c r="Q372" i="37" s="1"/>
  <c r="R372" i="37" s="1"/>
  <c r="Y151" i="45"/>
  <c r="Z151" i="45" s="1"/>
  <c r="Y178" i="45"/>
  <c r="Z178" i="45" s="1"/>
  <c r="R231" i="37"/>
  <c r="R155" i="37"/>
  <c r="P235" i="37"/>
  <c r="Q235" i="37" s="1"/>
  <c r="R235" i="37" s="1"/>
  <c r="P311" i="45"/>
  <c r="Q311" i="45"/>
  <c r="R311" i="45" s="1"/>
  <c r="Y171" i="37"/>
  <c r="Z171" i="37" s="1"/>
  <c r="P220" i="37"/>
  <c r="Q220" i="37" s="1"/>
  <c r="R229" i="37"/>
  <c r="S104" i="45"/>
  <c r="AA355" i="48"/>
  <c r="V355" i="48"/>
  <c r="W355" i="48"/>
  <c r="Y268" i="45"/>
  <c r="Z268" i="45" s="1"/>
  <c r="Y401" i="37"/>
  <c r="Z401" i="37" s="1"/>
  <c r="P361" i="37"/>
  <c r="Q361" i="37" s="1"/>
  <c r="Y309" i="37"/>
  <c r="Z309" i="37" s="1"/>
  <c r="P370" i="37"/>
  <c r="Q370" i="37" s="1"/>
  <c r="Y333" i="37"/>
  <c r="Z333" i="37"/>
  <c r="P219" i="37"/>
  <c r="Q219" i="37" s="1"/>
  <c r="P195" i="45"/>
  <c r="Q195" i="45" s="1"/>
  <c r="Y175" i="37"/>
  <c r="Z175" i="37" s="1"/>
  <c r="P123" i="45"/>
  <c r="Q123" i="45" s="1"/>
  <c r="R295" i="37"/>
  <c r="P192" i="37"/>
  <c r="Q192" i="37" s="1"/>
  <c r="R192" i="37" s="1"/>
  <c r="Y319" i="37"/>
  <c r="Z319" i="37"/>
  <c r="Y261" i="45"/>
  <c r="Z261" i="45"/>
  <c r="Y179" i="45"/>
  <c r="Z179" i="45" s="1"/>
  <c r="Y187" i="45"/>
  <c r="Z187" i="45"/>
  <c r="Y209" i="45"/>
  <c r="Z209" i="45" s="1"/>
  <c r="Q340" i="48"/>
  <c r="L340" i="48"/>
  <c r="P299" i="37"/>
  <c r="Q299" i="37" s="1"/>
  <c r="R299" i="37" s="1"/>
  <c r="S122" i="45"/>
  <c r="T122" i="45" s="1"/>
  <c r="P149" i="45"/>
  <c r="Q149" i="45"/>
  <c r="Y249" i="45"/>
  <c r="Z249" i="45" s="1"/>
  <c r="S239" i="45"/>
  <c r="T239" i="45" s="1"/>
  <c r="P312" i="45"/>
  <c r="Q312" i="45"/>
  <c r="R312" i="45" s="1"/>
  <c r="P213" i="37"/>
  <c r="Q213" i="37" s="1"/>
  <c r="R245" i="37"/>
  <c r="Y331" i="37"/>
  <c r="Z331" i="37" s="1"/>
  <c r="Y305" i="37"/>
  <c r="Z305" i="37"/>
  <c r="Y205" i="45"/>
  <c r="Z205" i="45"/>
  <c r="Y229" i="45"/>
  <c r="Z229" i="45" s="1"/>
  <c r="P303" i="45"/>
  <c r="Q303" i="45"/>
  <c r="H14" i="16"/>
  <c r="S19" i="35"/>
  <c r="G343" i="49"/>
  <c r="O343" i="49"/>
  <c r="O342" i="49"/>
  <c r="S303" i="37"/>
  <c r="Y283" i="45"/>
  <c r="Z283" i="45"/>
  <c r="G186" i="35"/>
  <c r="R340" i="48"/>
  <c r="P62" i="48"/>
  <c r="S197" i="49"/>
  <c r="U197" i="49" s="1"/>
  <c r="S230" i="49"/>
  <c r="U230" i="49" s="1"/>
  <c r="L37" i="49"/>
  <c r="Q266" i="49"/>
  <c r="O72" i="16"/>
  <c r="O22" i="39" s="1"/>
  <c r="O20" i="39" s="1"/>
  <c r="O19" i="39" s="1"/>
  <c r="P41" i="35"/>
  <c r="L63" i="48"/>
  <c r="L62" i="48" s="1"/>
  <c r="M63" i="48"/>
  <c r="M62" i="48"/>
  <c r="P56" i="48"/>
  <c r="P52" i="48" s="1"/>
  <c r="R78" i="48"/>
  <c r="R77" i="48"/>
  <c r="K178" i="49"/>
  <c r="K175" i="49" s="1"/>
  <c r="N178" i="49"/>
  <c r="N175" i="49"/>
  <c r="N154" i="49" s="1"/>
  <c r="K242" i="48"/>
  <c r="S246" i="49"/>
  <c r="U246" i="49"/>
  <c r="O293" i="48"/>
  <c r="J71" i="21"/>
  <c r="V11" i="21"/>
  <c r="W322" i="49"/>
  <c r="Y322" i="49"/>
  <c r="L278" i="49"/>
  <c r="K139" i="35"/>
  <c r="L276" i="48"/>
  <c r="J45" i="2"/>
  <c r="O5" i="11"/>
  <c r="K121" i="35"/>
  <c r="T320" i="48"/>
  <c r="U320" i="48"/>
  <c r="S320" i="48"/>
  <c r="T303" i="48"/>
  <c r="G301" i="48"/>
  <c r="H380" i="49"/>
  <c r="H377" i="48"/>
  <c r="G218" i="35"/>
  <c r="F102" i="41"/>
  <c r="G277" i="49"/>
  <c r="G295" i="49"/>
  <c r="S282" i="48"/>
  <c r="U282" i="48"/>
  <c r="T282" i="48"/>
  <c r="S348" i="49"/>
  <c r="U348" i="49" s="1"/>
  <c r="L367" i="48"/>
  <c r="L362" i="48" s="1"/>
  <c r="F333" i="49"/>
  <c r="F318" i="49" s="1"/>
  <c r="F317" i="49" s="1"/>
  <c r="F331" i="48"/>
  <c r="R293" i="48"/>
  <c r="Q293" i="48"/>
  <c r="K46" i="2"/>
  <c r="P5" i="11"/>
  <c r="K366" i="16"/>
  <c r="K365" i="16" s="1"/>
  <c r="K363" i="16" s="1"/>
  <c r="F385" i="49"/>
  <c r="F384" i="49"/>
  <c r="C131" i="22"/>
  <c r="F382" i="48"/>
  <c r="F381" i="48" s="1"/>
  <c r="P380" i="49"/>
  <c r="P378" i="49" s="1"/>
  <c r="P377" i="48"/>
  <c r="P375" i="48" s="1"/>
  <c r="O218" i="35"/>
  <c r="O216" i="35" s="1"/>
  <c r="I36" i="2"/>
  <c r="I102" i="41"/>
  <c r="Q44" i="42"/>
  <c r="U44" i="42" s="1"/>
  <c r="Q36" i="40"/>
  <c r="Q35" i="40" s="1"/>
  <c r="Q33" i="40" s="1"/>
  <c r="M5" i="2"/>
  <c r="K126" i="22"/>
  <c r="F131" i="22"/>
  <c r="I131" i="22"/>
  <c r="O383" i="49"/>
  <c r="O380" i="48"/>
  <c r="N221" i="35"/>
  <c r="AP40" i="22"/>
  <c r="AP26" i="22"/>
  <c r="AP6" i="22" s="1"/>
  <c r="P82" i="20"/>
  <c r="Q82" i="20"/>
  <c r="D158" i="20"/>
  <c r="D137" i="20"/>
  <c r="D135" i="20" s="1"/>
  <c r="D134" i="20" s="1"/>
  <c r="D130" i="20"/>
  <c r="U82" i="20"/>
  <c r="R129" i="22"/>
  <c r="O75" i="20"/>
  <c r="L109" i="18"/>
  <c r="P59" i="18"/>
  <c r="Q31" i="18"/>
  <c r="S253" i="48"/>
  <c r="G250" i="48"/>
  <c r="S250" i="48" s="1"/>
  <c r="R365" i="49"/>
  <c r="O87" i="6"/>
  <c r="O80" i="6"/>
  <c r="E57" i="41"/>
  <c r="E56" i="41" s="1"/>
  <c r="E69" i="42"/>
  <c r="E64" i="41"/>
  <c r="Q383" i="49"/>
  <c r="Q380" i="48"/>
  <c r="P221" i="35"/>
  <c r="K6" i="21"/>
  <c r="K66" i="21" s="1"/>
  <c r="K67" i="21"/>
  <c r="K35" i="21"/>
  <c r="W7" i="21"/>
  <c r="D112" i="18"/>
  <c r="F384" i="16"/>
  <c r="G233" i="35" s="1"/>
  <c r="S248" i="37"/>
  <c r="H43" i="15"/>
  <c r="I43" i="15"/>
  <c r="K19" i="42"/>
  <c r="P352" i="37"/>
  <c r="Q352" i="37"/>
  <c r="Z352" i="37" s="1"/>
  <c r="E351" i="37"/>
  <c r="P351" i="37"/>
  <c r="Q351" i="37"/>
  <c r="Z351" i="37" s="1"/>
  <c r="O20" i="42"/>
  <c r="Y168" i="37"/>
  <c r="Z168" i="37" s="1"/>
  <c r="Y394" i="37"/>
  <c r="Z394" i="37"/>
  <c r="R236" i="45"/>
  <c r="P218" i="37"/>
  <c r="Q218" i="37" s="1"/>
  <c r="Y380" i="45"/>
  <c r="Z380" i="45"/>
  <c r="R191" i="45"/>
  <c r="Y116" i="37"/>
  <c r="Z116" i="37" s="1"/>
  <c r="P304" i="37"/>
  <c r="Q304" i="37" s="1"/>
  <c r="Y186" i="37"/>
  <c r="Z186" i="37" s="1"/>
  <c r="Y348" i="37"/>
  <c r="Z348" i="37" s="1"/>
  <c r="Y282" i="45"/>
  <c r="Z282" i="45" s="1"/>
  <c r="P119" i="37"/>
  <c r="Q119" i="37"/>
  <c r="R233" i="45"/>
  <c r="Z335" i="37"/>
  <c r="R118" i="45"/>
  <c r="R316" i="37"/>
  <c r="R194" i="37"/>
  <c r="P154" i="45"/>
  <c r="Q154" i="45" s="1"/>
  <c r="R383" i="37"/>
  <c r="R154" i="37"/>
  <c r="S187" i="37"/>
  <c r="T187" i="37" s="1"/>
  <c r="U187" i="37" s="1"/>
  <c r="V187" i="37"/>
  <c r="W187" i="37"/>
  <c r="R149" i="37"/>
  <c r="R199" i="37"/>
  <c r="R349" i="37"/>
  <c r="S349" i="37" s="1"/>
  <c r="T349" i="37" s="1"/>
  <c r="R226" i="37"/>
  <c r="V400" i="37"/>
  <c r="S115" i="37"/>
  <c r="T115" i="37" s="1"/>
  <c r="U115" i="37" s="1"/>
  <c r="V115" i="37" s="1"/>
  <c r="W115" i="37" s="1"/>
  <c r="X115" i="37" s="1"/>
  <c r="R358" i="45"/>
  <c r="S176" i="45"/>
  <c r="T176" i="45" s="1"/>
  <c r="U176" i="45" s="1"/>
  <c r="V176" i="45" s="1"/>
  <c r="W176" i="45" s="1"/>
  <c r="X176" i="45" s="1"/>
  <c r="R233" i="37"/>
  <c r="S233" i="37" s="1"/>
  <c r="T233" i="37" s="1"/>
  <c r="S356" i="37"/>
  <c r="T356" i="37" s="1"/>
  <c r="U356" i="37" s="1"/>
  <c r="H317" i="48"/>
  <c r="R174" i="37"/>
  <c r="S116" i="45"/>
  <c r="T116" i="45"/>
  <c r="U116" i="45"/>
  <c r="V116" i="45" s="1"/>
  <c r="W116" i="45" s="1"/>
  <c r="X116" i="45" s="1"/>
  <c r="S183" i="37"/>
  <c r="T183" i="37" s="1"/>
  <c r="U183" i="37" s="1"/>
  <c r="V183" i="37" s="1"/>
  <c r="Y285" i="45"/>
  <c r="Z285" i="45" s="1"/>
  <c r="W393" i="45"/>
  <c r="S180" i="45"/>
  <c r="S267" i="37"/>
  <c r="T267" i="37"/>
  <c r="U267" i="37"/>
  <c r="R374" i="37"/>
  <c r="R150" i="45"/>
  <c r="G341" i="48"/>
  <c r="G340" i="48"/>
  <c r="S296" i="45"/>
  <c r="T296" i="45"/>
  <c r="U296" i="45" s="1"/>
  <c r="V296" i="45" s="1"/>
  <c r="W296" i="45" s="1"/>
  <c r="X296" i="45" s="1"/>
  <c r="S274" i="37"/>
  <c r="T274" i="37" s="1"/>
  <c r="U274" i="37"/>
  <c r="K345" i="49"/>
  <c r="K344" i="49"/>
  <c r="J187" i="35"/>
  <c r="K342" i="48"/>
  <c r="Y231" i="45"/>
  <c r="Z231" i="45" s="1"/>
  <c r="S279" i="45"/>
  <c r="T279" i="45" s="1"/>
  <c r="U279" i="45" s="1"/>
  <c r="V279" i="45" s="1"/>
  <c r="W279" i="45" s="1"/>
  <c r="S294" i="45"/>
  <c r="T294" i="45" s="1"/>
  <c r="U294" i="45" s="1"/>
  <c r="V294" i="45" s="1"/>
  <c r="W294" i="45"/>
  <c r="X294" i="45" s="1"/>
  <c r="M31" i="35"/>
  <c r="K240" i="49"/>
  <c r="H41" i="35"/>
  <c r="S109" i="48"/>
  <c r="S123" i="48"/>
  <c r="S149" i="48"/>
  <c r="H156" i="48"/>
  <c r="H176" i="48"/>
  <c r="H173" i="48" s="1"/>
  <c r="I116" i="48"/>
  <c r="K116" i="48"/>
  <c r="K200" i="48"/>
  <c r="K199" i="48" s="1"/>
  <c r="L238" i="48"/>
  <c r="M116" i="48"/>
  <c r="N200" i="48"/>
  <c r="N199" i="48" s="1"/>
  <c r="O199" i="48"/>
  <c r="P116" i="48"/>
  <c r="P96" i="48" s="1"/>
  <c r="P156" i="48"/>
  <c r="R147" i="48"/>
  <c r="R144" i="48"/>
  <c r="R162" i="48"/>
  <c r="R12" i="49"/>
  <c r="I162" i="48"/>
  <c r="K162" i="48"/>
  <c r="N244" i="49"/>
  <c r="Y274" i="49"/>
  <c r="F21" i="21"/>
  <c r="R21" i="21" s="1"/>
  <c r="G22" i="21"/>
  <c r="F82" i="21"/>
  <c r="R22" i="21"/>
  <c r="I263" i="16"/>
  <c r="Q264" i="16"/>
  <c r="H293" i="48"/>
  <c r="H292" i="48" s="1"/>
  <c r="H291" i="48" s="1"/>
  <c r="U352" i="48"/>
  <c r="S352" i="48"/>
  <c r="T352" i="48"/>
  <c r="P37" i="25"/>
  <c r="S344" i="48"/>
  <c r="T344" i="48"/>
  <c r="U344" i="48"/>
  <c r="S284" i="49"/>
  <c r="U284" i="49" s="1"/>
  <c r="H5" i="2"/>
  <c r="F126" i="22"/>
  <c r="N305" i="49"/>
  <c r="N303" i="48"/>
  <c r="N19" i="10"/>
  <c r="N48" i="10"/>
  <c r="M239" i="35"/>
  <c r="M149" i="35"/>
  <c r="S9" i="10"/>
  <c r="R305" i="49"/>
  <c r="R303" i="49" s="1"/>
  <c r="R303" i="48"/>
  <c r="R301" i="48" s="1"/>
  <c r="R19" i="10"/>
  <c r="Q149" i="35"/>
  <c r="Q147" i="35" s="1"/>
  <c r="R48" i="10"/>
  <c r="Q239" i="35"/>
  <c r="S353" i="48"/>
  <c r="U353" i="48"/>
  <c r="T353" i="48"/>
  <c r="O382" i="49"/>
  <c r="O379" i="48"/>
  <c r="N220" i="35"/>
  <c r="M34" i="2"/>
  <c r="U350" i="48"/>
  <c r="H349" i="48"/>
  <c r="T350" i="48"/>
  <c r="M293" i="48"/>
  <c r="F5" i="2"/>
  <c r="D126" i="22"/>
  <c r="F36" i="2"/>
  <c r="R37" i="42"/>
  <c r="N5" i="2"/>
  <c r="G5" i="2"/>
  <c r="E126" i="22"/>
  <c r="AT6" i="22"/>
  <c r="H66" i="21"/>
  <c r="N66" i="21"/>
  <c r="M66" i="21"/>
  <c r="C66" i="21"/>
  <c r="I59" i="18"/>
  <c r="C109" i="18"/>
  <c r="N93" i="41"/>
  <c r="G375" i="48"/>
  <c r="D48" i="10"/>
  <c r="H57" i="41"/>
  <c r="H56" i="41" s="1"/>
  <c r="H69" i="42"/>
  <c r="H68" i="42" s="1"/>
  <c r="H67" i="42" s="1"/>
  <c r="H64" i="41"/>
  <c r="M30" i="42"/>
  <c r="M29" i="42" s="1"/>
  <c r="T31" i="42"/>
  <c r="F93" i="41"/>
  <c r="E71" i="21"/>
  <c r="Q11" i="21"/>
  <c r="R11" i="21"/>
  <c r="U6" i="21"/>
  <c r="I66" i="21"/>
  <c r="V65" i="22"/>
  <c r="X190" i="35"/>
  <c r="V190" i="35"/>
  <c r="W190" i="35"/>
  <c r="S168" i="45"/>
  <c r="T168" i="45"/>
  <c r="U168" i="45" s="1"/>
  <c r="E177" i="37"/>
  <c r="P178" i="37"/>
  <c r="Q178" i="37" s="1"/>
  <c r="Z178" i="37" s="1"/>
  <c r="R142" i="37"/>
  <c r="S142" i="37" s="1"/>
  <c r="R40" i="42"/>
  <c r="Q40" i="42"/>
  <c r="U40" i="42" s="1"/>
  <c r="R211" i="45"/>
  <c r="R162" i="37"/>
  <c r="R385" i="37"/>
  <c r="P384" i="16"/>
  <c r="Q233" i="35"/>
  <c r="O112" i="18"/>
  <c r="R371" i="37"/>
  <c r="R243" i="37"/>
  <c r="S243" i="37" s="1"/>
  <c r="P204" i="37"/>
  <c r="Q204" i="37" s="1"/>
  <c r="R301" i="37"/>
  <c r="Y257" i="45"/>
  <c r="Z257" i="45" s="1"/>
  <c r="R365" i="45"/>
  <c r="R315" i="45"/>
  <c r="R190" i="45"/>
  <c r="R317" i="45"/>
  <c r="R198" i="45"/>
  <c r="Y115" i="45"/>
  <c r="Z115" i="45" s="1"/>
  <c r="R377" i="45"/>
  <c r="R361" i="45"/>
  <c r="R318" i="37"/>
  <c r="R298" i="45"/>
  <c r="R237" i="37"/>
  <c r="S268" i="37"/>
  <c r="T268" i="37" s="1"/>
  <c r="U268" i="37" s="1"/>
  <c r="V268" i="37" s="1"/>
  <c r="W268" i="37"/>
  <c r="X268" i="37" s="1"/>
  <c r="S297" i="37"/>
  <c r="T297" i="37" s="1"/>
  <c r="U297" i="37" s="1"/>
  <c r="V297" i="37" s="1"/>
  <c r="W297" i="37" s="1"/>
  <c r="X297" i="37" s="1"/>
  <c r="S110" i="45"/>
  <c r="T110" i="45" s="1"/>
  <c r="U110" i="45" s="1"/>
  <c r="P220" i="45"/>
  <c r="Q220" i="45" s="1"/>
  <c r="R220" i="45" s="1"/>
  <c r="P369" i="37"/>
  <c r="Q369" i="37" s="1"/>
  <c r="R380" i="37"/>
  <c r="R214" i="37"/>
  <c r="R228" i="37"/>
  <c r="P363" i="37"/>
  <c r="Q363" i="37" s="1"/>
  <c r="R195" i="37"/>
  <c r="P203" i="37"/>
  <c r="Q203" i="37"/>
  <c r="P356" i="45"/>
  <c r="Q356" i="45" s="1"/>
  <c r="S384" i="37"/>
  <c r="T384" i="37" s="1"/>
  <c r="U384" i="37" s="1"/>
  <c r="V384" i="37" s="1"/>
  <c r="R250" i="45"/>
  <c r="S250" i="45" s="1"/>
  <c r="T250" i="45" s="1"/>
  <c r="U250" i="45" s="1"/>
  <c r="R342" i="45"/>
  <c r="R378" i="45"/>
  <c r="S374" i="45"/>
  <c r="T374" i="45"/>
  <c r="S248" i="45"/>
  <c r="T248" i="45"/>
  <c r="U248" i="45" s="1"/>
  <c r="R297" i="45"/>
  <c r="S297" i="45" s="1"/>
  <c r="R307" i="37"/>
  <c r="R119" i="45"/>
  <c r="R147" i="45"/>
  <c r="Y217" i="45"/>
  <c r="Z217" i="45" s="1"/>
  <c r="S245" i="45"/>
  <c r="T245" i="45" s="1"/>
  <c r="U245" i="45" s="1"/>
  <c r="V245" i="45" s="1"/>
  <c r="W245" i="45" s="1"/>
  <c r="X245" i="45"/>
  <c r="Y245" i="45" s="1"/>
  <c r="Z245" i="45" s="1"/>
  <c r="L135" i="20"/>
  <c r="L134" i="20"/>
  <c r="O138" i="20"/>
  <c r="N343" i="49"/>
  <c r="N342" i="49"/>
  <c r="L343" i="49"/>
  <c r="L342" i="49" s="1"/>
  <c r="S112" i="45"/>
  <c r="T112" i="45"/>
  <c r="U112" i="45" s="1"/>
  <c r="Y234" i="45"/>
  <c r="Z234" i="45"/>
  <c r="S281" i="45"/>
  <c r="T281" i="45" s="1"/>
  <c r="U281" i="45" s="1"/>
  <c r="V281" i="45"/>
  <c r="W281" i="45" s="1"/>
  <c r="X281" i="45" s="1"/>
  <c r="S370" i="45"/>
  <c r="T370" i="45"/>
  <c r="U370" i="45"/>
  <c r="R343" i="49"/>
  <c r="R342" i="49" s="1"/>
  <c r="M22" i="39"/>
  <c r="M20" i="39" s="1"/>
  <c r="M19" i="39" s="1"/>
  <c r="M42" i="16"/>
  <c r="F42" i="16"/>
  <c r="I22" i="39"/>
  <c r="I20" i="39" s="1"/>
  <c r="J22" i="39"/>
  <c r="J20" i="39" s="1"/>
  <c r="P20" i="35"/>
  <c r="P42" i="16"/>
  <c r="P22" i="39"/>
  <c r="P20" i="39" s="1"/>
  <c r="P19" i="39" s="1"/>
  <c r="Q20" i="35"/>
  <c r="G22" i="39"/>
  <c r="G20" i="39"/>
  <c r="G19" i="39" s="1"/>
  <c r="G12" i="42" s="1"/>
  <c r="G42" i="16"/>
  <c r="H20" i="35"/>
  <c r="N22" i="39"/>
  <c r="N20" i="39"/>
  <c r="J200" i="16"/>
  <c r="K90" i="35"/>
  <c r="K88" i="35" s="1"/>
  <c r="R10" i="35"/>
  <c r="H10" i="48"/>
  <c r="S12" i="48"/>
  <c r="Y12" i="48" s="1"/>
  <c r="G24" i="48"/>
  <c r="H22" i="48"/>
  <c r="S23" i="48"/>
  <c r="W27" i="49"/>
  <c r="Y27" i="49"/>
  <c r="U86" i="48"/>
  <c r="S86" i="48"/>
  <c r="T86" i="48"/>
  <c r="I63" i="48"/>
  <c r="S65" i="48"/>
  <c r="AA65" i="48" s="1"/>
  <c r="S80" i="48"/>
  <c r="AA80" i="48" s="1"/>
  <c r="K78" i="48"/>
  <c r="K77" i="48" s="1"/>
  <c r="M56" i="48"/>
  <c r="M52" i="48" s="1"/>
  <c r="S57" i="48"/>
  <c r="AA57" i="48" s="1"/>
  <c r="E205" i="16"/>
  <c r="A64" i="48"/>
  <c r="S81" i="48"/>
  <c r="AA81" i="48"/>
  <c r="G78" i="48"/>
  <c r="L53" i="48"/>
  <c r="L52" i="48" s="1"/>
  <c r="S55" i="48"/>
  <c r="AA55" i="48" s="1"/>
  <c r="N110" i="35"/>
  <c r="M75" i="39"/>
  <c r="M27" i="42" s="1"/>
  <c r="O193" i="16"/>
  <c r="Q196" i="16"/>
  <c r="O164" i="16"/>
  <c r="F66" i="35"/>
  <c r="R67" i="35"/>
  <c r="E393" i="16"/>
  <c r="Q169" i="16"/>
  <c r="E62" i="39"/>
  <c r="N294" i="48"/>
  <c r="H48" i="48"/>
  <c r="S49" i="48"/>
  <c r="AA49" i="48"/>
  <c r="F59" i="35"/>
  <c r="R59" i="35" s="1"/>
  <c r="R60" i="35"/>
  <c r="H25" i="42"/>
  <c r="Q71" i="39"/>
  <c r="D335" i="48"/>
  <c r="D308" i="48"/>
  <c r="Q36" i="35"/>
  <c r="S73" i="49"/>
  <c r="K36" i="35"/>
  <c r="K31" i="35" s="1"/>
  <c r="J74" i="49"/>
  <c r="M78" i="48"/>
  <c r="M77" i="48" s="1"/>
  <c r="O78" i="48"/>
  <c r="O77" i="48" s="1"/>
  <c r="S131" i="49"/>
  <c r="U131" i="49"/>
  <c r="K10" i="48"/>
  <c r="S47" i="48"/>
  <c r="AA47" i="48" s="1"/>
  <c r="J78" i="48"/>
  <c r="J77" i="48" s="1"/>
  <c r="P35" i="48"/>
  <c r="S159" i="49"/>
  <c r="U159" i="49" s="1"/>
  <c r="I202" i="49"/>
  <c r="K149" i="49"/>
  <c r="K146" i="49" s="1"/>
  <c r="L178" i="49"/>
  <c r="L175" i="49" s="1"/>
  <c r="M178" i="49"/>
  <c r="M175" i="49" s="1"/>
  <c r="O158" i="49"/>
  <c r="Q35" i="48"/>
  <c r="R56" i="48"/>
  <c r="P12" i="49"/>
  <c r="G58" i="49"/>
  <c r="S100" i="48"/>
  <c r="S111" i="48"/>
  <c r="S125" i="48"/>
  <c r="S146" i="48"/>
  <c r="S160" i="48"/>
  <c r="S205" i="48"/>
  <c r="H185" i="48"/>
  <c r="H184" i="48" s="1"/>
  <c r="J116" i="48"/>
  <c r="K185" i="48"/>
  <c r="K184" i="48" s="1"/>
  <c r="L147" i="48"/>
  <c r="L144" i="48" s="1"/>
  <c r="L162" i="48"/>
  <c r="M200" i="48"/>
  <c r="M199" i="48" s="1"/>
  <c r="N97" i="48"/>
  <c r="N144" i="48"/>
  <c r="N185" i="48"/>
  <c r="N184" i="48" s="1"/>
  <c r="N180" i="48" s="1"/>
  <c r="O185" i="48"/>
  <c r="O184" i="48" s="1"/>
  <c r="O180" i="48" s="1"/>
  <c r="Q116" i="48"/>
  <c r="Q200" i="48"/>
  <c r="Q199" i="48" s="1"/>
  <c r="R97" i="48"/>
  <c r="P24" i="48"/>
  <c r="P22" i="48" s="1"/>
  <c r="K11" i="35"/>
  <c r="S100" i="49"/>
  <c r="S147" i="49"/>
  <c r="U147" i="49" s="1"/>
  <c r="S206" i="49"/>
  <c r="U206" i="49" s="1"/>
  <c r="S245" i="49"/>
  <c r="U245" i="49"/>
  <c r="J164" i="49"/>
  <c r="F11" i="35"/>
  <c r="R12" i="35"/>
  <c r="S70" i="48"/>
  <c r="I67" i="48"/>
  <c r="H13" i="48"/>
  <c r="G63" i="48"/>
  <c r="S64" i="48"/>
  <c r="AA64" i="48" s="1"/>
  <c r="S46" i="48"/>
  <c r="AA46" i="48" s="1"/>
  <c r="H42" i="48"/>
  <c r="I56" i="48"/>
  <c r="I52" i="48"/>
  <c r="S61" i="48"/>
  <c r="AA61" i="48" s="1"/>
  <c r="S118" i="48"/>
  <c r="G116" i="48"/>
  <c r="S202" i="48"/>
  <c r="G200" i="48"/>
  <c r="H62" i="39"/>
  <c r="H60" i="39" s="1"/>
  <c r="H393" i="16"/>
  <c r="H164" i="16"/>
  <c r="I84" i="35" s="1"/>
  <c r="T96" i="35"/>
  <c r="S96" i="35"/>
  <c r="R96" i="35"/>
  <c r="U96" i="35"/>
  <c r="S91" i="49"/>
  <c r="U91" i="49"/>
  <c r="S157" i="48"/>
  <c r="G156" i="48"/>
  <c r="S270" i="48"/>
  <c r="G267" i="48"/>
  <c r="S267" i="48" s="1"/>
  <c r="F47" i="35"/>
  <c r="R48" i="35"/>
  <c r="H36" i="48"/>
  <c r="S37" i="48"/>
  <c r="AA37" i="48" s="1"/>
  <c r="V209" i="35"/>
  <c r="W209" i="35"/>
  <c r="S87" i="49"/>
  <c r="U87" i="49" s="1"/>
  <c r="F86" i="35"/>
  <c r="E386" i="16"/>
  <c r="E65" i="39"/>
  <c r="S145" i="48"/>
  <c r="S243" i="48"/>
  <c r="G242" i="48"/>
  <c r="K13" i="45"/>
  <c r="K11" i="45"/>
  <c r="K10" i="45" s="1"/>
  <c r="H36" i="35"/>
  <c r="P74" i="49"/>
  <c r="Q41" i="35"/>
  <c r="R38" i="35"/>
  <c r="H11" i="35"/>
  <c r="H9" i="35" s="1"/>
  <c r="H8" i="35" s="1"/>
  <c r="I14" i="35"/>
  <c r="I9" i="35" s="1"/>
  <c r="R27" i="35"/>
  <c r="S129" i="48"/>
  <c r="S158" i="48"/>
  <c r="O116" i="48"/>
  <c r="R155" i="48"/>
  <c r="S66" i="48"/>
  <c r="AA66" i="48" s="1"/>
  <c r="S41" i="48"/>
  <c r="AA41" i="48" s="1"/>
  <c r="L78" i="48"/>
  <c r="L77" i="48" s="1"/>
  <c r="S108" i="48"/>
  <c r="S121" i="48"/>
  <c r="S143" i="48"/>
  <c r="S266" i="48"/>
  <c r="I147" i="48"/>
  <c r="I144" i="48" s="1"/>
  <c r="I95" i="48" s="1"/>
  <c r="I200" i="48"/>
  <c r="I199" i="48"/>
  <c r="K147" i="48"/>
  <c r="L176" i="48"/>
  <c r="L173" i="48"/>
  <c r="M156" i="48"/>
  <c r="M176" i="48"/>
  <c r="M173" i="48" s="1"/>
  <c r="O156" i="48"/>
  <c r="P176" i="48"/>
  <c r="P173" i="48"/>
  <c r="Q97" i="48"/>
  <c r="R200" i="48"/>
  <c r="R199" i="48" s="1"/>
  <c r="Q63" i="48"/>
  <c r="Q62" i="48" s="1"/>
  <c r="J11" i="35"/>
  <c r="L11" i="35"/>
  <c r="N11" i="35"/>
  <c r="P11" i="35"/>
  <c r="Q14" i="35"/>
  <c r="L24" i="48"/>
  <c r="L22" i="48" s="1"/>
  <c r="O24" i="48"/>
  <c r="O22" i="48" s="1"/>
  <c r="S84" i="48"/>
  <c r="AA84" i="48" s="1"/>
  <c r="E72" i="16"/>
  <c r="L12" i="49"/>
  <c r="S110" i="48"/>
  <c r="S124" i="48"/>
  <c r="S159" i="48"/>
  <c r="S204" i="48"/>
  <c r="I97" i="48"/>
  <c r="I185" i="48"/>
  <c r="I184" i="48" s="1"/>
  <c r="I180" i="48" s="1"/>
  <c r="J147" i="48"/>
  <c r="J144" i="48"/>
  <c r="J162" i="48"/>
  <c r="K144" i="48"/>
  <c r="L185" i="48"/>
  <c r="L184" i="48"/>
  <c r="M97" i="48"/>
  <c r="P200" i="48"/>
  <c r="P199" i="48"/>
  <c r="Q156" i="48"/>
  <c r="R116" i="48"/>
  <c r="S169" i="48"/>
  <c r="G36" i="48"/>
  <c r="Y20" i="49"/>
  <c r="V20" i="49"/>
  <c r="W20" i="49"/>
  <c r="F14" i="35"/>
  <c r="F9" i="35" s="1"/>
  <c r="G56" i="48"/>
  <c r="S60" i="48"/>
  <c r="AA60" i="48" s="1"/>
  <c r="S87" i="48"/>
  <c r="U87" i="48"/>
  <c r="U85" i="48"/>
  <c r="S85" i="48"/>
  <c r="H90" i="35"/>
  <c r="G200" i="16"/>
  <c r="S9" i="48"/>
  <c r="F36" i="35"/>
  <c r="G187" i="49"/>
  <c r="K24" i="48"/>
  <c r="S26" i="48"/>
  <c r="J36" i="48"/>
  <c r="J35" i="48"/>
  <c r="S39" i="48"/>
  <c r="T39" i="48"/>
  <c r="U39" i="48"/>
  <c r="I393" i="16"/>
  <c r="I164" i="16"/>
  <c r="I62" i="39"/>
  <c r="U169" i="16"/>
  <c r="L393" i="16"/>
  <c r="L62" i="39"/>
  <c r="L60" i="39" s="1"/>
  <c r="L164" i="16"/>
  <c r="F22" i="35"/>
  <c r="R23" i="35"/>
  <c r="F32" i="35"/>
  <c r="R33" i="35"/>
  <c r="G164" i="49"/>
  <c r="G157" i="49"/>
  <c r="G154" i="49" s="1"/>
  <c r="S165" i="49"/>
  <c r="U165" i="49" s="1"/>
  <c r="G242" i="49"/>
  <c r="S243" i="49"/>
  <c r="U243" i="49" s="1"/>
  <c r="K62" i="39"/>
  <c r="K60" i="39" s="1"/>
  <c r="K393" i="16"/>
  <c r="K164" i="16"/>
  <c r="S177" i="48"/>
  <c r="G176" i="48"/>
  <c r="L20" i="35"/>
  <c r="K22" i="39"/>
  <c r="K20" i="39"/>
  <c r="K19" i="39" s="1"/>
  <c r="K42" i="16"/>
  <c r="G97" i="48"/>
  <c r="S98" i="48"/>
  <c r="S239" i="49"/>
  <c r="U239" i="49" s="1"/>
  <c r="G233" i="49"/>
  <c r="F56" i="39"/>
  <c r="V208" i="35"/>
  <c r="L41" i="35"/>
  <c r="F41" i="35"/>
  <c r="G36" i="35"/>
  <c r="G31" i="35" s="1"/>
  <c r="P78" i="48"/>
  <c r="P77" i="48"/>
  <c r="S128" i="49"/>
  <c r="U128" i="49" s="1"/>
  <c r="I178" i="49"/>
  <c r="I175" i="49" s="1"/>
  <c r="K158" i="49"/>
  <c r="O164" i="49"/>
  <c r="Q56" i="48"/>
  <c r="Q52" i="48" s="1"/>
  <c r="Q34" i="48" s="1"/>
  <c r="K12" i="49"/>
  <c r="O12" i="49"/>
  <c r="S104" i="48"/>
  <c r="S120" i="48"/>
  <c r="S131" i="48"/>
  <c r="S151" i="48"/>
  <c r="H97" i="48"/>
  <c r="H144" i="48"/>
  <c r="J185" i="48"/>
  <c r="J184" i="48" s="1"/>
  <c r="L156" i="48"/>
  <c r="L155" i="48" s="1"/>
  <c r="L152" i="48" s="1"/>
  <c r="O238" i="48"/>
  <c r="O230" i="48" s="1"/>
  <c r="P144" i="48"/>
  <c r="R24" i="48"/>
  <c r="R22" i="48"/>
  <c r="S82" i="48"/>
  <c r="AA82" i="48" s="1"/>
  <c r="J14" i="35"/>
  <c r="K14" i="35"/>
  <c r="N14" i="35"/>
  <c r="N9" i="35" s="1"/>
  <c r="O14" i="35"/>
  <c r="S132" i="49"/>
  <c r="U132" i="49" s="1"/>
  <c r="S170" i="49"/>
  <c r="U170" i="49"/>
  <c r="J158" i="49"/>
  <c r="Q149" i="49"/>
  <c r="Q146" i="49" s="1"/>
  <c r="I10" i="48"/>
  <c r="I8" i="48" s="1"/>
  <c r="I7" i="48" s="1"/>
  <c r="S11" i="48"/>
  <c r="S50" i="48"/>
  <c r="AA50" i="48"/>
  <c r="G48" i="48"/>
  <c r="T89" i="48"/>
  <c r="S89" i="48"/>
  <c r="U89" i="48"/>
  <c r="S79" i="48"/>
  <c r="AA79" i="48" s="1"/>
  <c r="H78" i="48"/>
  <c r="H77" i="48"/>
  <c r="J56" i="48"/>
  <c r="J52" i="48" s="1"/>
  <c r="S58" i="48"/>
  <c r="AA58" i="48"/>
  <c r="E75" i="39"/>
  <c r="F110" i="35"/>
  <c r="G185" i="48"/>
  <c r="S189" i="48"/>
  <c r="G227" i="48"/>
  <c r="S227" i="48" s="1"/>
  <c r="S228" i="48"/>
  <c r="K53" i="48"/>
  <c r="S54" i="48"/>
  <c r="AA54" i="48" s="1"/>
  <c r="G164" i="16"/>
  <c r="G393" i="16"/>
  <c r="G62" i="39"/>
  <c r="I75" i="39"/>
  <c r="I27" i="42" s="1"/>
  <c r="J110" i="35"/>
  <c r="J75" i="39"/>
  <c r="J27" i="42" s="1"/>
  <c r="K110" i="35"/>
  <c r="M164" i="16"/>
  <c r="M62" i="39"/>
  <c r="M60" i="39" s="1"/>
  <c r="M393" i="16"/>
  <c r="Q110" i="35"/>
  <c r="P75" i="39"/>
  <c r="P27" i="42" s="1"/>
  <c r="S66" i="49"/>
  <c r="G65" i="49"/>
  <c r="G64" i="49" s="1"/>
  <c r="S88" i="49"/>
  <c r="U88" i="49" s="1"/>
  <c r="S148" i="48"/>
  <c r="G147" i="48"/>
  <c r="G162" i="48"/>
  <c r="S163" i="48"/>
  <c r="G240" i="48"/>
  <c r="S241" i="48"/>
  <c r="P294" i="48"/>
  <c r="F25" i="35"/>
  <c r="R26" i="35"/>
  <c r="G44" i="49"/>
  <c r="A66" i="49"/>
  <c r="S67" i="49"/>
  <c r="S237" i="48"/>
  <c r="G231" i="48"/>
  <c r="G9" i="42"/>
  <c r="J48" i="42"/>
  <c r="F72" i="39"/>
  <c r="U203" i="35"/>
  <c r="R19" i="42"/>
  <c r="H13" i="42"/>
  <c r="S78" i="49"/>
  <c r="Y78" i="49" s="1"/>
  <c r="G74" i="49"/>
  <c r="N41" i="35"/>
  <c r="I31" i="35"/>
  <c r="N36" i="35"/>
  <c r="J36" i="35"/>
  <c r="N22" i="48"/>
  <c r="N7" i="48" s="1"/>
  <c r="R24" i="35"/>
  <c r="K22" i="48"/>
  <c r="S83" i="48"/>
  <c r="AA83" i="48" s="1"/>
  <c r="N78" i="48"/>
  <c r="N77" i="48" s="1"/>
  <c r="Q78" i="48"/>
  <c r="Q77" i="48"/>
  <c r="G55" i="49"/>
  <c r="S101" i="48"/>
  <c r="S112" i="48"/>
  <c r="S126" i="48"/>
  <c r="S195" i="48"/>
  <c r="I156" i="48"/>
  <c r="I176" i="48"/>
  <c r="I173" i="48" s="1"/>
  <c r="J97" i="48"/>
  <c r="K97" i="48"/>
  <c r="K156" i="48"/>
  <c r="L97" i="48"/>
  <c r="L116" i="48"/>
  <c r="L200" i="48"/>
  <c r="L199" i="48" s="1"/>
  <c r="M147" i="48"/>
  <c r="M144" i="48"/>
  <c r="M162" i="48"/>
  <c r="O147" i="48"/>
  <c r="O144" i="48" s="1"/>
  <c r="O162" i="48"/>
  <c r="L230" i="48"/>
  <c r="L14" i="35"/>
  <c r="O11" i="35"/>
  <c r="P14" i="35"/>
  <c r="S127" i="49"/>
  <c r="U127" i="49" s="1"/>
  <c r="L149" i="49"/>
  <c r="L146" i="49"/>
  <c r="L36" i="35"/>
  <c r="S119" i="48"/>
  <c r="S130" i="48"/>
  <c r="S150" i="48"/>
  <c r="S168" i="48"/>
  <c r="H116" i="48"/>
  <c r="J156" i="48"/>
  <c r="J155" i="48" s="1"/>
  <c r="J176" i="48"/>
  <c r="J173" i="48" s="1"/>
  <c r="N116" i="48"/>
  <c r="O97" i="48"/>
  <c r="P185" i="48"/>
  <c r="P184" i="48" s="1"/>
  <c r="Q147" i="48"/>
  <c r="Q144" i="48" s="1"/>
  <c r="Q162" i="48"/>
  <c r="R185" i="48"/>
  <c r="R184" i="48" s="1"/>
  <c r="R180" i="48" s="1"/>
  <c r="G146" i="49"/>
  <c r="Y93" i="49"/>
  <c r="D309" i="49"/>
  <c r="L186" i="49"/>
  <c r="U82" i="49"/>
  <c r="U49" i="49"/>
  <c r="N182" i="49"/>
  <c r="Y354" i="49"/>
  <c r="K36" i="49"/>
  <c r="Q9" i="18"/>
  <c r="O131" i="20"/>
  <c r="O34" i="21"/>
  <c r="AA34" i="21" s="1"/>
  <c r="AA38" i="21" s="1"/>
  <c r="AA6" i="21"/>
  <c r="W330" i="48"/>
  <c r="G382" i="48"/>
  <c r="G381" i="48" s="1"/>
  <c r="S131" i="22"/>
  <c r="I96" i="48"/>
  <c r="P17" i="37"/>
  <c r="Q17" i="37" s="1"/>
  <c r="N11" i="37"/>
  <c r="N16" i="37"/>
  <c r="P16" i="37" s="1"/>
  <c r="I384" i="16"/>
  <c r="J233" i="35" s="1"/>
  <c r="W99" i="18"/>
  <c r="G112" i="18"/>
  <c r="C131" i="20"/>
  <c r="S136" i="20" s="1"/>
  <c r="S135" i="20"/>
  <c r="J379" i="49"/>
  <c r="I217" i="35"/>
  <c r="I140" i="35"/>
  <c r="I138" i="35" s="1"/>
  <c r="H44" i="2"/>
  <c r="J376" i="48"/>
  <c r="T142" i="45"/>
  <c r="U142" i="45" s="1"/>
  <c r="V142" i="45" s="1"/>
  <c r="W142" i="45" s="1"/>
  <c r="X142" i="45" s="1"/>
  <c r="S121" i="35"/>
  <c r="D24" i="45"/>
  <c r="D22" i="45" s="1"/>
  <c r="F120" i="35"/>
  <c r="F116" i="35"/>
  <c r="P18" i="37"/>
  <c r="Q18" i="37" s="1"/>
  <c r="N12" i="37"/>
  <c r="P12" i="37" s="1"/>
  <c r="Q12" i="37" s="1"/>
  <c r="K380" i="49"/>
  <c r="K378" i="49" s="1"/>
  <c r="K377" i="48"/>
  <c r="J218" i="35"/>
  <c r="J216" i="35" s="1"/>
  <c r="F156" i="20"/>
  <c r="D161" i="20"/>
  <c r="D163" i="20" s="1"/>
  <c r="O24" i="45"/>
  <c r="O22" i="45"/>
  <c r="L279" i="49"/>
  <c r="L277" i="48"/>
  <c r="L275" i="48" s="1"/>
  <c r="L271" i="48" s="1"/>
  <c r="L48" i="10"/>
  <c r="K239" i="35"/>
  <c r="K122" i="35"/>
  <c r="J21" i="21"/>
  <c r="J83" i="21"/>
  <c r="V23" i="21"/>
  <c r="AB23" i="21" s="1"/>
  <c r="W23" i="21"/>
  <c r="K12" i="45"/>
  <c r="Z252" i="45"/>
  <c r="O93" i="42"/>
  <c r="O89" i="41"/>
  <c r="F193" i="35"/>
  <c r="F184" i="35"/>
  <c r="F183" i="35" s="1"/>
  <c r="G358" i="48"/>
  <c r="G354" i="48" s="1"/>
  <c r="P190" i="37"/>
  <c r="Q190" i="37" s="1"/>
  <c r="R190" i="37" s="1"/>
  <c r="S190" i="37" s="1"/>
  <c r="Y291" i="45"/>
  <c r="Z291" i="45" s="1"/>
  <c r="H24" i="45"/>
  <c r="I155" i="48"/>
  <c r="T357" i="49"/>
  <c r="T356" i="49" s="1"/>
  <c r="T355" i="49" s="1"/>
  <c r="T350" i="49" s="1"/>
  <c r="T341" i="49" s="1"/>
  <c r="T340" i="49" s="1"/>
  <c r="T358" i="49"/>
  <c r="S141" i="45"/>
  <c r="T141" i="45"/>
  <c r="H384" i="16"/>
  <c r="I233" i="35" s="1"/>
  <c r="F112" i="18"/>
  <c r="E49" i="41"/>
  <c r="E48" i="41" s="1"/>
  <c r="E38" i="2"/>
  <c r="K217" i="35"/>
  <c r="K216" i="35" s="1"/>
  <c r="L379" i="49"/>
  <c r="L296" i="49" s="1"/>
  <c r="L294" i="49" s="1"/>
  <c r="L376" i="48"/>
  <c r="K140" i="35"/>
  <c r="Q122" i="35"/>
  <c r="Q120" i="35"/>
  <c r="Q116" i="35" s="1"/>
  <c r="R279" i="49"/>
  <c r="R277" i="49" s="1"/>
  <c r="R277" i="48"/>
  <c r="R275" i="48"/>
  <c r="R271" i="48" s="1"/>
  <c r="N140" i="35"/>
  <c r="N138" i="35" s="1"/>
  <c r="N137" i="35" s="1"/>
  <c r="N217" i="35"/>
  <c r="O376" i="48"/>
  <c r="O294" i="48" s="1"/>
  <c r="O292" i="48" s="1"/>
  <c r="O291" i="48" s="1"/>
  <c r="O379" i="49"/>
  <c r="O296" i="49" s="1"/>
  <c r="M44" i="2"/>
  <c r="M38" i="2" s="1"/>
  <c r="B131" i="20"/>
  <c r="R136" i="20" s="1"/>
  <c r="C121" i="18"/>
  <c r="Q121" i="18" s="1"/>
  <c r="D17" i="45"/>
  <c r="D11" i="45"/>
  <c r="I58" i="18"/>
  <c r="C176" i="20"/>
  <c r="N135" i="35"/>
  <c r="O289" i="48"/>
  <c r="M14" i="40"/>
  <c r="O291" i="49"/>
  <c r="G16" i="45"/>
  <c r="H31" i="35"/>
  <c r="Y111" i="37"/>
  <c r="Z111" i="37" s="1"/>
  <c r="Y320" i="37"/>
  <c r="Z320" i="37"/>
  <c r="S102" i="45"/>
  <c r="T102" i="45" s="1"/>
  <c r="U102" i="45" s="1"/>
  <c r="V102" i="45"/>
  <c r="W102" i="45" s="1"/>
  <c r="X102" i="45" s="1"/>
  <c r="S278" i="45"/>
  <c r="T278" i="45" s="1"/>
  <c r="N384" i="16"/>
  <c r="O233" i="35" s="1"/>
  <c r="O245" i="35" s="1"/>
  <c r="M112" i="18"/>
  <c r="L384" i="16"/>
  <c r="M233" i="35" s="1"/>
  <c r="K112" i="18"/>
  <c r="J147" i="35"/>
  <c r="T147" i="35"/>
  <c r="T149" i="35"/>
  <c r="S155" i="45"/>
  <c r="T155" i="45" s="1"/>
  <c r="M290" i="49"/>
  <c r="M289" i="49" s="1"/>
  <c r="L134" i="35"/>
  <c r="L133" i="35" s="1"/>
  <c r="K3" i="2"/>
  <c r="K13" i="40"/>
  <c r="K12" i="40" s="1"/>
  <c r="M288" i="48"/>
  <c r="M287" i="48" s="1"/>
  <c r="M279" i="49"/>
  <c r="M277" i="49" s="1"/>
  <c r="M273" i="49" s="1"/>
  <c r="M277" i="48"/>
  <c r="M275" i="48" s="1"/>
  <c r="M271" i="48" s="1"/>
  <c r="M48" i="10"/>
  <c r="L239" i="35" s="1"/>
  <c r="L122" i="35"/>
  <c r="L120" i="35"/>
  <c r="L116" i="35" s="1"/>
  <c r="G356" i="49"/>
  <c r="G355" i="49" s="1"/>
  <c r="P239" i="37"/>
  <c r="Q239" i="37"/>
  <c r="R239" i="37"/>
  <c r="S305" i="45"/>
  <c r="T305" i="45"/>
  <c r="Y330" i="37"/>
  <c r="Z330" i="37"/>
  <c r="Y391" i="37"/>
  <c r="Z391" i="37" s="1"/>
  <c r="Y345" i="45"/>
  <c r="Z345" i="45"/>
  <c r="I38" i="2"/>
  <c r="I49" i="41"/>
  <c r="I48" i="41" s="1"/>
  <c r="Y287" i="37"/>
  <c r="Z287" i="37"/>
  <c r="P367" i="37"/>
  <c r="Q367" i="37" s="1"/>
  <c r="R367" i="37" s="1"/>
  <c r="S367" i="37" s="1"/>
  <c r="Y271" i="45"/>
  <c r="Z271" i="45"/>
  <c r="P196" i="37"/>
  <c r="Q196" i="37" s="1"/>
  <c r="R196" i="37" s="1"/>
  <c r="Y172" i="37"/>
  <c r="Z172" i="37"/>
  <c r="P250" i="37"/>
  <c r="Q250" i="37"/>
  <c r="Y113" i="45"/>
  <c r="Z113" i="45"/>
  <c r="H35" i="48"/>
  <c r="Q30" i="16"/>
  <c r="E31" i="39"/>
  <c r="G31" i="39"/>
  <c r="G13" i="42" s="1"/>
  <c r="Q37" i="39"/>
  <c r="Q8" i="39"/>
  <c r="M49" i="39"/>
  <c r="M21" i="42"/>
  <c r="M18" i="42"/>
  <c r="AA321" i="48"/>
  <c r="Y321" i="48"/>
  <c r="W321" i="48"/>
  <c r="V321" i="48"/>
  <c r="E29" i="42"/>
  <c r="R30" i="42"/>
  <c r="S30" i="42"/>
  <c r="V91" i="48"/>
  <c r="W91" i="48"/>
  <c r="AA91" i="48"/>
  <c r="I21" i="42"/>
  <c r="N14" i="16"/>
  <c r="N7" i="16"/>
  <c r="O42" i="16"/>
  <c r="Q31" i="42"/>
  <c r="U31" i="42" s="1"/>
  <c r="N157" i="49"/>
  <c r="L157" i="49"/>
  <c r="L154" i="49" s="1"/>
  <c r="Y86" i="49"/>
  <c r="G14" i="16"/>
  <c r="G13" i="16"/>
  <c r="G7" i="16"/>
  <c r="F24" i="39"/>
  <c r="O9" i="35"/>
  <c r="K157" i="49"/>
  <c r="F13" i="16"/>
  <c r="L13" i="16"/>
  <c r="L7" i="16"/>
  <c r="M13" i="45"/>
  <c r="M11" i="45"/>
  <c r="M10" i="45" s="1"/>
  <c r="O14" i="16"/>
  <c r="O13" i="16" s="1"/>
  <c r="O7" i="16"/>
  <c r="M14" i="16"/>
  <c r="M13" i="16" s="1"/>
  <c r="M7" i="16"/>
  <c r="E12" i="39"/>
  <c r="Q15" i="39"/>
  <c r="G47" i="41"/>
  <c r="G60" i="42"/>
  <c r="G59" i="42" s="1"/>
  <c r="K7" i="16"/>
  <c r="K14" i="16"/>
  <c r="AA28" i="48"/>
  <c r="Y28" i="48"/>
  <c r="K13" i="16"/>
  <c r="K96" i="48"/>
  <c r="S48" i="48"/>
  <c r="AA48" i="48" s="1"/>
  <c r="Y67" i="49"/>
  <c r="Y41" i="49"/>
  <c r="Y66" i="49"/>
  <c r="U78" i="49"/>
  <c r="V73" i="49" s="1"/>
  <c r="W11" i="49"/>
  <c r="Y71" i="49"/>
  <c r="Y353" i="49"/>
  <c r="U353" i="49"/>
  <c r="Y13" i="49"/>
  <c r="M157" i="49"/>
  <c r="M154" i="49" s="1"/>
  <c r="K182" i="49"/>
  <c r="L9" i="35"/>
  <c r="O31" i="35"/>
  <c r="P9" i="35"/>
  <c r="P8" i="35" s="1"/>
  <c r="D313" i="49"/>
  <c r="R64" i="49"/>
  <c r="G54" i="49"/>
  <c r="W13" i="49"/>
  <c r="I157" i="49"/>
  <c r="I154" i="49" s="1"/>
  <c r="I64" i="49"/>
  <c r="Y374" i="49"/>
  <c r="S307" i="37"/>
  <c r="T307" i="37" s="1"/>
  <c r="U307" i="37" s="1"/>
  <c r="V307" i="37"/>
  <c r="W307" i="37" s="1"/>
  <c r="X307" i="37" s="1"/>
  <c r="T297" i="45"/>
  <c r="U297" i="45" s="1"/>
  <c r="V297" i="45" s="1"/>
  <c r="W297" i="45" s="1"/>
  <c r="X297" i="45" s="1"/>
  <c r="Y297" i="45" s="1"/>
  <c r="Z297" i="45" s="1"/>
  <c r="S342" i="45"/>
  <c r="T342" i="45" s="1"/>
  <c r="R356" i="45"/>
  <c r="R363" i="37"/>
  <c r="S191" i="37"/>
  <c r="T191" i="37" s="1"/>
  <c r="U191" i="37" s="1"/>
  <c r="V191" i="37"/>
  <c r="W191" i="37" s="1"/>
  <c r="X191" i="37" s="1"/>
  <c r="S380" i="37"/>
  <c r="T380" i="37"/>
  <c r="S298" i="45"/>
  <c r="T298" i="45" s="1"/>
  <c r="U298" i="45" s="1"/>
  <c r="V298" i="45" s="1"/>
  <c r="W298" i="45"/>
  <c r="X298" i="45" s="1"/>
  <c r="U367" i="45"/>
  <c r="V367" i="45" s="1"/>
  <c r="W367" i="45" s="1"/>
  <c r="X367" i="45" s="1"/>
  <c r="S377" i="45"/>
  <c r="S223" i="45"/>
  <c r="T223" i="45" s="1"/>
  <c r="U223" i="45" s="1"/>
  <c r="V223" i="45" s="1"/>
  <c r="W223" i="45" s="1"/>
  <c r="X223" i="45" s="1"/>
  <c r="S193" i="45"/>
  <c r="T193" i="45" s="1"/>
  <c r="U193" i="45" s="1"/>
  <c r="V193" i="45" s="1"/>
  <c r="W193" i="45"/>
  <c r="X193" i="45" s="1"/>
  <c r="S208" i="45"/>
  <c r="S376" i="45"/>
  <c r="T376" i="45" s="1"/>
  <c r="U376" i="45" s="1"/>
  <c r="V376" i="45" s="1"/>
  <c r="W376" i="45"/>
  <c r="X376" i="45" s="1"/>
  <c r="S162" i="37"/>
  <c r="T162" i="37" s="1"/>
  <c r="U162" i="37" s="1"/>
  <c r="V162" i="37" s="1"/>
  <c r="W162" i="37" s="1"/>
  <c r="X162" i="37" s="1"/>
  <c r="S211" i="45"/>
  <c r="T211" i="45" s="1"/>
  <c r="U211" i="45" s="1"/>
  <c r="V211" i="45" s="1"/>
  <c r="W211" i="45"/>
  <c r="X211" i="45" s="1"/>
  <c r="F89" i="42"/>
  <c r="F85" i="41"/>
  <c r="D51" i="10"/>
  <c r="D88" i="10"/>
  <c r="D86" i="10"/>
  <c r="N89" i="42"/>
  <c r="N380" i="49"/>
  <c r="N378" i="49" s="1"/>
  <c r="N377" i="48"/>
  <c r="M218" i="35"/>
  <c r="M216" i="35"/>
  <c r="L102" i="41"/>
  <c r="J290" i="49"/>
  <c r="J289" i="49" s="1"/>
  <c r="I134" i="35"/>
  <c r="I133" i="35" s="1"/>
  <c r="H3" i="2"/>
  <c r="H13" i="40"/>
  <c r="H12" i="40" s="1"/>
  <c r="J288" i="48"/>
  <c r="J287" i="48"/>
  <c r="V344" i="48"/>
  <c r="W344" i="48"/>
  <c r="AA344" i="48"/>
  <c r="F81" i="21"/>
  <c r="S308" i="45"/>
  <c r="T308" i="45" s="1"/>
  <c r="U308" i="45"/>
  <c r="V308" i="45" s="1"/>
  <c r="W308" i="45" s="1"/>
  <c r="X308" i="45" s="1"/>
  <c r="S150" i="45"/>
  <c r="T150" i="45" s="1"/>
  <c r="U150" i="45" s="1"/>
  <c r="V150" i="45" s="1"/>
  <c r="W150" i="45" s="1"/>
  <c r="S358" i="45"/>
  <c r="S226" i="37"/>
  <c r="T226" i="37" s="1"/>
  <c r="U226" i="37"/>
  <c r="V226" i="37" s="1"/>
  <c r="W226" i="37" s="1"/>
  <c r="X226" i="37" s="1"/>
  <c r="S194" i="37"/>
  <c r="T194" i="37" s="1"/>
  <c r="U194" i="37" s="1"/>
  <c r="V194" i="37" s="1"/>
  <c r="W194" i="37" s="1"/>
  <c r="X194" i="37" s="1"/>
  <c r="S232" i="45"/>
  <c r="S362" i="37"/>
  <c r="T362" i="37" s="1"/>
  <c r="U362" i="37" s="1"/>
  <c r="R218" i="37"/>
  <c r="G245" i="35"/>
  <c r="W35" i="21"/>
  <c r="L18" i="45"/>
  <c r="L12" i="45" s="1"/>
  <c r="L199" i="35"/>
  <c r="K93" i="41"/>
  <c r="H199" i="35"/>
  <c r="Q130" i="20"/>
  <c r="Q131" i="20"/>
  <c r="J383" i="49"/>
  <c r="J380" i="48"/>
  <c r="I221" i="35"/>
  <c r="O290" i="49"/>
  <c r="O289" i="49" s="1"/>
  <c r="N134" i="35"/>
  <c r="M13" i="40"/>
  <c r="M12" i="40"/>
  <c r="M3" i="2"/>
  <c r="O288" i="48"/>
  <c r="I97" i="42"/>
  <c r="I94" i="42"/>
  <c r="I98" i="41"/>
  <c r="G383" i="49"/>
  <c r="G380" i="48"/>
  <c r="F221" i="35"/>
  <c r="H378" i="49"/>
  <c r="G342" i="49"/>
  <c r="S229" i="37"/>
  <c r="T229" i="37" s="1"/>
  <c r="U229" i="37" s="1"/>
  <c r="V229" i="37" s="1"/>
  <c r="W229" i="37" s="1"/>
  <c r="R375" i="45"/>
  <c r="S238" i="45"/>
  <c r="T238" i="45"/>
  <c r="R290" i="49"/>
  <c r="Q134" i="35"/>
  <c r="Q133" i="35"/>
  <c r="P13" i="40"/>
  <c r="P12" i="40" s="1"/>
  <c r="P3" i="2"/>
  <c r="R288" i="48"/>
  <c r="R287" i="48"/>
  <c r="K138" i="35"/>
  <c r="K137" i="35" s="1"/>
  <c r="O97" i="42"/>
  <c r="O94" i="42" s="1"/>
  <c r="O98" i="41"/>
  <c r="W371" i="48"/>
  <c r="AA371" i="48"/>
  <c r="V371" i="48"/>
  <c r="Y371" i="48"/>
  <c r="F59" i="42"/>
  <c r="S244" i="45"/>
  <c r="T244" i="45" s="1"/>
  <c r="U244" i="45" s="1"/>
  <c r="V244" i="45"/>
  <c r="W244" i="45" s="1"/>
  <c r="X244" i="45" s="1"/>
  <c r="S306" i="45"/>
  <c r="T306" i="45"/>
  <c r="U306" i="45" s="1"/>
  <c r="V306" i="45" s="1"/>
  <c r="W306" i="45" s="1"/>
  <c r="X306" i="45" s="1"/>
  <c r="Y306" i="45" s="1"/>
  <c r="Z306" i="45" s="1"/>
  <c r="S216" i="37"/>
  <c r="T216" i="37" s="1"/>
  <c r="U216" i="37" s="1"/>
  <c r="V216" i="37"/>
  <c r="W216" i="37" s="1"/>
  <c r="X216" i="37" s="1"/>
  <c r="S120" i="37"/>
  <c r="T120" i="37" s="1"/>
  <c r="U120" i="37" s="1"/>
  <c r="V120" i="37"/>
  <c r="W120" i="37" s="1"/>
  <c r="X120" i="37" s="1"/>
  <c r="S246" i="37"/>
  <c r="T246" i="37"/>
  <c r="U246" i="37" s="1"/>
  <c r="V246" i="37" s="1"/>
  <c r="W246" i="37" s="1"/>
  <c r="X246" i="37" s="1"/>
  <c r="Y246" i="37" s="1"/>
  <c r="Z246" i="37" s="1"/>
  <c r="S242" i="37"/>
  <c r="T242" i="37"/>
  <c r="U242" i="37"/>
  <c r="S300" i="37"/>
  <c r="T300" i="37"/>
  <c r="U300" i="37"/>
  <c r="V300" i="37" s="1"/>
  <c r="W300" i="37" s="1"/>
  <c r="X300" i="37" s="1"/>
  <c r="S196" i="37"/>
  <c r="T196" i="37" s="1"/>
  <c r="U196" i="37" s="1"/>
  <c r="V196" i="37" s="1"/>
  <c r="W196" i="37"/>
  <c r="X196" i="37" s="1"/>
  <c r="R336" i="45"/>
  <c r="S193" i="37"/>
  <c r="T193" i="37"/>
  <c r="R210" i="45"/>
  <c r="Y165" i="37"/>
  <c r="Z165" i="37" s="1"/>
  <c r="E22" i="45"/>
  <c r="S373" i="45"/>
  <c r="T373" i="45"/>
  <c r="U373" i="45" s="1"/>
  <c r="V373" i="45" s="1"/>
  <c r="W373" i="45" s="1"/>
  <c r="X373" i="45"/>
  <c r="Y373" i="45" s="1"/>
  <c r="Z373" i="45" s="1"/>
  <c r="O96" i="48"/>
  <c r="O95" i="48" s="1"/>
  <c r="K95" i="48"/>
  <c r="N31" i="35"/>
  <c r="Y119" i="45"/>
  <c r="Z119" i="45" s="1"/>
  <c r="S119" i="45"/>
  <c r="T119" i="45"/>
  <c r="U119" i="45"/>
  <c r="V119" i="45" s="1"/>
  <c r="W119" i="45" s="1"/>
  <c r="X119" i="45" s="1"/>
  <c r="S221" i="37"/>
  <c r="S364" i="37"/>
  <c r="T364" i="37" s="1"/>
  <c r="U364" i="37" s="1"/>
  <c r="V364" i="37" s="1"/>
  <c r="W364" i="37"/>
  <c r="X364" i="37" s="1"/>
  <c r="R203" i="37"/>
  <c r="T355" i="45"/>
  <c r="U355" i="45" s="1"/>
  <c r="V355" i="45" s="1"/>
  <c r="W355" i="45" s="1"/>
  <c r="X355" i="45"/>
  <c r="S315" i="45"/>
  <c r="T315" i="45" s="1"/>
  <c r="U315" i="45" s="1"/>
  <c r="V315" i="45" s="1"/>
  <c r="W315" i="45" s="1"/>
  <c r="X315" i="45" s="1"/>
  <c r="R204" i="37"/>
  <c r="S212" i="45"/>
  <c r="T212" i="45"/>
  <c r="U212" i="45"/>
  <c r="V212" i="45" s="1"/>
  <c r="W212" i="45" s="1"/>
  <c r="X212" i="45" s="1"/>
  <c r="S371" i="37"/>
  <c r="T371" i="37" s="1"/>
  <c r="U371" i="37" s="1"/>
  <c r="V371" i="37" s="1"/>
  <c r="W371" i="37"/>
  <c r="X371" i="37" s="1"/>
  <c r="Q245" i="35"/>
  <c r="J176" i="35"/>
  <c r="C122" i="18"/>
  <c r="Q122" i="18" s="1"/>
  <c r="C110" i="18"/>
  <c r="D18" i="45"/>
  <c r="Q385" i="49"/>
  <c r="Q384" i="49" s="1"/>
  <c r="Q382" i="48"/>
  <c r="Q381" i="48" s="1"/>
  <c r="P223" i="35"/>
  <c r="P222" i="35" s="1"/>
  <c r="M129" i="22"/>
  <c r="P290" i="49"/>
  <c r="O134" i="35"/>
  <c r="N13" i="40"/>
  <c r="P288" i="48"/>
  <c r="H290" i="49"/>
  <c r="H289" i="49" s="1"/>
  <c r="G134" i="35"/>
  <c r="G133" i="35" s="1"/>
  <c r="F13" i="40"/>
  <c r="F12" i="40" s="1"/>
  <c r="F3" i="2"/>
  <c r="H288" i="48"/>
  <c r="H287" i="48"/>
  <c r="Y284" i="49"/>
  <c r="K343" i="49"/>
  <c r="S337" i="37"/>
  <c r="S149" i="37"/>
  <c r="S154" i="37"/>
  <c r="T154" i="37" s="1"/>
  <c r="U154" i="37" s="1"/>
  <c r="V154" i="37" s="1"/>
  <c r="W154" i="37"/>
  <c r="X154" i="37" s="1"/>
  <c r="S383" i="37"/>
  <c r="T383" i="37" s="1"/>
  <c r="U383" i="37"/>
  <c r="V383" i="37" s="1"/>
  <c r="W383" i="37" s="1"/>
  <c r="X383" i="37" s="1"/>
  <c r="E68" i="42"/>
  <c r="T135" i="20"/>
  <c r="D131" i="20"/>
  <c r="T136" i="20"/>
  <c r="G199" i="35"/>
  <c r="P130" i="20"/>
  <c r="P131" i="20" s="1"/>
  <c r="K382" i="49"/>
  <c r="J220" i="35"/>
  <c r="I34" i="2"/>
  <c r="K379" i="48"/>
  <c r="Y348" i="49"/>
  <c r="F97" i="42"/>
  <c r="F98" i="41"/>
  <c r="T301" i="48"/>
  <c r="K120" i="35"/>
  <c r="K116" i="35" s="1"/>
  <c r="I24" i="45"/>
  <c r="T121" i="35"/>
  <c r="L293" i="48"/>
  <c r="G185" i="35"/>
  <c r="R195" i="45"/>
  <c r="R370" i="37"/>
  <c r="R220" i="37"/>
  <c r="S231" i="37"/>
  <c r="S225" i="37"/>
  <c r="T225" i="37"/>
  <c r="S222" i="37"/>
  <c r="T222" i="37" s="1"/>
  <c r="U222" i="37" s="1"/>
  <c r="V222" i="37" s="1"/>
  <c r="W222" i="37" s="1"/>
  <c r="X222" i="37" s="1"/>
  <c r="R201" i="45"/>
  <c r="R209" i="37"/>
  <c r="R124" i="37"/>
  <c r="S238" i="37"/>
  <c r="T238" i="37"/>
  <c r="U238" i="37"/>
  <c r="V238" i="37" s="1"/>
  <c r="W238" i="37" s="1"/>
  <c r="X238" i="37" s="1"/>
  <c r="S235" i="45"/>
  <c r="E78" i="15"/>
  <c r="E93" i="15" s="1"/>
  <c r="F18" i="15"/>
  <c r="S130" i="20"/>
  <c r="S131" i="20" s="1"/>
  <c r="J97" i="42"/>
  <c r="J94" i="42" s="1"/>
  <c r="J98" i="41"/>
  <c r="K199" i="35"/>
  <c r="T130" i="20"/>
  <c r="T131" i="20" s="1"/>
  <c r="T276" i="48"/>
  <c r="S130" i="35"/>
  <c r="U130" i="35"/>
  <c r="T130" i="35"/>
  <c r="R130" i="35"/>
  <c r="Y286" i="49"/>
  <c r="Y222" i="45"/>
  <c r="Z222" i="45" s="1"/>
  <c r="R240" i="37"/>
  <c r="R124" i="45"/>
  <c r="R141" i="37"/>
  <c r="R366" i="45"/>
  <c r="S214" i="45"/>
  <c r="T214" i="45" s="1"/>
  <c r="U214" i="45" s="1"/>
  <c r="V214" i="45" s="1"/>
  <c r="W214" i="45"/>
  <c r="X214" i="45" s="1"/>
  <c r="S125" i="37"/>
  <c r="T125" i="37" s="1"/>
  <c r="U125" i="37"/>
  <c r="V125" i="37" s="1"/>
  <c r="W125" i="37" s="1"/>
  <c r="X125" i="37" s="1"/>
  <c r="S176" i="37"/>
  <c r="T176" i="37" s="1"/>
  <c r="U176" i="37" s="1"/>
  <c r="V176" i="37"/>
  <c r="W176" i="37" s="1"/>
  <c r="X176" i="37" s="1"/>
  <c r="O18" i="37"/>
  <c r="N18" i="45"/>
  <c r="N110" i="18"/>
  <c r="G52" i="15"/>
  <c r="H53" i="15"/>
  <c r="I53" i="15"/>
  <c r="J110" i="18"/>
  <c r="J17" i="45"/>
  <c r="P199" i="35"/>
  <c r="Y130" i="20"/>
  <c r="Y131" i="20" s="1"/>
  <c r="O93" i="41"/>
  <c r="AA283" i="48"/>
  <c r="W283" i="48"/>
  <c r="S2" i="48"/>
  <c r="V283" i="48"/>
  <c r="O380" i="49"/>
  <c r="O377" i="48"/>
  <c r="O375" i="48"/>
  <c r="N218" i="35"/>
  <c r="N216" i="35" s="1"/>
  <c r="M102" i="41"/>
  <c r="G290" i="49"/>
  <c r="F134" i="35"/>
  <c r="E13" i="40"/>
  <c r="E12" i="40" s="1"/>
  <c r="E3" i="2"/>
  <c r="G288" i="48"/>
  <c r="H137" i="35"/>
  <c r="S138" i="35"/>
  <c r="F6" i="21"/>
  <c r="S369" i="45"/>
  <c r="T369" i="45" s="1"/>
  <c r="U369" i="45"/>
  <c r="V369" i="45" s="1"/>
  <c r="W369" i="45" s="1"/>
  <c r="X369" i="45" s="1"/>
  <c r="S353" i="45"/>
  <c r="T353" i="45" s="1"/>
  <c r="U353" i="45" s="1"/>
  <c r="V353" i="45" s="1"/>
  <c r="W353" i="45" s="1"/>
  <c r="K290" i="49"/>
  <c r="K289" i="49" s="1"/>
  <c r="J134" i="35"/>
  <c r="J133" i="35" s="1"/>
  <c r="I13" i="40"/>
  <c r="I12" i="40" s="1"/>
  <c r="I3" i="2"/>
  <c r="K288" i="48"/>
  <c r="K287" i="48" s="1"/>
  <c r="K9" i="35"/>
  <c r="V250" i="45"/>
  <c r="W250" i="45" s="1"/>
  <c r="X250" i="45" s="1"/>
  <c r="S228" i="37"/>
  <c r="T228" i="37"/>
  <c r="U228" i="37" s="1"/>
  <c r="V228" i="37" s="1"/>
  <c r="W228" i="37" s="1"/>
  <c r="X228" i="37" s="1"/>
  <c r="S237" i="37"/>
  <c r="T237" i="37" s="1"/>
  <c r="U237" i="37" s="1"/>
  <c r="V237" i="37" s="1"/>
  <c r="W237" i="37" s="1"/>
  <c r="X237" i="37" s="1"/>
  <c r="S318" i="37"/>
  <c r="T318" i="37" s="1"/>
  <c r="U318" i="37" s="1"/>
  <c r="V318" i="37"/>
  <c r="W318" i="37" s="1"/>
  <c r="X318" i="37" s="1"/>
  <c r="S361" i="45"/>
  <c r="T361" i="45"/>
  <c r="S190" i="45"/>
  <c r="T190" i="45" s="1"/>
  <c r="U190" i="45" s="1"/>
  <c r="V190" i="45"/>
  <c r="W190" i="45" s="1"/>
  <c r="S213" i="45"/>
  <c r="T213" i="45"/>
  <c r="U213" i="45" s="1"/>
  <c r="S385" i="37"/>
  <c r="S221" i="45"/>
  <c r="T221" i="45"/>
  <c r="U221" i="45" s="1"/>
  <c r="V221" i="45" s="1"/>
  <c r="W221" i="45" s="1"/>
  <c r="X221" i="45" s="1"/>
  <c r="T142" i="37"/>
  <c r="U142" i="37" s="1"/>
  <c r="E176" i="37"/>
  <c r="P177" i="37"/>
  <c r="Q177" i="37"/>
  <c r="L336" i="49"/>
  <c r="L335" i="49" s="1"/>
  <c r="L334" i="48"/>
  <c r="L333" i="48" s="1"/>
  <c r="J97" i="41"/>
  <c r="K179" i="35"/>
  <c r="K178" i="35" s="1"/>
  <c r="Q59" i="18"/>
  <c r="I109" i="18"/>
  <c r="I290" i="49"/>
  <c r="G13" i="40"/>
  <c r="H134" i="35"/>
  <c r="H133" i="35" s="1"/>
  <c r="G3" i="2"/>
  <c r="I288" i="48"/>
  <c r="R380" i="49"/>
  <c r="R377" i="48"/>
  <c r="Q218" i="35"/>
  <c r="M147" i="35"/>
  <c r="R149" i="35"/>
  <c r="U149" i="35"/>
  <c r="N303" i="49"/>
  <c r="K341" i="48"/>
  <c r="S374" i="37"/>
  <c r="T374" i="37"/>
  <c r="U374" i="37"/>
  <c r="V374" i="37" s="1"/>
  <c r="W374" i="37" s="1"/>
  <c r="X374" i="37" s="1"/>
  <c r="X393" i="45"/>
  <c r="Y393" i="45"/>
  <c r="W400" i="37"/>
  <c r="U349" i="37"/>
  <c r="V349" i="37" s="1"/>
  <c r="W349" i="37" s="1"/>
  <c r="X349" i="37" s="1"/>
  <c r="R154" i="45"/>
  <c r="S316" i="37"/>
  <c r="T316" i="37"/>
  <c r="U316" i="37"/>
  <c r="V316" i="37" s="1"/>
  <c r="W316" i="37" s="1"/>
  <c r="X316" i="37"/>
  <c r="S233" i="45"/>
  <c r="T233" i="45"/>
  <c r="U233" i="45"/>
  <c r="V233" i="45" s="1"/>
  <c r="W233" i="45" s="1"/>
  <c r="X233" i="45"/>
  <c r="R304" i="37"/>
  <c r="S191" i="45"/>
  <c r="T191" i="45" s="1"/>
  <c r="U191" i="45"/>
  <c r="V191" i="45"/>
  <c r="W191" i="45" s="1"/>
  <c r="X191" i="45" s="1"/>
  <c r="S236" i="45"/>
  <c r="T236" i="45" s="1"/>
  <c r="U236" i="45"/>
  <c r="V236" i="45"/>
  <c r="W236" i="45" s="1"/>
  <c r="X236" i="45" s="1"/>
  <c r="E85" i="41"/>
  <c r="E89" i="42"/>
  <c r="AA282" i="48"/>
  <c r="W282" i="48"/>
  <c r="V282" i="48"/>
  <c r="S218" i="35"/>
  <c r="G216" i="35"/>
  <c r="T218" i="35"/>
  <c r="J366" i="16"/>
  <c r="Y5" i="11"/>
  <c r="S245" i="37"/>
  <c r="T245" i="37" s="1"/>
  <c r="U245" i="37"/>
  <c r="V245" i="37" s="1"/>
  <c r="W245" i="37" s="1"/>
  <c r="X245" i="37" s="1"/>
  <c r="R149" i="45"/>
  <c r="S295" i="37"/>
  <c r="T295" i="37" s="1"/>
  <c r="U295" i="37" s="1"/>
  <c r="V295" i="37" s="1"/>
  <c r="W295" i="37" s="1"/>
  <c r="X295" i="37" s="1"/>
  <c r="R219" i="37"/>
  <c r="R197" i="37"/>
  <c r="S197" i="37" s="1"/>
  <c r="R139" i="45"/>
  <c r="R237" i="45"/>
  <c r="T234" i="37"/>
  <c r="U234" i="37" s="1"/>
  <c r="V234" i="37" s="1"/>
  <c r="W234" i="37" s="1"/>
  <c r="X234" i="37" s="1"/>
  <c r="H18" i="15"/>
  <c r="G78" i="15"/>
  <c r="I18" i="15"/>
  <c r="W135" i="20"/>
  <c r="L382" i="49"/>
  <c r="L379" i="48"/>
  <c r="K220" i="35"/>
  <c r="J34" i="2"/>
  <c r="X135" i="20"/>
  <c r="H131" i="20"/>
  <c r="X136" i="20"/>
  <c r="Y285" i="49"/>
  <c r="I279" i="49"/>
  <c r="I277" i="49"/>
  <c r="I273" i="49" s="1"/>
  <c r="I277" i="48"/>
  <c r="I275" i="48" s="1"/>
  <c r="I48" i="10"/>
  <c r="H239" i="35" s="1"/>
  <c r="H122" i="35"/>
  <c r="H120" i="35"/>
  <c r="H116" i="35" s="1"/>
  <c r="Q379" i="49"/>
  <c r="O44" i="2"/>
  <c r="P217" i="35"/>
  <c r="P216" i="35" s="1"/>
  <c r="P215" i="35" s="1"/>
  <c r="P140" i="35"/>
  <c r="P138" i="35" s="1"/>
  <c r="P137" i="35" s="1"/>
  <c r="Q376" i="48"/>
  <c r="G271" i="48"/>
  <c r="G50" i="42"/>
  <c r="G48" i="42" s="1"/>
  <c r="G33" i="40"/>
  <c r="R125" i="45"/>
  <c r="S240" i="45"/>
  <c r="T240" i="45"/>
  <c r="U240" i="45"/>
  <c r="V240" i="45"/>
  <c r="W240" i="45" s="1"/>
  <c r="X240" i="45" s="1"/>
  <c r="S368" i="45"/>
  <c r="T368" i="45"/>
  <c r="U368" i="45"/>
  <c r="Y368" i="45" s="1"/>
  <c r="Z368" i="45" s="1"/>
  <c r="V368" i="45"/>
  <c r="W368" i="45" s="1"/>
  <c r="X368" i="45" s="1"/>
  <c r="S122" i="37"/>
  <c r="T122" i="37"/>
  <c r="U122" i="37"/>
  <c r="V122" i="37"/>
  <c r="W122" i="37" s="1"/>
  <c r="X122" i="37" s="1"/>
  <c r="R244" i="37"/>
  <c r="S207" i="45"/>
  <c r="S227" i="37"/>
  <c r="T227" i="37"/>
  <c r="U227" i="37"/>
  <c r="V227" i="37" s="1"/>
  <c r="W227" i="37" s="1"/>
  <c r="X227" i="37"/>
  <c r="Y227" i="37" s="1"/>
  <c r="Z227" i="37" s="1"/>
  <c r="T243" i="45"/>
  <c r="Y243" i="45" s="1"/>
  <c r="Z243" i="45" s="1"/>
  <c r="U243" i="45"/>
  <c r="V243" i="45" s="1"/>
  <c r="W243" i="45" s="1"/>
  <c r="X243" i="45"/>
  <c r="R385" i="49"/>
  <c r="R384" i="49" s="1"/>
  <c r="Q223" i="35"/>
  <c r="Q222" i="35" s="1"/>
  <c r="N129" i="22"/>
  <c r="R382" i="48"/>
  <c r="R381" i="48" s="1"/>
  <c r="P93" i="41"/>
  <c r="Q199" i="35"/>
  <c r="Z130" i="20"/>
  <c r="L290" i="49"/>
  <c r="L289" i="49"/>
  <c r="J3" i="2"/>
  <c r="K134" i="35"/>
  <c r="K133" i="35" s="1"/>
  <c r="L288" i="48"/>
  <c r="L287" i="48"/>
  <c r="J13" i="40"/>
  <c r="J12" i="40" s="1"/>
  <c r="M333" i="49"/>
  <c r="M318" i="49" s="1"/>
  <c r="L176" i="35"/>
  <c r="L161" i="35" s="1"/>
  <c r="M331" i="48"/>
  <c r="I128" i="22"/>
  <c r="H362" i="48"/>
  <c r="O199" i="35"/>
  <c r="T139" i="35"/>
  <c r="S121" i="45"/>
  <c r="T121" i="45" s="1"/>
  <c r="Y121" i="45" s="1"/>
  <c r="Z121" i="45" s="1"/>
  <c r="U121" i="45"/>
  <c r="V121" i="45" s="1"/>
  <c r="W121" i="45" s="1"/>
  <c r="X121" i="45" s="1"/>
  <c r="S315" i="37"/>
  <c r="S294" i="37"/>
  <c r="T294" i="37" s="1"/>
  <c r="U294" i="37" s="1"/>
  <c r="V294" i="37" s="1"/>
  <c r="W294" i="37" s="1"/>
  <c r="X294" i="37" s="1"/>
  <c r="S203" i="45"/>
  <c r="T203" i="45" s="1"/>
  <c r="U203" i="45" s="1"/>
  <c r="V203" i="45" s="1"/>
  <c r="W203" i="45" s="1"/>
  <c r="X203" i="45" s="1"/>
  <c r="S314" i="45"/>
  <c r="T314" i="45" s="1"/>
  <c r="U314" i="45"/>
  <c r="V314" i="45"/>
  <c r="W314" i="45" s="1"/>
  <c r="X314" i="45" s="1"/>
  <c r="Y166" i="45"/>
  <c r="Z166" i="45" s="1"/>
  <c r="Q96" i="48"/>
  <c r="J9" i="35"/>
  <c r="M34" i="48"/>
  <c r="S299" i="45"/>
  <c r="T299" i="45" s="1"/>
  <c r="U299" i="45"/>
  <c r="V299" i="45" s="1"/>
  <c r="W299" i="45" s="1"/>
  <c r="X299" i="45" s="1"/>
  <c r="S293" i="45"/>
  <c r="T293" i="45" s="1"/>
  <c r="U293" i="45"/>
  <c r="V293" i="45"/>
  <c r="W293" i="45" s="1"/>
  <c r="X293" i="45" s="1"/>
  <c r="S147" i="45"/>
  <c r="T147" i="45"/>
  <c r="U147" i="45" s="1"/>
  <c r="V147" i="45" s="1"/>
  <c r="W147" i="45"/>
  <c r="X147" i="45"/>
  <c r="Y147" i="45" s="1"/>
  <c r="Z147" i="45" s="1"/>
  <c r="S378" i="45"/>
  <c r="T378" i="45"/>
  <c r="U378" i="45" s="1"/>
  <c r="V378" i="45" s="1"/>
  <c r="W378" i="45"/>
  <c r="X378" i="45"/>
  <c r="S201" i="37"/>
  <c r="T201" i="37"/>
  <c r="U201" i="37" s="1"/>
  <c r="V201" i="37" s="1"/>
  <c r="W201" i="37"/>
  <c r="X201" i="37"/>
  <c r="S195" i="37"/>
  <c r="T195" i="37" s="1"/>
  <c r="U195" i="37"/>
  <c r="V195" i="37"/>
  <c r="W195" i="37" s="1"/>
  <c r="X195" i="37" s="1"/>
  <c r="R369" i="37"/>
  <c r="S369" i="37" s="1"/>
  <c r="S198" i="45"/>
  <c r="T198" i="45"/>
  <c r="U198" i="45"/>
  <c r="V198" i="45" s="1"/>
  <c r="W198" i="45" s="1"/>
  <c r="X198" i="45"/>
  <c r="S317" i="45"/>
  <c r="S365" i="45"/>
  <c r="T365" i="45"/>
  <c r="S301" i="37"/>
  <c r="T301" i="37" s="1"/>
  <c r="U301" i="37" s="1"/>
  <c r="V301" i="37"/>
  <c r="W301" i="37" s="1"/>
  <c r="X301" i="37" s="1"/>
  <c r="T243" i="37"/>
  <c r="U243" i="37"/>
  <c r="V243" i="37" s="1"/>
  <c r="W243" i="37" s="1"/>
  <c r="X243" i="37"/>
  <c r="T30" i="42"/>
  <c r="Q30" i="42"/>
  <c r="U30" i="42" s="1"/>
  <c r="H382" i="49"/>
  <c r="G220" i="35"/>
  <c r="F34" i="2"/>
  <c r="H379" i="48"/>
  <c r="V353" i="48"/>
  <c r="W353" i="48"/>
  <c r="AA353" i="48"/>
  <c r="AA352" i="48"/>
  <c r="W352" i="48"/>
  <c r="V352" i="48"/>
  <c r="G21" i="21"/>
  <c r="G82" i="21"/>
  <c r="S22" i="21"/>
  <c r="T22" i="21"/>
  <c r="Y294" i="45"/>
  <c r="Z294" i="45" s="1"/>
  <c r="J186" i="35"/>
  <c r="J185" i="35"/>
  <c r="Y116" i="45"/>
  <c r="Z116" i="45" s="1"/>
  <c r="S174" i="37"/>
  <c r="T174" i="37"/>
  <c r="U174" i="37" s="1"/>
  <c r="V174" i="37" s="1"/>
  <c r="W174" i="37"/>
  <c r="X174" i="37" s="1"/>
  <c r="U233" i="37"/>
  <c r="V233" i="37"/>
  <c r="W233" i="37" s="1"/>
  <c r="X233" i="37" s="1"/>
  <c r="Y176" i="45"/>
  <c r="R298" i="37"/>
  <c r="S199" i="37"/>
  <c r="T199" i="37"/>
  <c r="U199" i="37" s="1"/>
  <c r="V199" i="37" s="1"/>
  <c r="W199" i="37" s="1"/>
  <c r="X199" i="37" s="1"/>
  <c r="S239" i="37"/>
  <c r="T239" i="37" s="1"/>
  <c r="U239" i="37" s="1"/>
  <c r="V239" i="37" s="1"/>
  <c r="S118" i="45"/>
  <c r="T118" i="45"/>
  <c r="U118" i="45" s="1"/>
  <c r="R119" i="37"/>
  <c r="S123" i="37"/>
  <c r="T123" i="37"/>
  <c r="U123" i="37"/>
  <c r="V123" i="37"/>
  <c r="W123" i="37" s="1"/>
  <c r="X123" i="37" s="1"/>
  <c r="G93" i="41"/>
  <c r="M383" i="49"/>
  <c r="M380" i="48"/>
  <c r="L221" i="35"/>
  <c r="I333" i="49"/>
  <c r="I318" i="49" s="1"/>
  <c r="E128" i="22"/>
  <c r="M379" i="49"/>
  <c r="L217" i="35"/>
  <c r="L140" i="35"/>
  <c r="L138" i="35" s="1"/>
  <c r="K44" i="2"/>
  <c r="M376" i="48"/>
  <c r="G273" i="49"/>
  <c r="AA320" i="48"/>
  <c r="J44" i="2"/>
  <c r="L295" i="49"/>
  <c r="L277" i="49"/>
  <c r="L273" i="49" s="1"/>
  <c r="R303" i="45"/>
  <c r="S303" i="45" s="1"/>
  <c r="T303" i="45" s="1"/>
  <c r="R213" i="37"/>
  <c r="R123" i="45"/>
  <c r="R361" i="37"/>
  <c r="S155" i="37"/>
  <c r="T155" i="37"/>
  <c r="U155" i="37" s="1"/>
  <c r="V155" i="37" s="1"/>
  <c r="W155" i="37" s="1"/>
  <c r="X155" i="37" s="1"/>
  <c r="R373" i="37"/>
  <c r="S350" i="37"/>
  <c r="S206" i="45"/>
  <c r="T206" i="45" s="1"/>
  <c r="U206" i="45" s="1"/>
  <c r="V206" i="45" s="1"/>
  <c r="W206" i="45" s="1"/>
  <c r="X206" i="45" s="1"/>
  <c r="S375" i="37"/>
  <c r="T375" i="37" s="1"/>
  <c r="U375" i="37" s="1"/>
  <c r="Y346" i="37"/>
  <c r="Z346" i="37"/>
  <c r="U295" i="45"/>
  <c r="V295" i="45" s="1"/>
  <c r="S366" i="37"/>
  <c r="T366" i="37"/>
  <c r="U366" i="37" s="1"/>
  <c r="V366" i="37" s="1"/>
  <c r="W366" i="37" s="1"/>
  <c r="E156" i="35"/>
  <c r="E153" i="35"/>
  <c r="E155" i="35"/>
  <c r="G292" i="48"/>
  <c r="G291" i="48" s="1"/>
  <c r="G51" i="2"/>
  <c r="Q52" i="2"/>
  <c r="G53" i="2"/>
  <c r="S364" i="45"/>
  <c r="T364" i="45" s="1"/>
  <c r="U364" i="45" s="1"/>
  <c r="V364" i="45" s="1"/>
  <c r="W364" i="45" s="1"/>
  <c r="X364" i="45" s="1"/>
  <c r="S241" i="37"/>
  <c r="T241" i="37" s="1"/>
  <c r="U241" i="37" s="1"/>
  <c r="V241" i="37" s="1"/>
  <c r="W241" i="37" s="1"/>
  <c r="X241" i="37" s="1"/>
  <c r="S204" i="45"/>
  <c r="T204" i="45" s="1"/>
  <c r="U204" i="45" s="1"/>
  <c r="V204" i="45"/>
  <c r="W204" i="45"/>
  <c r="X204" i="45" s="1"/>
  <c r="S242" i="45"/>
  <c r="T242" i="45"/>
  <c r="U242" i="45"/>
  <c r="V242" i="45" s="1"/>
  <c r="W242" i="45" s="1"/>
  <c r="X242" i="45"/>
  <c r="S344" i="37"/>
  <c r="R323" i="37"/>
  <c r="S323" i="37" s="1"/>
  <c r="T323" i="37" s="1"/>
  <c r="J93" i="41"/>
  <c r="G122" i="35"/>
  <c r="H68" i="10"/>
  <c r="I68" i="10" s="1"/>
  <c r="J68" i="10"/>
  <c r="H277" i="48"/>
  <c r="H48" i="10"/>
  <c r="Y346" i="49"/>
  <c r="Q7" i="21"/>
  <c r="S357" i="45"/>
  <c r="T357" i="45" s="1"/>
  <c r="U357" i="45"/>
  <c r="Y357" i="45" s="1"/>
  <c r="Z357" i="45" s="1"/>
  <c r="V357" i="45"/>
  <c r="W357" i="45" s="1"/>
  <c r="X357" i="45" s="1"/>
  <c r="S360" i="45"/>
  <c r="T360" i="45" s="1"/>
  <c r="U360" i="45"/>
  <c r="V360" i="45" s="1"/>
  <c r="S230" i="45"/>
  <c r="T230" i="45" s="1"/>
  <c r="U230" i="45" s="1"/>
  <c r="V230" i="45" s="1"/>
  <c r="W230" i="45" s="1"/>
  <c r="X230" i="45" s="1"/>
  <c r="S153" i="45"/>
  <c r="T153" i="45" s="1"/>
  <c r="U153" i="45" s="1"/>
  <c r="S312" i="37"/>
  <c r="K23" i="42"/>
  <c r="L23" i="42"/>
  <c r="H23" i="42"/>
  <c r="M23" i="42"/>
  <c r="S231" i="48"/>
  <c r="S240" i="48"/>
  <c r="G239" i="48"/>
  <c r="H84" i="35"/>
  <c r="S97" i="48"/>
  <c r="G96" i="48"/>
  <c r="G52" i="48"/>
  <c r="S56" i="48"/>
  <c r="AA56" i="48" s="1"/>
  <c r="G35" i="48"/>
  <c r="S36" i="48"/>
  <c r="AA36" i="48" s="1"/>
  <c r="Y87" i="49"/>
  <c r="AA86" i="48"/>
  <c r="W86" i="48"/>
  <c r="V86" i="48"/>
  <c r="Y23" i="48"/>
  <c r="AA23" i="48"/>
  <c r="H96" i="48"/>
  <c r="H95" i="48" s="1"/>
  <c r="Q155" i="48"/>
  <c r="Q152" i="48" s="1"/>
  <c r="R96" i="48"/>
  <c r="R95" i="48"/>
  <c r="O157" i="49"/>
  <c r="O154" i="49" s="1"/>
  <c r="P34" i="48"/>
  <c r="I201" i="49"/>
  <c r="G37" i="49"/>
  <c r="E27" i="42"/>
  <c r="G173" i="48"/>
  <c r="F21" i="35"/>
  <c r="J84" i="35"/>
  <c r="AA39" i="48"/>
  <c r="W39" i="48"/>
  <c r="V39" i="48"/>
  <c r="G186" i="49"/>
  <c r="Y9" i="48"/>
  <c r="AA9" i="48"/>
  <c r="W85" i="48"/>
  <c r="AA85" i="48"/>
  <c r="V85" i="48"/>
  <c r="S86" i="35"/>
  <c r="F46" i="35"/>
  <c r="R47" i="35"/>
  <c r="W96" i="35"/>
  <c r="V96" i="35"/>
  <c r="G199" i="48"/>
  <c r="F90" i="35"/>
  <c r="E200" i="16"/>
  <c r="G22" i="48"/>
  <c r="S24" i="48"/>
  <c r="L96" i="48"/>
  <c r="L95" i="48" s="1"/>
  <c r="L94" i="48" s="1"/>
  <c r="S147" i="48"/>
  <c r="O155" i="48"/>
  <c r="O152" i="48" s="1"/>
  <c r="M155" i="48"/>
  <c r="M152" i="48" s="1"/>
  <c r="N96" i="48"/>
  <c r="N95" i="48" s="1"/>
  <c r="Y88" i="49"/>
  <c r="S53" i="48"/>
  <c r="AA53" i="48" s="1"/>
  <c r="K52" i="48"/>
  <c r="G184" i="48"/>
  <c r="S110" i="35"/>
  <c r="W89" i="48"/>
  <c r="V89" i="48"/>
  <c r="AA89" i="48"/>
  <c r="Y11" i="48"/>
  <c r="AA11" i="48"/>
  <c r="J157" i="49"/>
  <c r="J154" i="49"/>
  <c r="F49" i="39"/>
  <c r="F21" i="42"/>
  <c r="K12" i="42"/>
  <c r="K8" i="42"/>
  <c r="K6" i="39"/>
  <c r="M84" i="35"/>
  <c r="W87" i="48"/>
  <c r="V87" i="48"/>
  <c r="AA87" i="48"/>
  <c r="G155" i="48"/>
  <c r="S156" i="48"/>
  <c r="S25" i="42"/>
  <c r="Q25" i="42"/>
  <c r="U25" i="42" s="1"/>
  <c r="T25" i="42"/>
  <c r="P84" i="35"/>
  <c r="G77" i="48"/>
  <c r="S162" i="48"/>
  <c r="R36" i="35"/>
  <c r="G144" i="48"/>
  <c r="I62" i="48"/>
  <c r="F26" i="42"/>
  <c r="N84" i="35"/>
  <c r="L84" i="35"/>
  <c r="S242" i="49"/>
  <c r="U242" i="49" s="1"/>
  <c r="G241" i="49"/>
  <c r="S241" i="49" s="1"/>
  <c r="U241" i="49" s="1"/>
  <c r="R32" i="35"/>
  <c r="Y26" i="48"/>
  <c r="AA26" i="48"/>
  <c r="E22" i="39"/>
  <c r="Y91" i="49"/>
  <c r="F65" i="35"/>
  <c r="A65" i="35"/>
  <c r="Q264" i="49"/>
  <c r="Q262" i="48"/>
  <c r="Q193" i="16"/>
  <c r="U193" i="16" s="1"/>
  <c r="O190" i="16"/>
  <c r="S10" i="48"/>
  <c r="AA10" i="48" s="1"/>
  <c r="P12" i="42"/>
  <c r="O12" i="42"/>
  <c r="O8" i="42" s="1"/>
  <c r="O6" i="39"/>
  <c r="L180" i="48"/>
  <c r="S116" i="48"/>
  <c r="Q31" i="35"/>
  <c r="D337" i="49"/>
  <c r="D310" i="49"/>
  <c r="O378" i="49"/>
  <c r="O36" i="21"/>
  <c r="AB34" i="21"/>
  <c r="AB38" i="21"/>
  <c r="R336" i="49"/>
  <c r="R335" i="49"/>
  <c r="Q179" i="35"/>
  <c r="Q178" i="35" s="1"/>
  <c r="R334" i="48"/>
  <c r="R333" i="48" s="1"/>
  <c r="P97" i="41"/>
  <c r="U135" i="35"/>
  <c r="M49" i="41"/>
  <c r="M48" i="41" s="1"/>
  <c r="M60" i="42" s="1"/>
  <c r="M59" i="42" s="1"/>
  <c r="I245" i="35"/>
  <c r="Y364" i="37"/>
  <c r="Z364" i="37"/>
  <c r="Y211" i="45"/>
  <c r="Z211" i="45" s="1"/>
  <c r="Y102" i="45"/>
  <c r="Z102" i="45" s="1"/>
  <c r="L294" i="48"/>
  <c r="J294" i="48"/>
  <c r="T376" i="48"/>
  <c r="J375" i="48"/>
  <c r="J378" i="49"/>
  <c r="J296" i="49"/>
  <c r="J294" i="49"/>
  <c r="P11" i="37"/>
  <c r="Q11" i="37" s="1"/>
  <c r="N10" i="37"/>
  <c r="I47" i="41"/>
  <c r="I60" i="42"/>
  <c r="I59" i="42" s="1"/>
  <c r="O248" i="35"/>
  <c r="O257" i="35" s="1"/>
  <c r="O236" i="35"/>
  <c r="K375" i="48"/>
  <c r="H49" i="41"/>
  <c r="H48" i="41" s="1"/>
  <c r="Y383" i="37"/>
  <c r="Z383" i="37" s="1"/>
  <c r="Y244" i="45"/>
  <c r="Z244" i="45" s="1"/>
  <c r="N133" i="35"/>
  <c r="Y226" i="37"/>
  <c r="Z226" i="37" s="1"/>
  <c r="T140" i="35"/>
  <c r="J81" i="21"/>
  <c r="V21" i="21"/>
  <c r="W21" i="21"/>
  <c r="J6" i="21"/>
  <c r="I216" i="35"/>
  <c r="T217" i="35"/>
  <c r="E13" i="42"/>
  <c r="Q31" i="39"/>
  <c r="E11" i="42"/>
  <c r="Q12" i="39"/>
  <c r="Z393" i="45"/>
  <c r="J90" i="41"/>
  <c r="J89" i="42"/>
  <c r="J85" i="41"/>
  <c r="S125" i="45"/>
  <c r="T125" i="45"/>
  <c r="U125" i="45" s="1"/>
  <c r="V125" i="45" s="1"/>
  <c r="W125" i="45" s="1"/>
  <c r="X125" i="45" s="1"/>
  <c r="S240" i="37"/>
  <c r="G239" i="35"/>
  <c r="R322" i="37"/>
  <c r="U323" i="37"/>
  <c r="V323" i="37" s="1"/>
  <c r="W323" i="37" s="1"/>
  <c r="X323" i="37" s="1"/>
  <c r="H88" i="10"/>
  <c r="I88" i="10" s="1"/>
  <c r="J88" i="10" s="1"/>
  <c r="S361" i="37"/>
  <c r="T361" i="37"/>
  <c r="U361" i="37" s="1"/>
  <c r="V361" i="37" s="1"/>
  <c r="W361" i="37"/>
  <c r="X361" i="37" s="1"/>
  <c r="M296" i="49"/>
  <c r="R50" i="42"/>
  <c r="S50" i="42"/>
  <c r="S139" i="45"/>
  <c r="T139" i="45" s="1"/>
  <c r="U139" i="45"/>
  <c r="V139" i="45"/>
  <c r="W139" i="45" s="1"/>
  <c r="X139" i="45" s="1"/>
  <c r="S154" i="45"/>
  <c r="Y242" i="45"/>
  <c r="Z242" i="45" s="1"/>
  <c r="U303" i="45"/>
  <c r="V303" i="45"/>
  <c r="W303" i="45" s="1"/>
  <c r="X303" i="45" s="1"/>
  <c r="G81" i="21"/>
  <c r="T21" i="21"/>
  <c r="S21" i="21"/>
  <c r="G6" i="21"/>
  <c r="S237" i="45"/>
  <c r="T237" i="45"/>
  <c r="U237" i="45"/>
  <c r="V237" i="45" s="1"/>
  <c r="W237" i="45" s="1"/>
  <c r="X237" i="45" s="1"/>
  <c r="J365" i="16"/>
  <c r="E26" i="37"/>
  <c r="F66" i="21"/>
  <c r="M97" i="42"/>
  <c r="M94" i="42" s="1"/>
  <c r="M98" i="41"/>
  <c r="Y238" i="37"/>
  <c r="Z238" i="37"/>
  <c r="S371" i="45"/>
  <c r="Y371" i="45" s="1"/>
  <c r="Z371" i="45" s="1"/>
  <c r="T371" i="45"/>
  <c r="U371" i="45" s="1"/>
  <c r="V371" i="45" s="1"/>
  <c r="W371" i="45" s="1"/>
  <c r="X371" i="45" s="1"/>
  <c r="S370" i="37"/>
  <c r="T370" i="37"/>
  <c r="U370" i="37" s="1"/>
  <c r="V370" i="37" s="1"/>
  <c r="W370" i="37" s="1"/>
  <c r="X370" i="37" s="1"/>
  <c r="S299" i="37"/>
  <c r="T299" i="37" s="1"/>
  <c r="S375" i="45"/>
  <c r="T375" i="45" s="1"/>
  <c r="U375" i="45" s="1"/>
  <c r="V375" i="45" s="1"/>
  <c r="W375" i="45" s="1"/>
  <c r="X375" i="45" s="1"/>
  <c r="S192" i="37"/>
  <c r="T192" i="37"/>
  <c r="U192" i="37"/>
  <c r="V192" i="37" s="1"/>
  <c r="M4" i="40"/>
  <c r="M36" i="42"/>
  <c r="H36" i="42"/>
  <c r="H4" i="40"/>
  <c r="L97" i="42"/>
  <c r="L94" i="42" s="1"/>
  <c r="L98" i="41"/>
  <c r="Y367" i="45"/>
  <c r="Z367" i="45" s="1"/>
  <c r="S220" i="45"/>
  <c r="T220" i="45"/>
  <c r="U220" i="45"/>
  <c r="V220" i="45" s="1"/>
  <c r="W220" i="45" s="1"/>
  <c r="X220" i="45" s="1"/>
  <c r="Y191" i="37"/>
  <c r="Z191" i="37" s="1"/>
  <c r="S356" i="45"/>
  <c r="T356" i="45"/>
  <c r="U356" i="45"/>
  <c r="V356" i="45" s="1"/>
  <c r="W356" i="45" s="1"/>
  <c r="X356" i="45" s="1"/>
  <c r="H275" i="48"/>
  <c r="S311" i="45"/>
  <c r="T311" i="45"/>
  <c r="U311" i="45"/>
  <c r="V311" i="45" s="1"/>
  <c r="W311" i="45" s="1"/>
  <c r="X311" i="45" s="1"/>
  <c r="Y233" i="37"/>
  <c r="Z233" i="37"/>
  <c r="P356" i="49"/>
  <c r="P355" i="49" s="1"/>
  <c r="P358" i="48"/>
  <c r="P354" i="48" s="1"/>
  <c r="O193" i="35"/>
  <c r="O184" i="35" s="1"/>
  <c r="O183" i="35" s="1"/>
  <c r="R356" i="49"/>
  <c r="R355" i="49" s="1"/>
  <c r="R350" i="49" s="1"/>
  <c r="R358" i="48"/>
  <c r="R354" i="48" s="1"/>
  <c r="R348" i="48" s="1"/>
  <c r="R339" i="48" s="1"/>
  <c r="R338" i="48" s="1"/>
  <c r="S244" i="37"/>
  <c r="T244" i="37"/>
  <c r="U244" i="37"/>
  <c r="V244" i="37"/>
  <c r="W244" i="37" s="1"/>
  <c r="X244" i="37" s="1"/>
  <c r="Y240" i="45"/>
  <c r="Z240" i="45"/>
  <c r="S140" i="45"/>
  <c r="T140" i="45" s="1"/>
  <c r="S149" i="45"/>
  <c r="T149" i="45" s="1"/>
  <c r="Y191" i="45"/>
  <c r="Z191" i="45"/>
  <c r="Y233" i="45"/>
  <c r="Z233" i="45" s="1"/>
  <c r="I4" i="40"/>
  <c r="I36" i="42"/>
  <c r="I28" i="42" s="1"/>
  <c r="Y369" i="45"/>
  <c r="Z369" i="45"/>
  <c r="S137" i="35"/>
  <c r="Q356" i="49"/>
  <c r="Q355" i="49"/>
  <c r="Q350" i="49" s="1"/>
  <c r="Q358" i="48"/>
  <c r="Q354" i="48" s="1"/>
  <c r="Q348" i="48" s="1"/>
  <c r="Q339" i="48" s="1"/>
  <c r="P193" i="35"/>
  <c r="O12" i="37"/>
  <c r="O10" i="37" s="1"/>
  <c r="O9" i="37" s="1"/>
  <c r="O16" i="37"/>
  <c r="S366" i="45"/>
  <c r="Y366" i="45" s="1"/>
  <c r="Z366" i="45" s="1"/>
  <c r="T366" i="45"/>
  <c r="U366" i="45" s="1"/>
  <c r="V366" i="45" s="1"/>
  <c r="W366" i="45" s="1"/>
  <c r="X366" i="45" s="1"/>
  <c r="S141" i="37"/>
  <c r="T141" i="37"/>
  <c r="U141" i="37" s="1"/>
  <c r="V141" i="37" s="1"/>
  <c r="W141" i="37" s="1"/>
  <c r="X141" i="37" s="1"/>
  <c r="S124" i="45"/>
  <c r="T124" i="45" s="1"/>
  <c r="W130" i="35"/>
  <c r="V130" i="35"/>
  <c r="X130" i="35"/>
  <c r="L356" i="49"/>
  <c r="L358" i="48"/>
  <c r="K193" i="35"/>
  <c r="K184" i="35" s="1"/>
  <c r="K183" i="35" s="1"/>
  <c r="E79" i="15"/>
  <c r="F79" i="15"/>
  <c r="I22" i="45"/>
  <c r="F94" i="42"/>
  <c r="H356" i="49"/>
  <c r="H358" i="48"/>
  <c r="S199" i="35"/>
  <c r="G193" i="35"/>
  <c r="Y154" i="37"/>
  <c r="Z154" i="37" s="1"/>
  <c r="Y212" i="45"/>
  <c r="Z212" i="45"/>
  <c r="S210" i="45"/>
  <c r="T210" i="45" s="1"/>
  <c r="U210" i="45" s="1"/>
  <c r="V210" i="45" s="1"/>
  <c r="W210" i="45" s="1"/>
  <c r="X210" i="45" s="1"/>
  <c r="Y196" i="37"/>
  <c r="Z196" i="37"/>
  <c r="Y216" i="37"/>
  <c r="Z216" i="37"/>
  <c r="S372" i="37"/>
  <c r="T372" i="37"/>
  <c r="U372" i="37" s="1"/>
  <c r="V372" i="37" s="1"/>
  <c r="W372" i="37" s="1"/>
  <c r="X372" i="37" s="1"/>
  <c r="K89" i="42"/>
  <c r="S363" i="37"/>
  <c r="T363" i="37" s="1"/>
  <c r="U363" i="37" s="1"/>
  <c r="V363" i="37" s="1"/>
  <c r="W363" i="37" s="1"/>
  <c r="X363" i="37" s="1"/>
  <c r="S373" i="37"/>
  <c r="T373" i="37" s="1"/>
  <c r="S213" i="37"/>
  <c r="T213" i="37"/>
  <c r="U213" i="37"/>
  <c r="V213" i="37" s="1"/>
  <c r="W213" i="37" s="1"/>
  <c r="X213" i="37" s="1"/>
  <c r="Q378" i="49"/>
  <c r="Q377" i="49" s="1"/>
  <c r="Q296" i="49"/>
  <c r="Q294" i="49" s="1"/>
  <c r="Q293" i="49" s="1"/>
  <c r="X400" i="37"/>
  <c r="O89" i="42"/>
  <c r="O86" i="42" s="1"/>
  <c r="O85" i="42" s="1"/>
  <c r="O90" i="41"/>
  <c r="O85" i="41"/>
  <c r="O81" i="41" s="1"/>
  <c r="O384" i="16"/>
  <c r="P233" i="35"/>
  <c r="N112" i="18"/>
  <c r="S372" i="45"/>
  <c r="T372" i="45"/>
  <c r="U372" i="45"/>
  <c r="V372" i="45"/>
  <c r="W372" i="45" s="1"/>
  <c r="X372" i="45" s="1"/>
  <c r="S235" i="37"/>
  <c r="Y235" i="37" s="1"/>
  <c r="Z235" i="37" s="1"/>
  <c r="T235" i="37"/>
  <c r="U235" i="37" s="1"/>
  <c r="V235" i="37" s="1"/>
  <c r="W235" i="37" s="1"/>
  <c r="X235" i="37" s="1"/>
  <c r="S219" i="37"/>
  <c r="T219" i="37"/>
  <c r="U219" i="37" s="1"/>
  <c r="V219" i="37" s="1"/>
  <c r="W219" i="37" s="1"/>
  <c r="X219" i="37" s="1"/>
  <c r="J93" i="42"/>
  <c r="J86" i="42" s="1"/>
  <c r="J89" i="41"/>
  <c r="K384" i="16"/>
  <c r="L233" i="35"/>
  <c r="J112" i="18"/>
  <c r="N12" i="45"/>
  <c r="N16" i="45"/>
  <c r="S209" i="37"/>
  <c r="T209" i="37"/>
  <c r="U209" i="37"/>
  <c r="V209" i="37" s="1"/>
  <c r="W209" i="37" s="1"/>
  <c r="X209" i="37" s="1"/>
  <c r="E154" i="35"/>
  <c r="E180" i="35"/>
  <c r="E228" i="35" s="1"/>
  <c r="J49" i="41"/>
  <c r="J48" i="41" s="1"/>
  <c r="J38" i="2"/>
  <c r="M294" i="48"/>
  <c r="U294" i="48" s="1"/>
  <c r="U376" i="48"/>
  <c r="G89" i="42"/>
  <c r="R89" i="42" s="1"/>
  <c r="S298" i="37"/>
  <c r="T298" i="37"/>
  <c r="U298" i="37" s="1"/>
  <c r="V298" i="37" s="1"/>
  <c r="W298" i="37" s="1"/>
  <c r="X298" i="37" s="1"/>
  <c r="Y195" i="37"/>
  <c r="Z195" i="37"/>
  <c r="P89" i="42"/>
  <c r="P90" i="41"/>
  <c r="O49" i="41"/>
  <c r="O48" i="41" s="1"/>
  <c r="O60" i="42" s="1"/>
  <c r="O59" i="42" s="1"/>
  <c r="O38" i="2"/>
  <c r="G93" i="15"/>
  <c r="I78" i="15"/>
  <c r="G79" i="15"/>
  <c r="H79" i="15" s="1"/>
  <c r="H78" i="15"/>
  <c r="V149" i="35"/>
  <c r="W149" i="35"/>
  <c r="Y250" i="45"/>
  <c r="Z250" i="45"/>
  <c r="G287" i="48"/>
  <c r="F133" i="35"/>
  <c r="S134" i="35"/>
  <c r="I52" i="15"/>
  <c r="H52" i="15"/>
  <c r="Y214" i="45"/>
  <c r="Z214" i="45"/>
  <c r="S124" i="37"/>
  <c r="T124" i="37"/>
  <c r="U124" i="37"/>
  <c r="V124" i="37"/>
  <c r="W124" i="37" s="1"/>
  <c r="X124" i="37" s="1"/>
  <c r="S201" i="45"/>
  <c r="T201" i="45"/>
  <c r="U201" i="45"/>
  <c r="V201" i="45"/>
  <c r="W201" i="45" s="1"/>
  <c r="X201" i="45" s="1"/>
  <c r="S220" i="37"/>
  <c r="Y220" i="37" s="1"/>
  <c r="Z220" i="37" s="1"/>
  <c r="T220" i="37"/>
  <c r="U220" i="37" s="1"/>
  <c r="V220" i="37" s="1"/>
  <c r="W220" i="37" s="1"/>
  <c r="X220" i="37" s="1"/>
  <c r="S195" i="45"/>
  <c r="T195" i="45" s="1"/>
  <c r="E67" i="42"/>
  <c r="D12" i="45"/>
  <c r="D16" i="45"/>
  <c r="Y371" i="37"/>
  <c r="Z371" i="37"/>
  <c r="Y355" i="45"/>
  <c r="Z355" i="45" s="1"/>
  <c r="S203" i="37"/>
  <c r="T203" i="37" s="1"/>
  <c r="U203" i="37" s="1"/>
  <c r="V203" i="37" s="1"/>
  <c r="W203" i="37" s="1"/>
  <c r="X203" i="37" s="1"/>
  <c r="S230" i="37"/>
  <c r="T230" i="37"/>
  <c r="U230" i="37" s="1"/>
  <c r="V230" i="37" s="1"/>
  <c r="W230" i="37" s="1"/>
  <c r="X230" i="37" s="1"/>
  <c r="M356" i="49"/>
  <c r="M355" i="49"/>
  <c r="M350" i="49" s="1"/>
  <c r="M358" i="48"/>
  <c r="M354" i="48" s="1"/>
  <c r="M348" i="48" s="1"/>
  <c r="L193" i="35"/>
  <c r="S218" i="37"/>
  <c r="T218" i="37"/>
  <c r="U218" i="37"/>
  <c r="V218" i="37" s="1"/>
  <c r="W218" i="37" s="1"/>
  <c r="X218" i="37" s="1"/>
  <c r="N375" i="48"/>
  <c r="G374" i="48"/>
  <c r="Y376" i="45"/>
  <c r="Z376" i="45" s="1"/>
  <c r="Y298" i="45"/>
  <c r="Z298" i="45"/>
  <c r="Y307" i="37"/>
  <c r="Z307" i="37" s="1"/>
  <c r="K49" i="41"/>
  <c r="K48" i="41" s="1"/>
  <c r="K38" i="2"/>
  <c r="Q375" i="48"/>
  <c r="Q294" i="48"/>
  <c r="Q292" i="48" s="1"/>
  <c r="Q291" i="48" s="1"/>
  <c r="S216" i="35"/>
  <c r="S304" i="37"/>
  <c r="T304" i="37" s="1"/>
  <c r="U304" i="37" s="1"/>
  <c r="V304" i="37" s="1"/>
  <c r="W304" i="37" s="1"/>
  <c r="X304" i="37" s="1"/>
  <c r="R147" i="35"/>
  <c r="V147" i="35" s="1"/>
  <c r="U147" i="35"/>
  <c r="G289" i="49"/>
  <c r="E384" i="16"/>
  <c r="C112" i="18"/>
  <c r="S204" i="37"/>
  <c r="T204" i="37" s="1"/>
  <c r="U204" i="37" s="1"/>
  <c r="V204" i="37" s="1"/>
  <c r="W204" i="37" s="1"/>
  <c r="X204" i="37" s="1"/>
  <c r="S336" i="45"/>
  <c r="T336" i="45"/>
  <c r="U336" i="45"/>
  <c r="V336" i="45" s="1"/>
  <c r="I356" i="49"/>
  <c r="I358" i="48"/>
  <c r="H193" i="35"/>
  <c r="Q190" i="16"/>
  <c r="U190" i="16" s="1"/>
  <c r="E20" i="39"/>
  <c r="G152" i="48"/>
  <c r="F18" i="42"/>
  <c r="Y24" i="48"/>
  <c r="AA24" i="48"/>
  <c r="F88" i="35"/>
  <c r="G182" i="49"/>
  <c r="S239" i="48"/>
  <c r="Q261" i="49"/>
  <c r="Q258" i="49" s="1"/>
  <c r="S264" i="49"/>
  <c r="U264" i="49"/>
  <c r="G180" i="48"/>
  <c r="G95" i="48"/>
  <c r="Y10" i="48"/>
  <c r="S262" i="48"/>
  <c r="Q259" i="48"/>
  <c r="F63" i="35"/>
  <c r="T63" i="35" s="1"/>
  <c r="R27" i="42"/>
  <c r="G36" i="49"/>
  <c r="I182" i="49"/>
  <c r="O92" i="21"/>
  <c r="AA36" i="21"/>
  <c r="P93" i="42"/>
  <c r="P89" i="41"/>
  <c r="T294" i="48"/>
  <c r="J292" i="48"/>
  <c r="J66" i="21"/>
  <c r="W6" i="21"/>
  <c r="V6" i="21"/>
  <c r="M336" i="49" s="1"/>
  <c r="M335" i="49" s="1"/>
  <c r="M317" i="49" s="1"/>
  <c r="N9" i="37"/>
  <c r="N402" i="37" s="1"/>
  <c r="N404" i="37" s="1"/>
  <c r="P10" i="37"/>
  <c r="Q10" i="37" s="1"/>
  <c r="Z10" i="37" s="1"/>
  <c r="M47" i="41"/>
  <c r="S13" i="42"/>
  <c r="Q11" i="42"/>
  <c r="U11" i="42" s="1"/>
  <c r="R11" i="42"/>
  <c r="T11" i="42"/>
  <c r="S11" i="42"/>
  <c r="R341" i="49"/>
  <c r="R340" i="49" s="1"/>
  <c r="L293" i="49"/>
  <c r="H354" i="48"/>
  <c r="J85" i="42"/>
  <c r="J65" i="42" s="1"/>
  <c r="W147" i="35"/>
  <c r="K60" i="42"/>
  <c r="K59" i="42" s="1"/>
  <c r="K47" i="41"/>
  <c r="O47" i="41"/>
  <c r="I79" i="15"/>
  <c r="L245" i="35"/>
  <c r="Y400" i="37"/>
  <c r="Z400" i="37" s="1"/>
  <c r="M294" i="49"/>
  <c r="M293" i="49"/>
  <c r="M292" i="48"/>
  <c r="M291" i="48" s="1"/>
  <c r="H271" i="48"/>
  <c r="E402" i="37"/>
  <c r="Y303" i="45"/>
  <c r="Z303" i="45"/>
  <c r="S322" i="37"/>
  <c r="F233" i="35"/>
  <c r="D10" i="45"/>
  <c r="G184" i="35"/>
  <c r="S133" i="35"/>
  <c r="G95" i="15"/>
  <c r="H95" i="15" s="1"/>
  <c r="H93" i="15"/>
  <c r="P236" i="35"/>
  <c r="P245" i="35"/>
  <c r="T6" i="21"/>
  <c r="I97" i="41" s="1"/>
  <c r="S6" i="21"/>
  <c r="J334" i="48" s="1"/>
  <c r="J333" i="48" s="1"/>
  <c r="G66" i="21"/>
  <c r="Y139" i="45"/>
  <c r="Z139" i="45"/>
  <c r="J81" i="41"/>
  <c r="S63" i="35"/>
  <c r="E19" i="39"/>
  <c r="Q256" i="48"/>
  <c r="Y312" i="49"/>
  <c r="S111" i="49"/>
  <c r="U111" i="49" s="1"/>
  <c r="S121" i="49"/>
  <c r="U121" i="49"/>
  <c r="S113" i="49"/>
  <c r="U113" i="49" s="1"/>
  <c r="S122" i="49"/>
  <c r="U122" i="49"/>
  <c r="P9" i="37"/>
  <c r="Q9" i="37" s="1"/>
  <c r="Z9" i="37" s="1"/>
  <c r="L179" i="35"/>
  <c r="L178" i="35" s="1"/>
  <c r="M334" i="48"/>
  <c r="M333" i="48"/>
  <c r="M179" i="35"/>
  <c r="M178" i="35"/>
  <c r="M160" i="35" s="1"/>
  <c r="N336" i="49"/>
  <c r="N335" i="49" s="1"/>
  <c r="N334" i="48"/>
  <c r="N333" i="48"/>
  <c r="L97" i="41"/>
  <c r="L93" i="42" s="1"/>
  <c r="K336" i="49"/>
  <c r="K335" i="49" s="1"/>
  <c r="K334" i="48"/>
  <c r="K333" i="48" s="1"/>
  <c r="J179" i="35"/>
  <c r="J178" i="35"/>
  <c r="G183" i="35"/>
  <c r="D9" i="45"/>
  <c r="D395" i="45" s="1"/>
  <c r="H97" i="41"/>
  <c r="H89" i="41" s="1"/>
  <c r="E404" i="37"/>
  <c r="Q238" i="48"/>
  <c r="S112" i="49"/>
  <c r="U112" i="49"/>
  <c r="L89" i="41"/>
  <c r="H93" i="42"/>
  <c r="H86" i="42" s="1"/>
  <c r="D397" i="45"/>
  <c r="Q230" i="48"/>
  <c r="S109" i="49"/>
  <c r="U109" i="49" s="1"/>
  <c r="S116" i="49"/>
  <c r="U116" i="49"/>
  <c r="S107" i="49"/>
  <c r="U107" i="49" s="1"/>
  <c r="S135" i="49"/>
  <c r="U135" i="49" s="1"/>
  <c r="S144" i="49"/>
  <c r="U144" i="49" s="1"/>
  <c r="S117" i="49"/>
  <c r="U117" i="49" s="1"/>
  <c r="S108" i="49"/>
  <c r="U108" i="49" s="1"/>
  <c r="U85" i="49"/>
  <c r="T4" i="49"/>
  <c r="T6" i="49"/>
  <c r="E313" i="49" l="1"/>
  <c r="E282" i="49"/>
  <c r="E281" i="49" s="1"/>
  <c r="S359" i="49"/>
  <c r="H355" i="49"/>
  <c r="H350" i="49" s="1"/>
  <c r="J354" i="48"/>
  <c r="J348" i="48" s="1"/>
  <c r="S360" i="49"/>
  <c r="L354" i="48"/>
  <c r="L348" i="48" s="1"/>
  <c r="L339" i="48" s="1"/>
  <c r="L338" i="48" s="1"/>
  <c r="I354" i="48"/>
  <c r="I348" i="48" s="1"/>
  <c r="I355" i="49"/>
  <c r="I350" i="49" s="1"/>
  <c r="I341" i="49" s="1"/>
  <c r="L355" i="49"/>
  <c r="E317" i="49"/>
  <c r="E359" i="48"/>
  <c r="E354" i="48" s="1"/>
  <c r="E348" i="48" s="1"/>
  <c r="E339" i="48" s="1"/>
  <c r="E338" i="48" s="1"/>
  <c r="E337" i="48" s="1"/>
  <c r="Q338" i="48"/>
  <c r="U299" i="37"/>
  <c r="V299" i="37" s="1"/>
  <c r="W299" i="37" s="1"/>
  <c r="X299" i="37" s="1"/>
  <c r="X366" i="37"/>
  <c r="Y366" i="37" s="1"/>
  <c r="Z366" i="37" s="1"/>
  <c r="T369" i="37"/>
  <c r="U369" i="37" s="1"/>
  <c r="V369" i="37" s="1"/>
  <c r="W369" i="37" s="1"/>
  <c r="X369" i="37" s="1"/>
  <c r="Y369" i="37"/>
  <c r="Z369" i="37" s="1"/>
  <c r="X190" i="45"/>
  <c r="Y190" i="45"/>
  <c r="Z190" i="45" s="1"/>
  <c r="X229" i="37"/>
  <c r="Y229" i="37"/>
  <c r="Z229" i="37" s="1"/>
  <c r="T190" i="37"/>
  <c r="U190" i="37" s="1"/>
  <c r="V190" i="37" s="1"/>
  <c r="W190" i="37" s="1"/>
  <c r="X190" i="37" s="1"/>
  <c r="Y190" i="37"/>
  <c r="Z190" i="37" s="1"/>
  <c r="W336" i="45"/>
  <c r="X336" i="45" s="1"/>
  <c r="Y336" i="45"/>
  <c r="Z336" i="45" s="1"/>
  <c r="V375" i="37"/>
  <c r="W375" i="37" s="1"/>
  <c r="X375" i="37" s="1"/>
  <c r="Y375" i="37"/>
  <c r="Z375" i="37" s="1"/>
  <c r="T197" i="37"/>
  <c r="U197" i="37" s="1"/>
  <c r="V197" i="37" s="1"/>
  <c r="W197" i="37" s="1"/>
  <c r="X197" i="37" s="1"/>
  <c r="Y197" i="37"/>
  <c r="Z197" i="37" s="1"/>
  <c r="T138" i="35"/>
  <c r="S9" i="35"/>
  <c r="V148" i="37"/>
  <c r="W148" i="37" s="1"/>
  <c r="X148" i="37" s="1"/>
  <c r="Y148" i="37"/>
  <c r="Z148" i="37" s="1"/>
  <c r="I89" i="41"/>
  <c r="I93" i="42"/>
  <c r="Y230" i="37"/>
  <c r="Z230" i="37" s="1"/>
  <c r="U195" i="45"/>
  <c r="V195" i="45" s="1"/>
  <c r="W195" i="45" s="1"/>
  <c r="X195" i="45" s="1"/>
  <c r="Y372" i="45"/>
  <c r="Z372" i="45" s="1"/>
  <c r="O402" i="37"/>
  <c r="O404" i="37" s="1"/>
  <c r="W295" i="45"/>
  <c r="X295" i="45" s="1"/>
  <c r="Y295" i="45"/>
  <c r="Z295" i="45" s="1"/>
  <c r="W239" i="37"/>
  <c r="X239" i="37" s="1"/>
  <c r="Y239" i="37"/>
  <c r="Z239" i="37" s="1"/>
  <c r="Y245" i="37"/>
  <c r="Z245" i="37" s="1"/>
  <c r="V142" i="37"/>
  <c r="W142" i="37" s="1"/>
  <c r="X142" i="37" s="1"/>
  <c r="Y142" i="37"/>
  <c r="Z142" i="37" s="1"/>
  <c r="V213" i="45"/>
  <c r="W213" i="45" s="1"/>
  <c r="X213" i="45" s="1"/>
  <c r="E95" i="15"/>
  <c r="E140" i="15"/>
  <c r="F93" i="15"/>
  <c r="X279" i="45"/>
  <c r="Y279" i="45"/>
  <c r="Z279" i="45" s="1"/>
  <c r="J60" i="42"/>
  <c r="J59" i="42" s="1"/>
  <c r="J47" i="41"/>
  <c r="Y124" i="45"/>
  <c r="Z124" i="45" s="1"/>
  <c r="U124" i="45"/>
  <c r="V124" i="45" s="1"/>
  <c r="W124" i="45" s="1"/>
  <c r="X124" i="45" s="1"/>
  <c r="U140" i="45"/>
  <c r="V140" i="45" s="1"/>
  <c r="W140" i="45" s="1"/>
  <c r="X140" i="45" s="1"/>
  <c r="Y140" i="45"/>
  <c r="Z140" i="45" s="1"/>
  <c r="Y192" i="37"/>
  <c r="Z192" i="37" s="1"/>
  <c r="W192" i="37"/>
  <c r="X192" i="37" s="1"/>
  <c r="Y123" i="45"/>
  <c r="Z123" i="45" s="1"/>
  <c r="V118" i="45"/>
  <c r="W118" i="45" s="1"/>
  <c r="X118" i="45" s="1"/>
  <c r="Y118" i="45"/>
  <c r="Z118" i="45" s="1"/>
  <c r="X353" i="45"/>
  <c r="Y353" i="45"/>
  <c r="Z353" i="45" s="1"/>
  <c r="U373" i="37"/>
  <c r="V373" i="37" s="1"/>
  <c r="W373" i="37" s="1"/>
  <c r="X373" i="37" s="1"/>
  <c r="Y373" i="37"/>
  <c r="Z373" i="37" s="1"/>
  <c r="W360" i="45"/>
  <c r="X360" i="45" s="1"/>
  <c r="X150" i="45"/>
  <c r="Y150" i="45"/>
  <c r="Z150" i="45" s="1"/>
  <c r="Y278" i="45"/>
  <c r="Z278" i="45" s="1"/>
  <c r="U278" i="45"/>
  <c r="V278" i="45" s="1"/>
  <c r="W278" i="45" s="1"/>
  <c r="X278" i="45" s="1"/>
  <c r="K315" i="48"/>
  <c r="Y298" i="37"/>
  <c r="Z298" i="37" s="1"/>
  <c r="U149" i="45"/>
  <c r="V149" i="45" s="1"/>
  <c r="W149" i="45" s="1"/>
  <c r="X149" i="45" s="1"/>
  <c r="V153" i="45"/>
  <c r="W153" i="45" s="1"/>
  <c r="X153" i="45" s="1"/>
  <c r="V362" i="37"/>
  <c r="W362" i="37" s="1"/>
  <c r="X362" i="37" s="1"/>
  <c r="T367" i="37"/>
  <c r="U367" i="37" s="1"/>
  <c r="V367" i="37" s="1"/>
  <c r="W367" i="37" s="1"/>
  <c r="X367" i="37" s="1"/>
  <c r="Y367" i="37"/>
  <c r="Z367" i="37" s="1"/>
  <c r="S312" i="45"/>
  <c r="T312" i="45" s="1"/>
  <c r="U312" i="45" s="1"/>
  <c r="V312" i="45" s="1"/>
  <c r="W312" i="45" s="1"/>
  <c r="X312" i="45" s="1"/>
  <c r="Y236" i="45"/>
  <c r="Z236" i="45" s="1"/>
  <c r="I287" i="48"/>
  <c r="T385" i="37"/>
  <c r="U385" i="37" s="1"/>
  <c r="V385" i="37" s="1"/>
  <c r="W385" i="37" s="1"/>
  <c r="X385" i="37" s="1"/>
  <c r="Y385" i="37"/>
  <c r="Z385" i="37" s="1"/>
  <c r="Y337" i="37"/>
  <c r="Z337" i="37" s="1"/>
  <c r="T337" i="37"/>
  <c r="U337" i="37" s="1"/>
  <c r="V337" i="37" s="1"/>
  <c r="W337" i="37" s="1"/>
  <c r="X337" i="37" s="1"/>
  <c r="T221" i="37"/>
  <c r="U221" i="37" s="1"/>
  <c r="V221" i="37" s="1"/>
  <c r="W221" i="37" s="1"/>
  <c r="X221" i="37" s="1"/>
  <c r="Y242" i="37"/>
  <c r="Z242" i="37" s="1"/>
  <c r="V242" i="37"/>
  <c r="W242" i="37" s="1"/>
  <c r="X242" i="37" s="1"/>
  <c r="U238" i="45"/>
  <c r="V238" i="45" s="1"/>
  <c r="W238" i="45" s="1"/>
  <c r="X238" i="45" s="1"/>
  <c r="Y358" i="45"/>
  <c r="Z358" i="45" s="1"/>
  <c r="T358" i="45"/>
  <c r="U358" i="45" s="1"/>
  <c r="V358" i="45" s="1"/>
  <c r="W358" i="45" s="1"/>
  <c r="X358" i="45" s="1"/>
  <c r="T208" i="45"/>
  <c r="U208" i="45" s="1"/>
  <c r="V208" i="45" s="1"/>
  <c r="W208" i="45" s="1"/>
  <c r="X208" i="45" s="1"/>
  <c r="G350" i="49"/>
  <c r="G341" i="49" s="1"/>
  <c r="G340" i="49" s="1"/>
  <c r="U155" i="45"/>
  <c r="V155" i="45" s="1"/>
  <c r="W155" i="45" s="1"/>
  <c r="X155" i="45" s="1"/>
  <c r="I19" i="39"/>
  <c r="I12" i="42" s="1"/>
  <c r="V248" i="45"/>
  <c r="W248" i="45" s="1"/>
  <c r="X248" i="45" s="1"/>
  <c r="Y248" i="45"/>
  <c r="Z248" i="45" s="1"/>
  <c r="V110" i="45"/>
  <c r="W110" i="45" s="1"/>
  <c r="X110" i="45" s="1"/>
  <c r="Y110" i="45"/>
  <c r="Z110" i="45" s="1"/>
  <c r="T248" i="37"/>
  <c r="U248" i="37" s="1"/>
  <c r="V248" i="37" s="1"/>
  <c r="W248" i="37" s="1"/>
  <c r="X248" i="37" s="1"/>
  <c r="Y248" i="37"/>
  <c r="Z248" i="37" s="1"/>
  <c r="L129" i="22"/>
  <c r="P385" i="49"/>
  <c r="P384" i="49" s="1"/>
  <c r="O223" i="35"/>
  <c r="O222" i="35" s="1"/>
  <c r="P382" i="48"/>
  <c r="P381" i="48" s="1"/>
  <c r="Y252" i="37"/>
  <c r="V252" i="37"/>
  <c r="W252" i="37" s="1"/>
  <c r="X252" i="37" s="1"/>
  <c r="D6" i="21"/>
  <c r="D67" i="21"/>
  <c r="P7" i="21"/>
  <c r="I77" i="48"/>
  <c r="S78" i="48"/>
  <c r="AA78" i="48" s="1"/>
  <c r="R19" i="35"/>
  <c r="V19" i="35" s="1"/>
  <c r="U19" i="35"/>
  <c r="Y193" i="45"/>
  <c r="Z193" i="45" s="1"/>
  <c r="S216" i="45"/>
  <c r="T216" i="45" s="1"/>
  <c r="U216" i="45" s="1"/>
  <c r="V216" i="45" s="1"/>
  <c r="W216" i="45" s="1"/>
  <c r="X216" i="45" s="1"/>
  <c r="Y220" i="45"/>
  <c r="Z220" i="45" s="1"/>
  <c r="Y323" i="37"/>
  <c r="Z323" i="37" s="1"/>
  <c r="Y210" i="45"/>
  <c r="Z210" i="45" s="1"/>
  <c r="Y304" i="37"/>
  <c r="Z304" i="37" s="1"/>
  <c r="Y372" i="37"/>
  <c r="Z372" i="37" s="1"/>
  <c r="Y124" i="37"/>
  <c r="Z124" i="37" s="1"/>
  <c r="Y299" i="45"/>
  <c r="Z299" i="45" s="1"/>
  <c r="Y301" i="37"/>
  <c r="Z301" i="37" s="1"/>
  <c r="U217" i="35"/>
  <c r="S123" i="45"/>
  <c r="T123" i="45" s="1"/>
  <c r="U123" i="45" s="1"/>
  <c r="V123" i="45" s="1"/>
  <c r="W123" i="45" s="1"/>
  <c r="X123" i="45" s="1"/>
  <c r="Y241" i="37"/>
  <c r="Z241" i="37" s="1"/>
  <c r="S193" i="35"/>
  <c r="S119" i="37"/>
  <c r="T119" i="37" s="1"/>
  <c r="U119" i="37" s="1"/>
  <c r="V119" i="37" s="1"/>
  <c r="W119" i="37" s="1"/>
  <c r="X119" i="37" s="1"/>
  <c r="L292" i="48"/>
  <c r="Y155" i="37"/>
  <c r="Z155" i="37" s="1"/>
  <c r="Y230" i="45"/>
  <c r="Z230" i="45" s="1"/>
  <c r="T293" i="48"/>
  <c r="Y123" i="37"/>
  <c r="Z123" i="37" s="1"/>
  <c r="Y199" i="37"/>
  <c r="Z199" i="37" s="1"/>
  <c r="Y203" i="45"/>
  <c r="Z203" i="45" s="1"/>
  <c r="Y234" i="37"/>
  <c r="Z234" i="37" s="1"/>
  <c r="Y221" i="45"/>
  <c r="Z221" i="45" s="1"/>
  <c r="T231" i="37"/>
  <c r="U231" i="37" s="1"/>
  <c r="V231" i="37" s="1"/>
  <c r="W231" i="37" s="1"/>
  <c r="X231" i="37" s="1"/>
  <c r="T149" i="37"/>
  <c r="U149" i="37" s="1"/>
  <c r="V149" i="37" s="1"/>
  <c r="W149" i="37" s="1"/>
  <c r="X149" i="37" s="1"/>
  <c r="T232" i="45"/>
  <c r="U232" i="45" s="1"/>
  <c r="V232" i="45" s="1"/>
  <c r="W232" i="45" s="1"/>
  <c r="X232" i="45" s="1"/>
  <c r="Y268" i="37"/>
  <c r="Z268" i="37" s="1"/>
  <c r="R41" i="35"/>
  <c r="F31" i="35"/>
  <c r="F20" i="35" s="1"/>
  <c r="J34" i="48"/>
  <c r="V370" i="45"/>
  <c r="W370" i="45" s="1"/>
  <c r="X370" i="45" s="1"/>
  <c r="Y370" i="45"/>
  <c r="Z370" i="45" s="1"/>
  <c r="V112" i="45"/>
  <c r="W112" i="45" s="1"/>
  <c r="X112" i="45" s="1"/>
  <c r="Y112" i="45"/>
  <c r="Z112" i="45" s="1"/>
  <c r="K333" i="49"/>
  <c r="K318" i="49" s="1"/>
  <c r="G128" i="22"/>
  <c r="K331" i="48"/>
  <c r="K316" i="48" s="1"/>
  <c r="M28" i="42"/>
  <c r="T317" i="48"/>
  <c r="S317" i="48"/>
  <c r="D157" i="20"/>
  <c r="E157" i="20"/>
  <c r="L36" i="49"/>
  <c r="Y108" i="45"/>
  <c r="Z108" i="45" s="1"/>
  <c r="T279" i="37"/>
  <c r="U279" i="37" s="1"/>
  <c r="V279" i="37" s="1"/>
  <c r="W279" i="37" s="1"/>
  <c r="X279" i="37" s="1"/>
  <c r="L17" i="45"/>
  <c r="P58" i="18"/>
  <c r="Q58" i="18" s="1"/>
  <c r="Q43" i="16"/>
  <c r="E42" i="16"/>
  <c r="L65" i="35"/>
  <c r="R66" i="35"/>
  <c r="X143" i="45"/>
  <c r="Y143" i="45"/>
  <c r="Z143" i="45" s="1"/>
  <c r="H176" i="35"/>
  <c r="H161" i="35" s="1"/>
  <c r="I331" i="48"/>
  <c r="I316" i="48" s="1"/>
  <c r="T240" i="37"/>
  <c r="U240" i="37" s="1"/>
  <c r="V240" i="37" s="1"/>
  <c r="W240" i="37" s="1"/>
  <c r="X240" i="37" s="1"/>
  <c r="Y240" i="37"/>
  <c r="Z240" i="37" s="1"/>
  <c r="Y312" i="37"/>
  <c r="Z312" i="37" s="1"/>
  <c r="Y350" i="37"/>
  <c r="Z350" i="37" s="1"/>
  <c r="Y365" i="45"/>
  <c r="Z365" i="45" s="1"/>
  <c r="H90" i="41"/>
  <c r="I179" i="35"/>
  <c r="I178" i="35" s="1"/>
  <c r="K317" i="49"/>
  <c r="Y201" i="45"/>
  <c r="Z201" i="45" s="1"/>
  <c r="Y237" i="45"/>
  <c r="Z237" i="45" s="1"/>
  <c r="H348" i="48"/>
  <c r="J336" i="49"/>
  <c r="J335" i="49" s="1"/>
  <c r="T322" i="37"/>
  <c r="G140" i="15"/>
  <c r="H140" i="15" s="1"/>
  <c r="K97" i="41"/>
  <c r="J363" i="16"/>
  <c r="Y209" i="37"/>
  <c r="Z209" i="37" s="1"/>
  <c r="T46" i="35"/>
  <c r="Y203" i="37"/>
  <c r="Z203" i="37" s="1"/>
  <c r="T288" i="48"/>
  <c r="Y295" i="37"/>
  <c r="Z295" i="37" s="1"/>
  <c r="Y363" i="37"/>
  <c r="Z363" i="37" s="1"/>
  <c r="F78" i="15"/>
  <c r="Y374" i="37"/>
  <c r="Z374" i="37" s="1"/>
  <c r="Y223" i="45"/>
  <c r="Z223" i="45" s="1"/>
  <c r="Y194" i="37"/>
  <c r="Z194" i="37" s="1"/>
  <c r="Y162" i="37"/>
  <c r="Z162" i="37" s="1"/>
  <c r="Y237" i="37"/>
  <c r="Z237" i="37" s="1"/>
  <c r="Y243" i="37"/>
  <c r="Z243" i="37" s="1"/>
  <c r="Y125" i="37"/>
  <c r="Z125" i="37" s="1"/>
  <c r="G120" i="35"/>
  <c r="S122" i="35"/>
  <c r="Y174" i="37"/>
  <c r="Z174" i="37" s="1"/>
  <c r="T207" i="45"/>
  <c r="U207" i="45" s="1"/>
  <c r="V207" i="45" s="1"/>
  <c r="W207" i="45" s="1"/>
  <c r="X207" i="45" s="1"/>
  <c r="Y207" i="45"/>
  <c r="Z207" i="45" s="1"/>
  <c r="Y125" i="45"/>
  <c r="Z125" i="45" s="1"/>
  <c r="Y316" i="37"/>
  <c r="Z316" i="37" s="1"/>
  <c r="Y349" i="37"/>
  <c r="Z349" i="37" s="1"/>
  <c r="U361" i="45"/>
  <c r="V361" i="45" s="1"/>
  <c r="W361" i="45" s="1"/>
  <c r="X361" i="45" s="1"/>
  <c r="D35" i="21"/>
  <c r="T235" i="45"/>
  <c r="U235" i="45" s="1"/>
  <c r="V235" i="45" s="1"/>
  <c r="W235" i="45" s="1"/>
  <c r="X235" i="45" s="1"/>
  <c r="U225" i="37"/>
  <c r="V225" i="37" s="1"/>
  <c r="W225" i="37" s="1"/>
  <c r="X225" i="37" s="1"/>
  <c r="Y308" i="45"/>
  <c r="Z308" i="45" s="1"/>
  <c r="Y377" i="45"/>
  <c r="Z377" i="45" s="1"/>
  <c r="T377" i="45"/>
  <c r="U377" i="45" s="1"/>
  <c r="V377" i="45" s="1"/>
  <c r="W377" i="45" s="1"/>
  <c r="X377" i="45" s="1"/>
  <c r="U342" i="45"/>
  <c r="V342" i="45" s="1"/>
  <c r="W342" i="45" s="1"/>
  <c r="X342" i="45" s="1"/>
  <c r="Y342" i="45"/>
  <c r="Z342" i="45" s="1"/>
  <c r="R250" i="37"/>
  <c r="Y374" i="45"/>
  <c r="Z374" i="45" s="1"/>
  <c r="U374" i="45"/>
  <c r="V374" i="45" s="1"/>
  <c r="W374" i="45" s="1"/>
  <c r="X374" i="45" s="1"/>
  <c r="I241" i="16"/>
  <c r="I69" i="39" s="1"/>
  <c r="Q263" i="16"/>
  <c r="J103" i="35"/>
  <c r="V356" i="37"/>
  <c r="W356" i="37" s="1"/>
  <c r="X356" i="37" s="1"/>
  <c r="X187" i="37"/>
  <c r="Y187" i="37"/>
  <c r="Z187" i="37" s="1"/>
  <c r="L110" i="18"/>
  <c r="H375" i="48"/>
  <c r="V320" i="48"/>
  <c r="Y320" i="48"/>
  <c r="U239" i="45"/>
  <c r="V239" i="45" s="1"/>
  <c r="W239" i="45" s="1"/>
  <c r="X239" i="45" s="1"/>
  <c r="Y122" i="45"/>
  <c r="Z122" i="45" s="1"/>
  <c r="U122" i="45"/>
  <c r="V122" i="45" s="1"/>
  <c r="W122" i="45" s="1"/>
  <c r="X122" i="45" s="1"/>
  <c r="I93" i="41"/>
  <c r="J199" i="35"/>
  <c r="Y291" i="37"/>
  <c r="Z291" i="37" s="1"/>
  <c r="U291" i="37"/>
  <c r="V291" i="37" s="1"/>
  <c r="W291" i="37" s="1"/>
  <c r="X291" i="37" s="1"/>
  <c r="U177" i="37"/>
  <c r="V177" i="37" s="1"/>
  <c r="W177" i="37" s="1"/>
  <c r="X177" i="37" s="1"/>
  <c r="Y177" i="37"/>
  <c r="Z177" i="37" s="1"/>
  <c r="S251" i="45"/>
  <c r="R175" i="45"/>
  <c r="M126" i="37"/>
  <c r="P126" i="37"/>
  <c r="Q126" i="37" s="1"/>
  <c r="Y218" i="37"/>
  <c r="Z218" i="37" s="1"/>
  <c r="I34" i="48"/>
  <c r="I6" i="48" s="1"/>
  <c r="T317" i="45"/>
  <c r="U317" i="45" s="1"/>
  <c r="V317" i="45" s="1"/>
  <c r="W317" i="45" s="1"/>
  <c r="X317" i="45" s="1"/>
  <c r="Y317" i="45"/>
  <c r="Z317" i="45" s="1"/>
  <c r="Q94" i="48"/>
  <c r="Y370" i="37"/>
  <c r="Z370" i="37" s="1"/>
  <c r="Y311" i="45"/>
  <c r="Z311" i="45" s="1"/>
  <c r="S46" i="35"/>
  <c r="E12" i="42"/>
  <c r="Y375" i="45"/>
  <c r="Z375" i="45" s="1"/>
  <c r="Y213" i="37"/>
  <c r="Z213" i="37" s="1"/>
  <c r="Y219" i="37"/>
  <c r="Z219" i="37" s="1"/>
  <c r="Y204" i="37"/>
  <c r="Z204" i="37" s="1"/>
  <c r="Y141" i="37"/>
  <c r="Z141" i="37" s="1"/>
  <c r="Y244" i="37"/>
  <c r="Z244" i="37" s="1"/>
  <c r="Y361" i="37"/>
  <c r="Z361" i="37" s="1"/>
  <c r="Y356" i="45"/>
  <c r="Z356" i="45" s="1"/>
  <c r="T134" i="35"/>
  <c r="Y122" i="37"/>
  <c r="Z122" i="37" s="1"/>
  <c r="Y293" i="45"/>
  <c r="Z293" i="45" s="1"/>
  <c r="Y206" i="45"/>
  <c r="Z206" i="45" s="1"/>
  <c r="Y364" i="45"/>
  <c r="Z364" i="45" s="1"/>
  <c r="Y204" i="45"/>
  <c r="Z204" i="45" s="1"/>
  <c r="Y228" i="37"/>
  <c r="Z228" i="37" s="1"/>
  <c r="Y222" i="37"/>
  <c r="Z222" i="37" s="1"/>
  <c r="T154" i="45"/>
  <c r="U154" i="45" s="1"/>
  <c r="V154" i="45" s="1"/>
  <c r="W154" i="45" s="1"/>
  <c r="X154" i="45" s="1"/>
  <c r="Y294" i="37"/>
  <c r="Z294" i="37" s="1"/>
  <c r="R14" i="35"/>
  <c r="AA12" i="48"/>
  <c r="T312" i="37"/>
  <c r="U312" i="37" s="1"/>
  <c r="V312" i="37" s="1"/>
  <c r="W312" i="37" s="1"/>
  <c r="X312" i="37" s="1"/>
  <c r="T344" i="37"/>
  <c r="U344" i="37" s="1"/>
  <c r="V344" i="37" s="1"/>
  <c r="W344" i="37" s="1"/>
  <c r="X344" i="37" s="1"/>
  <c r="Y344" i="37"/>
  <c r="Z344" i="37" s="1"/>
  <c r="T350" i="37"/>
  <c r="U350" i="37" s="1"/>
  <c r="V350" i="37" s="1"/>
  <c r="W350" i="37" s="1"/>
  <c r="X350" i="37" s="1"/>
  <c r="U365" i="45"/>
  <c r="V365" i="45" s="1"/>
  <c r="W365" i="45" s="1"/>
  <c r="X365" i="45" s="1"/>
  <c r="Y198" i="45"/>
  <c r="Z198" i="45" s="1"/>
  <c r="Y201" i="37"/>
  <c r="Z201" i="37" s="1"/>
  <c r="Y378" i="45"/>
  <c r="Z378" i="45" s="1"/>
  <c r="Y314" i="45"/>
  <c r="Z314" i="45" s="1"/>
  <c r="T315" i="37"/>
  <c r="U315" i="37" s="1"/>
  <c r="V315" i="37" s="1"/>
  <c r="W315" i="37" s="1"/>
  <c r="X315" i="37" s="1"/>
  <c r="Y176" i="37"/>
  <c r="Y193" i="37"/>
  <c r="Z193" i="37" s="1"/>
  <c r="U193" i="37"/>
  <c r="V193" i="37" s="1"/>
  <c r="W193" i="37" s="1"/>
  <c r="X193" i="37" s="1"/>
  <c r="Y300" i="37"/>
  <c r="Z300" i="37" s="1"/>
  <c r="U380" i="37"/>
  <c r="V380" i="37" s="1"/>
  <c r="W380" i="37" s="1"/>
  <c r="X380" i="37" s="1"/>
  <c r="Y380" i="37"/>
  <c r="Z380" i="37" s="1"/>
  <c r="R29" i="42"/>
  <c r="Q32" i="39"/>
  <c r="U305" i="45"/>
  <c r="V305" i="45" s="1"/>
  <c r="W305" i="45" s="1"/>
  <c r="X305" i="45" s="1"/>
  <c r="U141" i="45"/>
  <c r="V141" i="45" s="1"/>
  <c r="W141" i="45" s="1"/>
  <c r="X141" i="45" s="1"/>
  <c r="Y281" i="45"/>
  <c r="Z281" i="45" s="1"/>
  <c r="J245" i="35"/>
  <c r="N8" i="35"/>
  <c r="M12" i="42"/>
  <c r="M8" i="42" s="1"/>
  <c r="M6" i="39"/>
  <c r="W384" i="37"/>
  <c r="X384" i="37" s="1"/>
  <c r="S214" i="37"/>
  <c r="T214" i="37" s="1"/>
  <c r="U214" i="37" s="1"/>
  <c r="V214" i="37" s="1"/>
  <c r="W214" i="37" s="1"/>
  <c r="X214" i="37" s="1"/>
  <c r="V168" i="45"/>
  <c r="W168" i="45" s="1"/>
  <c r="X168" i="45" s="1"/>
  <c r="Y168" i="45"/>
  <c r="Z168" i="45" s="1"/>
  <c r="S303" i="48"/>
  <c r="U303" i="48"/>
  <c r="N301" i="48"/>
  <c r="V274" i="37"/>
  <c r="W274" i="37" s="1"/>
  <c r="X274" i="37" s="1"/>
  <c r="V267" i="37"/>
  <c r="W267" i="37" s="1"/>
  <c r="X267" i="37" s="1"/>
  <c r="Y267" i="37"/>
  <c r="Z267" i="37" s="1"/>
  <c r="W183" i="37"/>
  <c r="X183" i="37" s="1"/>
  <c r="Y115" i="37"/>
  <c r="Z115" i="37" s="1"/>
  <c r="Y357" i="37"/>
  <c r="Z357" i="37" s="1"/>
  <c r="Y173" i="45"/>
  <c r="Z173" i="45" s="1"/>
  <c r="Y199" i="45"/>
  <c r="Z199" i="45" s="1"/>
  <c r="V302" i="37"/>
  <c r="W302" i="37" s="1"/>
  <c r="X302" i="37" s="1"/>
  <c r="Y302" i="37"/>
  <c r="Z302" i="37" s="1"/>
  <c r="T109" i="45"/>
  <c r="U109" i="45" s="1"/>
  <c r="V109" i="45" s="1"/>
  <c r="W109" i="45" s="1"/>
  <c r="X109" i="45" s="1"/>
  <c r="W324" i="37"/>
  <c r="X324" i="37" s="1"/>
  <c r="U345" i="37"/>
  <c r="V345" i="37" s="1"/>
  <c r="W345" i="37" s="1"/>
  <c r="X345" i="37" s="1"/>
  <c r="I152" i="48"/>
  <c r="Y303" i="37"/>
  <c r="Z303" i="37" s="1"/>
  <c r="T284" i="48"/>
  <c r="U284" i="48"/>
  <c r="P121" i="37"/>
  <c r="Q121" i="37" s="1"/>
  <c r="K69" i="10"/>
  <c r="L69" i="10" s="1"/>
  <c r="M69" i="10" s="1"/>
  <c r="N69" i="10" s="1"/>
  <c r="O69" i="10" s="1"/>
  <c r="P69" i="10" s="1"/>
  <c r="Y45" i="49"/>
  <c r="J24" i="39"/>
  <c r="J19" i="39" s="1"/>
  <c r="J12" i="42" s="1"/>
  <c r="J42" i="16"/>
  <c r="K20" i="35"/>
  <c r="K8" i="35" s="1"/>
  <c r="P280" i="37"/>
  <c r="Q280" i="37" s="1"/>
  <c r="W246" i="45"/>
  <c r="X246" i="45" s="1"/>
  <c r="I360" i="37"/>
  <c r="J360" i="37" s="1"/>
  <c r="K360" i="37" s="1"/>
  <c r="L360" i="37" s="1"/>
  <c r="M360" i="37" s="1"/>
  <c r="N360" i="37" s="1"/>
  <c r="P360" i="37"/>
  <c r="Q360" i="37" s="1"/>
  <c r="K295" i="49"/>
  <c r="M377" i="37"/>
  <c r="N377" i="37" s="1"/>
  <c r="P377" i="37"/>
  <c r="Q377" i="37" s="1"/>
  <c r="Y325" i="37"/>
  <c r="Z325" i="37" s="1"/>
  <c r="J7" i="48"/>
  <c r="P31" i="35"/>
  <c r="D131" i="22"/>
  <c r="N102" i="41"/>
  <c r="N36" i="2"/>
  <c r="S252" i="49"/>
  <c r="U252" i="49" s="1"/>
  <c r="Y179" i="37"/>
  <c r="Z179" i="37" s="1"/>
  <c r="X359" i="37"/>
  <c r="Y359" i="37"/>
  <c r="Z359" i="37" s="1"/>
  <c r="X164" i="37"/>
  <c r="Y164" i="37" s="1"/>
  <c r="Z164" i="37" s="1"/>
  <c r="W281" i="37"/>
  <c r="X281" i="37" s="1"/>
  <c r="Y281" i="37"/>
  <c r="Z281" i="37" s="1"/>
  <c r="L202" i="37"/>
  <c r="M202" i="37" s="1"/>
  <c r="N202" i="37" s="1"/>
  <c r="P202" i="37"/>
  <c r="Q202" i="37" s="1"/>
  <c r="W181" i="37"/>
  <c r="X181" i="37" s="1"/>
  <c r="Y181" i="37"/>
  <c r="Z181" i="37" s="1"/>
  <c r="U177" i="45"/>
  <c r="V177" i="45" s="1"/>
  <c r="W177" i="45" s="1"/>
  <c r="X177" i="45" s="1"/>
  <c r="Y177" i="45"/>
  <c r="Z177" i="45" s="1"/>
  <c r="I24" i="39"/>
  <c r="I42" i="16"/>
  <c r="I13" i="16" s="1"/>
  <c r="E21" i="42"/>
  <c r="E49" i="39"/>
  <c r="W300" i="45"/>
  <c r="X300" i="45" s="1"/>
  <c r="Y300" i="45"/>
  <c r="Z300" i="45" s="1"/>
  <c r="G385" i="49"/>
  <c r="F223" i="35"/>
  <c r="U326" i="45"/>
  <c r="V326" i="45" s="1"/>
  <c r="W326" i="45" s="1"/>
  <c r="X326" i="45" s="1"/>
  <c r="Y326" i="45"/>
  <c r="Z326" i="45" s="1"/>
  <c r="L210" i="37"/>
  <c r="M210" i="37" s="1"/>
  <c r="N210" i="37" s="1"/>
  <c r="W137" i="45"/>
  <c r="X137" i="45" s="1"/>
  <c r="Y137" i="45"/>
  <c r="Z137" i="45" s="1"/>
  <c r="Y22" i="49"/>
  <c r="W22" i="49"/>
  <c r="W182" i="37"/>
  <c r="X182" i="37" s="1"/>
  <c r="V321" i="37"/>
  <c r="W321" i="37" s="1"/>
  <c r="X321" i="37" s="1"/>
  <c r="Y321" i="37"/>
  <c r="Z321" i="37" s="1"/>
  <c r="X161" i="37"/>
  <c r="Y161" i="37"/>
  <c r="Z161" i="37" s="1"/>
  <c r="W355" i="37"/>
  <c r="X355" i="37" s="1"/>
  <c r="Y355" i="37"/>
  <c r="Z355" i="37" s="1"/>
  <c r="W166" i="37"/>
  <c r="X166" i="37" s="1"/>
  <c r="U107" i="45"/>
  <c r="V107" i="45" s="1"/>
  <c r="W107" i="45" s="1"/>
  <c r="X107" i="45" s="1"/>
  <c r="Y107" i="45"/>
  <c r="Z107" i="45" s="1"/>
  <c r="X152" i="45"/>
  <c r="Y152" i="45" s="1"/>
  <c r="Z152" i="45" s="1"/>
  <c r="X103" i="37"/>
  <c r="Y103" i="37"/>
  <c r="Z103" i="37" s="1"/>
  <c r="X163" i="37"/>
  <c r="Y163" i="37" s="1"/>
  <c r="Z163" i="37" s="1"/>
  <c r="N365" i="37"/>
  <c r="P365" i="37"/>
  <c r="Q365" i="37" s="1"/>
  <c r="D390" i="49"/>
  <c r="S63" i="48"/>
  <c r="AA63" i="48" s="1"/>
  <c r="S144" i="48"/>
  <c r="K34" i="48"/>
  <c r="Y318" i="37"/>
  <c r="Z318" i="37" s="1"/>
  <c r="Y315" i="45"/>
  <c r="Z315" i="45" s="1"/>
  <c r="Y120" i="37"/>
  <c r="Z120" i="37" s="1"/>
  <c r="O294" i="49"/>
  <c r="O293" i="49" s="1"/>
  <c r="M16" i="45"/>
  <c r="C129" i="22"/>
  <c r="L31" i="35"/>
  <c r="Y296" i="45"/>
  <c r="Z296" i="45" s="1"/>
  <c r="T180" i="45"/>
  <c r="U180" i="45" s="1"/>
  <c r="V180" i="45" s="1"/>
  <c r="W180" i="45" s="1"/>
  <c r="X180" i="45" s="1"/>
  <c r="Y180" i="45"/>
  <c r="Z180" i="45" s="1"/>
  <c r="T117" i="37"/>
  <c r="U117" i="37" s="1"/>
  <c r="V117" i="37" s="1"/>
  <c r="W117" i="37" s="1"/>
  <c r="X117" i="37" s="1"/>
  <c r="Y117" i="37"/>
  <c r="Z117" i="37" s="1"/>
  <c r="T223" i="37"/>
  <c r="U223" i="37" s="1"/>
  <c r="V223" i="37" s="1"/>
  <c r="W223" i="37" s="1"/>
  <c r="X223" i="37" s="1"/>
  <c r="Y151" i="37"/>
  <c r="Z151" i="37" s="1"/>
  <c r="J182" i="49"/>
  <c r="Y134" i="37"/>
  <c r="Z134" i="37" s="1"/>
  <c r="Y156" i="45"/>
  <c r="Z156" i="45" s="1"/>
  <c r="Y331" i="45"/>
  <c r="Z331" i="45" s="1"/>
  <c r="Y111" i="45"/>
  <c r="Z111" i="45" s="1"/>
  <c r="Q64" i="49"/>
  <c r="Y42" i="49"/>
  <c r="U42" i="49"/>
  <c r="S30" i="49"/>
  <c r="Y359" i="49"/>
  <c r="U359" i="49"/>
  <c r="U25" i="49"/>
  <c r="Y25" i="49"/>
  <c r="W25" i="49"/>
  <c r="R35" i="48"/>
  <c r="E314" i="49"/>
  <c r="E315" i="49"/>
  <c r="E6" i="49"/>
  <c r="H331" i="48"/>
  <c r="H316" i="48" s="1"/>
  <c r="D128" i="22"/>
  <c r="H333" i="49"/>
  <c r="H318" i="49" s="1"/>
  <c r="H221" i="35"/>
  <c r="I383" i="49"/>
  <c r="G57" i="41"/>
  <c r="G69" i="42"/>
  <c r="F18" i="45"/>
  <c r="E110" i="18"/>
  <c r="S20" i="42"/>
  <c r="T20" i="42"/>
  <c r="R20" i="42"/>
  <c r="Y273" i="45"/>
  <c r="Z273" i="45" s="1"/>
  <c r="W293" i="37"/>
  <c r="X293" i="37" s="1"/>
  <c r="W276" i="37"/>
  <c r="X276" i="37" s="1"/>
  <c r="Y276" i="37"/>
  <c r="Z276" i="37" s="1"/>
  <c r="M207" i="37"/>
  <c r="N207" i="37" s="1"/>
  <c r="V106" i="37"/>
  <c r="W106" i="37" s="1"/>
  <c r="X106" i="37" s="1"/>
  <c r="Y106" i="37"/>
  <c r="Z106" i="37" s="1"/>
  <c r="K211" i="37"/>
  <c r="L211" i="37" s="1"/>
  <c r="M211" i="37" s="1"/>
  <c r="N211" i="37" s="1"/>
  <c r="P211" i="37"/>
  <c r="Q211" i="37" s="1"/>
  <c r="N208" i="37"/>
  <c r="P208" i="37"/>
  <c r="Q208" i="37" s="1"/>
  <c r="Q374" i="48"/>
  <c r="O287" i="48"/>
  <c r="I36" i="49"/>
  <c r="I8" i="49" s="1"/>
  <c r="R134" i="20"/>
  <c r="P381" i="37"/>
  <c r="Q381" i="37" s="1"/>
  <c r="Y142" i="45"/>
  <c r="Z142" i="45" s="1"/>
  <c r="L182" i="49"/>
  <c r="S55" i="49"/>
  <c r="Y297" i="37"/>
  <c r="Z297" i="37" s="1"/>
  <c r="N240" i="49"/>
  <c r="Y247" i="45"/>
  <c r="Z247" i="45" s="1"/>
  <c r="T303" i="37"/>
  <c r="U303" i="37" s="1"/>
  <c r="V303" i="37" s="1"/>
  <c r="W303" i="37" s="1"/>
  <c r="X303" i="37" s="1"/>
  <c r="T104" i="45"/>
  <c r="U104" i="45" s="1"/>
  <c r="V104" i="45" s="1"/>
  <c r="W104" i="45" s="1"/>
  <c r="X104" i="45" s="1"/>
  <c r="Y104" i="45"/>
  <c r="Z104" i="45" s="1"/>
  <c r="Y130" i="37"/>
  <c r="Z130" i="37" s="1"/>
  <c r="Y270" i="45"/>
  <c r="Z270" i="45" s="1"/>
  <c r="T104" i="37"/>
  <c r="U104" i="37" s="1"/>
  <c r="V104" i="37" s="1"/>
  <c r="W104" i="37" s="1"/>
  <c r="X104" i="37" s="1"/>
  <c r="K135" i="20"/>
  <c r="K134" i="20" s="1"/>
  <c r="O182" i="49"/>
  <c r="G20" i="35"/>
  <c r="F22" i="39"/>
  <c r="T19" i="35"/>
  <c r="Y288" i="45"/>
  <c r="Z288" i="45" s="1"/>
  <c r="W255" i="45"/>
  <c r="X255" i="45" s="1"/>
  <c r="Y255" i="45"/>
  <c r="Z255" i="45" s="1"/>
  <c r="U313" i="37"/>
  <c r="V313" i="37" s="1"/>
  <c r="W313" i="37" s="1"/>
  <c r="X313" i="37" s="1"/>
  <c r="Y313" i="37"/>
  <c r="Z313" i="37" s="1"/>
  <c r="U347" i="37"/>
  <c r="V347" i="37" s="1"/>
  <c r="W347" i="37" s="1"/>
  <c r="X347" i="37" s="1"/>
  <c r="Y347" i="37"/>
  <c r="Z347" i="37" s="1"/>
  <c r="S203" i="35"/>
  <c r="T203" i="35"/>
  <c r="R203" i="35"/>
  <c r="M64" i="49"/>
  <c r="M36" i="49" s="1"/>
  <c r="Y47" i="49"/>
  <c r="U47" i="49"/>
  <c r="L233" i="49"/>
  <c r="S234" i="49"/>
  <c r="U234" i="49" s="1"/>
  <c r="P182" i="49"/>
  <c r="U11" i="49"/>
  <c r="Y11" i="49"/>
  <c r="L22" i="39"/>
  <c r="L20" i="39" s="1"/>
  <c r="L19" i="39" s="1"/>
  <c r="L12" i="42" s="1"/>
  <c r="M20" i="35"/>
  <c r="M8" i="35" s="1"/>
  <c r="F84" i="22"/>
  <c r="L50" i="42"/>
  <c r="L48" i="42" s="1"/>
  <c r="L33" i="40"/>
  <c r="P31" i="29"/>
  <c r="Q131" i="22"/>
  <c r="P128" i="22"/>
  <c r="E35" i="21"/>
  <c r="R7" i="21"/>
  <c r="E6" i="21"/>
  <c r="U263" i="37"/>
  <c r="V263" i="37" s="1"/>
  <c r="W263" i="37" s="1"/>
  <c r="X263" i="37" s="1"/>
  <c r="Y263" i="37"/>
  <c r="Z263" i="37" s="1"/>
  <c r="Y329" i="37"/>
  <c r="Z329" i="37" s="1"/>
  <c r="V329" i="37"/>
  <c r="W329" i="37" s="1"/>
  <c r="X329" i="37" s="1"/>
  <c r="W157" i="45"/>
  <c r="X157" i="45" s="1"/>
  <c r="Y157" i="45"/>
  <c r="Z157" i="45" s="1"/>
  <c r="Y110" i="37"/>
  <c r="Z110" i="37" s="1"/>
  <c r="W286" i="45"/>
  <c r="X286" i="45" s="1"/>
  <c r="Y286" i="45"/>
  <c r="Z286" i="45" s="1"/>
  <c r="K249" i="37"/>
  <c r="L249" i="37" s="1"/>
  <c r="M249" i="37" s="1"/>
  <c r="K251" i="37"/>
  <c r="L251" i="37" s="1"/>
  <c r="M251" i="37" s="1"/>
  <c r="P157" i="49"/>
  <c r="P154" i="49" s="1"/>
  <c r="S264" i="48"/>
  <c r="G18" i="42"/>
  <c r="G224" i="45"/>
  <c r="H224" i="45" s="1"/>
  <c r="X273" i="45"/>
  <c r="L215" i="37"/>
  <c r="M215" i="37" s="1"/>
  <c r="N215" i="37" s="1"/>
  <c r="X179" i="37"/>
  <c r="J206" i="37"/>
  <c r="K206" i="37" s="1"/>
  <c r="L206" i="37" s="1"/>
  <c r="M206" i="37" s="1"/>
  <c r="N206" i="37" s="1"/>
  <c r="X110" i="37"/>
  <c r="Y332" i="37"/>
  <c r="Z332" i="37" s="1"/>
  <c r="W160" i="45"/>
  <c r="X160" i="45" s="1"/>
  <c r="Y327" i="37"/>
  <c r="Z327" i="37" s="1"/>
  <c r="T327" i="37"/>
  <c r="U327" i="37" s="1"/>
  <c r="V327" i="37" s="1"/>
  <c r="W327" i="37" s="1"/>
  <c r="X327" i="37" s="1"/>
  <c r="P379" i="37"/>
  <c r="Q379" i="37" s="1"/>
  <c r="Y255" i="37"/>
  <c r="Z255" i="37" s="1"/>
  <c r="P363" i="45"/>
  <c r="Q363" i="45" s="1"/>
  <c r="D387" i="48"/>
  <c r="M182" i="49"/>
  <c r="M230" i="48"/>
  <c r="H72" i="16"/>
  <c r="K24" i="49"/>
  <c r="S319" i="49"/>
  <c r="F8" i="49"/>
  <c r="F7" i="49" s="1"/>
  <c r="G9" i="35"/>
  <c r="U9" i="35" s="1"/>
  <c r="I35" i="48"/>
  <c r="H238" i="48"/>
  <c r="H230" i="48" s="1"/>
  <c r="Q11" i="35"/>
  <c r="S266" i="49"/>
  <c r="U266" i="49" s="1"/>
  <c r="N365" i="49"/>
  <c r="P359" i="45"/>
  <c r="Q359" i="45" s="1"/>
  <c r="H359" i="45"/>
  <c r="P219" i="45"/>
  <c r="Q219" i="45" s="1"/>
  <c r="Y99" i="45"/>
  <c r="Z99" i="45" s="1"/>
  <c r="P378" i="37"/>
  <c r="Q378" i="37" s="1"/>
  <c r="K378" i="37"/>
  <c r="L378" i="37" s="1"/>
  <c r="M378" i="37" s="1"/>
  <c r="N378" i="37" s="1"/>
  <c r="K236" i="37"/>
  <c r="L236" i="37" s="1"/>
  <c r="M236" i="37" s="1"/>
  <c r="N236" i="37" s="1"/>
  <c r="K155" i="48"/>
  <c r="K152" i="48" s="1"/>
  <c r="S27" i="48"/>
  <c r="H88" i="35"/>
  <c r="R15" i="35"/>
  <c r="S178" i="48"/>
  <c r="L34" i="48"/>
  <c r="J64" i="49"/>
  <c r="S25" i="48"/>
  <c r="H155" i="48"/>
  <c r="H152" i="48" s="1"/>
  <c r="S14" i="49"/>
  <c r="I10" i="49"/>
  <c r="I9" i="49" s="1"/>
  <c r="S70" i="49"/>
  <c r="J14" i="16"/>
  <c r="J343" i="49"/>
  <c r="J342" i="49" s="1"/>
  <c r="F339" i="49"/>
  <c r="N69" i="49"/>
  <c r="N64" i="49" s="1"/>
  <c r="N36" i="49" s="1"/>
  <c r="Q22" i="48"/>
  <c r="S22" i="48" s="1"/>
  <c r="F6" i="48"/>
  <c r="F5" i="48" s="1"/>
  <c r="J200" i="48"/>
  <c r="K230" i="48"/>
  <c r="N176" i="48"/>
  <c r="Q185" i="48"/>
  <c r="Q184" i="48" s="1"/>
  <c r="Q180" i="48" s="1"/>
  <c r="R152" i="48"/>
  <c r="I242" i="48"/>
  <c r="I358" i="49"/>
  <c r="G49" i="39"/>
  <c r="Y319" i="45"/>
  <c r="Z319" i="45" s="1"/>
  <c r="Y389" i="45"/>
  <c r="Z389" i="45" s="1"/>
  <c r="Y136" i="45"/>
  <c r="Z136" i="45" s="1"/>
  <c r="Y185" i="37"/>
  <c r="Z185" i="37" s="1"/>
  <c r="T185" i="37"/>
  <c r="U185" i="37" s="1"/>
  <c r="V185" i="37" s="1"/>
  <c r="W185" i="37" s="1"/>
  <c r="X185" i="37" s="1"/>
  <c r="T296" i="37"/>
  <c r="U296" i="37" s="1"/>
  <c r="V296" i="37" s="1"/>
  <c r="W296" i="37" s="1"/>
  <c r="X296" i="37" s="1"/>
  <c r="P198" i="37"/>
  <c r="Q198" i="37" s="1"/>
  <c r="X269" i="37"/>
  <c r="Y269" i="37"/>
  <c r="Z269" i="37" s="1"/>
  <c r="P205" i="37"/>
  <c r="Q205" i="37" s="1"/>
  <c r="Y326" i="37"/>
  <c r="Z326" i="37" s="1"/>
  <c r="S120" i="45"/>
  <c r="T120" i="45" s="1"/>
  <c r="U120" i="45" s="1"/>
  <c r="V120" i="45" s="1"/>
  <c r="W120" i="45" s="1"/>
  <c r="X120" i="45" s="1"/>
  <c r="Y120" i="45"/>
  <c r="Z120" i="45" s="1"/>
  <c r="X146" i="37"/>
  <c r="Y146" i="37"/>
  <c r="Z146" i="37" s="1"/>
  <c r="Q95" i="48"/>
  <c r="J31" i="35"/>
  <c r="P95" i="48"/>
  <c r="S42" i="48"/>
  <c r="AA42" i="48" s="1"/>
  <c r="O240" i="49"/>
  <c r="R240" i="49"/>
  <c r="R232" i="49" s="1"/>
  <c r="R182" i="49"/>
  <c r="E341" i="49"/>
  <c r="E340" i="49" s="1"/>
  <c r="E339" i="49" s="1"/>
  <c r="L69" i="49"/>
  <c r="L64" i="49" s="1"/>
  <c r="R8" i="48"/>
  <c r="R7" i="48" s="1"/>
  <c r="R52" i="48"/>
  <c r="S52" i="48" s="1"/>
  <c r="AA52" i="48" s="1"/>
  <c r="M185" i="48"/>
  <c r="P155" i="48"/>
  <c r="P152" i="48" s="1"/>
  <c r="S229" i="49"/>
  <c r="U229" i="49" s="1"/>
  <c r="N242" i="48"/>
  <c r="M379" i="37"/>
  <c r="N379" i="37" s="1"/>
  <c r="X255" i="37"/>
  <c r="H363" i="45"/>
  <c r="V167" i="45"/>
  <c r="W167" i="45" s="1"/>
  <c r="X167" i="45" s="1"/>
  <c r="Y117" i="45"/>
  <c r="Z117" i="45" s="1"/>
  <c r="Y274" i="45"/>
  <c r="Z274" i="45" s="1"/>
  <c r="P148" i="45"/>
  <c r="Q148" i="45" s="1"/>
  <c r="X346" i="45"/>
  <c r="Y346" i="45" s="1"/>
  <c r="Z346" i="45" s="1"/>
  <c r="P318" i="45"/>
  <c r="Q318" i="45" s="1"/>
  <c r="T276" i="45"/>
  <c r="U276" i="45" s="1"/>
  <c r="V276" i="45" s="1"/>
  <c r="W276" i="45" s="1"/>
  <c r="X276" i="45" s="1"/>
  <c r="Y276" i="45"/>
  <c r="Z276" i="45" s="1"/>
  <c r="J46" i="35"/>
  <c r="G58" i="39"/>
  <c r="G56" i="39" s="1"/>
  <c r="G21" i="42" s="1"/>
  <c r="G73" i="39"/>
  <c r="G72" i="39" s="1"/>
  <c r="G26" i="42" s="1"/>
  <c r="V191" i="35"/>
  <c r="W191" i="35"/>
  <c r="X31" i="29"/>
  <c r="J47" i="25"/>
  <c r="K47" i="2" s="1"/>
  <c r="U270" i="37"/>
  <c r="V270" i="37" s="1"/>
  <c r="W270" i="37" s="1"/>
  <c r="X270" i="37" s="1"/>
  <c r="J166" i="35"/>
  <c r="R175" i="35"/>
  <c r="W175" i="35" s="1"/>
  <c r="I131" i="20"/>
  <c r="Y135" i="20"/>
  <c r="R195" i="35"/>
  <c r="Q194" i="35"/>
  <c r="R32" i="24"/>
  <c r="N200" i="37"/>
  <c r="P200" i="37"/>
  <c r="Q200" i="37" s="1"/>
  <c r="X145" i="37"/>
  <c r="Y145" i="37"/>
  <c r="Z145" i="37" s="1"/>
  <c r="P7" i="39"/>
  <c r="N393" i="16"/>
  <c r="Q393" i="16" s="1"/>
  <c r="N62" i="39"/>
  <c r="Q62" i="39" s="1"/>
  <c r="O31" i="29"/>
  <c r="S227" i="45"/>
  <c r="T227" i="45" s="1"/>
  <c r="U227" i="45" s="1"/>
  <c r="V227" i="45" s="1"/>
  <c r="W227" i="45" s="1"/>
  <c r="X227" i="45" s="1"/>
  <c r="Y227" i="45"/>
  <c r="Z227" i="45" s="1"/>
  <c r="W277" i="45"/>
  <c r="X277" i="45" s="1"/>
  <c r="S20" i="37"/>
  <c r="P301" i="45"/>
  <c r="Q301" i="45" s="1"/>
  <c r="I289" i="48"/>
  <c r="I291" i="49"/>
  <c r="I289" i="49" s="1"/>
  <c r="G14" i="40"/>
  <c r="G12" i="40" s="1"/>
  <c r="O35" i="21"/>
  <c r="AA35" i="21" s="1"/>
  <c r="O67" i="21"/>
  <c r="N141" i="20"/>
  <c r="N139" i="20" s="1"/>
  <c r="N134" i="20" s="1"/>
  <c r="N75" i="20"/>
  <c r="Z18" i="20"/>
  <c r="P65" i="41" s="1"/>
  <c r="S69" i="10"/>
  <c r="S68" i="10" s="1"/>
  <c r="L224" i="37"/>
  <c r="M224" i="37" s="1"/>
  <c r="N224" i="37" s="1"/>
  <c r="P224" i="37"/>
  <c r="Q224" i="37" s="1"/>
  <c r="K382" i="37"/>
  <c r="L382" i="37" s="1"/>
  <c r="M382" i="37" s="1"/>
  <c r="N382" i="37" s="1"/>
  <c r="P382" i="37"/>
  <c r="Q382" i="37" s="1"/>
  <c r="K57" i="41"/>
  <c r="K56" i="41" s="1"/>
  <c r="K69" i="42"/>
  <c r="K68" i="42" s="1"/>
  <c r="K67" i="42" s="1"/>
  <c r="K64" i="41"/>
  <c r="P200" i="45"/>
  <c r="Q200" i="45" s="1"/>
  <c r="Y287" i="45"/>
  <c r="Z287" i="45" s="1"/>
  <c r="W287" i="45"/>
  <c r="X287" i="45" s="1"/>
  <c r="O64" i="41"/>
  <c r="O69" i="42"/>
  <c r="O68" i="42" s="1"/>
  <c r="O67" i="42" s="1"/>
  <c r="O65" i="42" s="1"/>
  <c r="K138" i="20"/>
  <c r="X127" i="20"/>
  <c r="S359" i="48"/>
  <c r="AA359" i="48" s="1"/>
  <c r="Y130" i="45"/>
  <c r="Z130" i="45" s="1"/>
  <c r="K217" i="37"/>
  <c r="L217" i="37" s="1"/>
  <c r="M217" i="37" s="1"/>
  <c r="N217" i="37" s="1"/>
  <c r="P217" i="37"/>
  <c r="Q217" i="37" s="1"/>
  <c r="H318" i="45"/>
  <c r="R382" i="49"/>
  <c r="Q220" i="35"/>
  <c r="Y192" i="45"/>
  <c r="Z192" i="45" s="1"/>
  <c r="H344" i="49"/>
  <c r="H342" i="48"/>
  <c r="H187" i="35"/>
  <c r="I342" i="48"/>
  <c r="I341" i="48" s="1"/>
  <c r="I340" i="48" s="1"/>
  <c r="I339" i="48" s="1"/>
  <c r="Q344" i="49"/>
  <c r="Q343" i="49" s="1"/>
  <c r="Q342" i="49" s="1"/>
  <c r="Q341" i="49" s="1"/>
  <c r="P187" i="35"/>
  <c r="P186" i="35" s="1"/>
  <c r="P185" i="35" s="1"/>
  <c r="P184" i="35" s="1"/>
  <c r="P183" i="35" s="1"/>
  <c r="P182" i="35" s="1"/>
  <c r="Q345" i="49"/>
  <c r="N376" i="37"/>
  <c r="P376" i="37"/>
  <c r="Q376" i="37" s="1"/>
  <c r="H354" i="45"/>
  <c r="P354" i="45"/>
  <c r="Q354" i="45" s="1"/>
  <c r="V160" i="37"/>
  <c r="W160" i="37" s="1"/>
  <c r="X160" i="37" s="1"/>
  <c r="Y160" i="37"/>
  <c r="Z160" i="37" s="1"/>
  <c r="T15" i="42"/>
  <c r="J80" i="49"/>
  <c r="J79" i="49" s="1"/>
  <c r="Q206" i="16"/>
  <c r="I100" i="35"/>
  <c r="I99" i="35" s="1"/>
  <c r="N66" i="35"/>
  <c r="N65" i="35" s="1"/>
  <c r="N63" i="35" s="1"/>
  <c r="N22" i="35"/>
  <c r="P176" i="45"/>
  <c r="AA11" i="21"/>
  <c r="F220" i="35"/>
  <c r="N53" i="39"/>
  <c r="H241" i="45"/>
  <c r="P241" i="45" s="1"/>
  <c r="Q241" i="45" s="1"/>
  <c r="P317" i="37"/>
  <c r="Q317" i="37" s="1"/>
  <c r="U105" i="45"/>
  <c r="V105" i="45" s="1"/>
  <c r="W105" i="45" s="1"/>
  <c r="X105" i="45" s="1"/>
  <c r="N62" i="16"/>
  <c r="G362" i="48"/>
  <c r="K362" i="48"/>
  <c r="U127" i="20"/>
  <c r="J21" i="35"/>
  <c r="Y383" i="45"/>
  <c r="Z383" i="45" s="1"/>
  <c r="X254" i="37"/>
  <c r="Y254" i="37" s="1"/>
  <c r="Z254" i="37" s="1"/>
  <c r="K58" i="23"/>
  <c r="M385" i="16"/>
  <c r="G58" i="23"/>
  <c r="O58" i="23" s="1"/>
  <c r="O60" i="23" s="1"/>
  <c r="I385" i="16"/>
  <c r="I395" i="16"/>
  <c r="G56" i="23"/>
  <c r="G51" i="23"/>
  <c r="N46" i="35"/>
  <c r="H25" i="35"/>
  <c r="O21" i="35"/>
  <c r="O205" i="16"/>
  <c r="P90" i="35" s="1"/>
  <c r="P88" i="35" s="1"/>
  <c r="H7" i="39"/>
  <c r="U17" i="48"/>
  <c r="T355" i="48"/>
  <c r="Q43" i="23"/>
  <c r="Q45" i="23"/>
  <c r="P368" i="37"/>
  <c r="Q368" i="37" s="1"/>
  <c r="H194" i="45"/>
  <c r="P194" i="45"/>
  <c r="Q194" i="45" s="1"/>
  <c r="W307" i="45"/>
  <c r="X307" i="45" s="1"/>
  <c r="W390" i="45"/>
  <c r="X390" i="45" s="1"/>
  <c r="Y390" i="45"/>
  <c r="Z390" i="45" s="1"/>
  <c r="G302" i="45"/>
  <c r="H302" i="45" s="1"/>
  <c r="I212" i="37"/>
  <c r="J212" i="37" s="1"/>
  <c r="K212" i="37" s="1"/>
  <c r="L212" i="37" s="1"/>
  <c r="M212" i="37" s="1"/>
  <c r="N212" i="37" s="1"/>
  <c r="P212" i="37"/>
  <c r="Q212" i="37" s="1"/>
  <c r="I232" i="37"/>
  <c r="J232" i="37" s="1"/>
  <c r="K232" i="37" s="1"/>
  <c r="L232" i="37" s="1"/>
  <c r="M232" i="37" s="1"/>
  <c r="N232" i="37" s="1"/>
  <c r="P232" i="37"/>
  <c r="Q232" i="37" s="1"/>
  <c r="H362" i="45"/>
  <c r="P362" i="45"/>
  <c r="Q362" i="45" s="1"/>
  <c r="I310" i="37"/>
  <c r="P310" i="37"/>
  <c r="Q310" i="37" s="1"/>
  <c r="H215" i="45"/>
  <c r="P215" i="45" s="1"/>
  <c r="Q215" i="45" s="1"/>
  <c r="Q152" i="37"/>
  <c r="Z152" i="37" s="1"/>
  <c r="H343" i="45"/>
  <c r="I343" i="45" s="1"/>
  <c r="J343" i="45" s="1"/>
  <c r="K343" i="45" s="1"/>
  <c r="L343" i="45" s="1"/>
  <c r="P343" i="45"/>
  <c r="Q343" i="45" s="1"/>
  <c r="P314" i="37"/>
  <c r="Q314" i="37" s="1"/>
  <c r="R340" i="45"/>
  <c r="S341" i="45"/>
  <c r="I58" i="23"/>
  <c r="K385" i="16"/>
  <c r="K395" i="16"/>
  <c r="I56" i="23"/>
  <c r="G309" i="45"/>
  <c r="H309" i="45" s="1"/>
  <c r="E58" i="23"/>
  <c r="G385" i="16"/>
  <c r="E56" i="23"/>
  <c r="O56" i="23" s="1"/>
  <c r="E51" i="23"/>
  <c r="G395" i="16"/>
  <c r="Q395" i="16" s="1"/>
  <c r="H150" i="37"/>
  <c r="I150" i="37" s="1"/>
  <c r="P150" i="37"/>
  <c r="Q150" i="37" s="1"/>
  <c r="Q169" i="37"/>
  <c r="R169" i="37"/>
  <c r="R162" i="45"/>
  <c r="Q162" i="45"/>
  <c r="P337" i="45"/>
  <c r="P322" i="45" s="1"/>
  <c r="R338" i="45"/>
  <c r="S188" i="45"/>
  <c r="P253" i="37"/>
  <c r="Q253" i="37" s="1"/>
  <c r="Z253" i="37" s="1"/>
  <c r="Y262" i="37"/>
  <c r="Z262" i="37" s="1"/>
  <c r="H306" i="37"/>
  <c r="I306" i="37" s="1"/>
  <c r="F226" i="45"/>
  <c r="G226" i="45" s="1"/>
  <c r="H226" i="45" s="1"/>
  <c r="Y131" i="37"/>
  <c r="Z131" i="37" s="1"/>
  <c r="P385" i="16"/>
  <c r="R41" i="42"/>
  <c r="Q338" i="45"/>
  <c r="Q127" i="37"/>
  <c r="Q159" i="45"/>
  <c r="Z159" i="45" s="1"/>
  <c r="P158" i="45"/>
  <c r="Q158" i="45" s="1"/>
  <c r="Z158" i="45" s="1"/>
  <c r="F58" i="23"/>
  <c r="H385" i="16"/>
  <c r="D58" i="23"/>
  <c r="F385" i="16"/>
  <c r="V111" i="35"/>
  <c r="W111" i="35"/>
  <c r="R134" i="45"/>
  <c r="Y181" i="45"/>
  <c r="Z181" i="45" s="1"/>
  <c r="H58" i="23"/>
  <c r="J385" i="16"/>
  <c r="P225" i="45"/>
  <c r="Q225" i="45" s="1"/>
  <c r="J176" i="37"/>
  <c r="J26" i="37" s="1"/>
  <c r="J402" i="37" s="1"/>
  <c r="J404" i="37" s="1"/>
  <c r="Q157" i="37"/>
  <c r="R157" i="37"/>
  <c r="M252" i="37"/>
  <c r="M176" i="37" s="1"/>
  <c r="M26" i="37" s="1"/>
  <c r="M402" i="37" s="1"/>
  <c r="M404" i="37" s="1"/>
  <c r="W206" i="35"/>
  <c r="X206" i="35"/>
  <c r="V206" i="35"/>
  <c r="V224" i="35"/>
  <c r="W224" i="35"/>
  <c r="G252" i="37"/>
  <c r="C128" i="45"/>
  <c r="V119" i="35"/>
  <c r="W119" i="35"/>
  <c r="V123" i="35"/>
  <c r="W123" i="35"/>
  <c r="V148" i="35"/>
  <c r="W148" i="35"/>
  <c r="W174" i="35"/>
  <c r="V174" i="35"/>
  <c r="P109" i="18"/>
  <c r="Q109" i="18" s="1"/>
  <c r="J18" i="45"/>
  <c r="J16" i="45" s="1"/>
  <c r="G344" i="16"/>
  <c r="J10" i="39"/>
  <c r="J7" i="39" s="1"/>
  <c r="I7" i="39"/>
  <c r="O323" i="37"/>
  <c r="O322" i="37" s="1"/>
  <c r="O26" i="37" s="1"/>
  <c r="P126" i="45"/>
  <c r="Q145" i="45"/>
  <c r="R145" i="45"/>
  <c r="E196" i="45"/>
  <c r="F196" i="45" s="1"/>
  <c r="G196" i="45" s="1"/>
  <c r="H196" i="45" s="1"/>
  <c r="P196" i="45"/>
  <c r="Q196" i="45" s="1"/>
  <c r="H251" i="45"/>
  <c r="H175" i="45" s="1"/>
  <c r="H25" i="45" s="1"/>
  <c r="Q337" i="45"/>
  <c r="E6" i="48"/>
  <c r="E5" i="48" s="1"/>
  <c r="F348" i="48"/>
  <c r="F339" i="48" s="1"/>
  <c r="F338" i="48" s="1"/>
  <c r="F337" i="48" s="1"/>
  <c r="I98" i="45"/>
  <c r="I25" i="45" s="1"/>
  <c r="E176" i="45"/>
  <c r="E175" i="45" s="1"/>
  <c r="E25" i="45" s="1"/>
  <c r="W170" i="35"/>
  <c r="V170" i="35"/>
  <c r="G255" i="35"/>
  <c r="E331" i="48"/>
  <c r="L7" i="39"/>
  <c r="I46" i="18"/>
  <c r="Q46" i="18" s="1"/>
  <c r="Q335" i="16"/>
  <c r="F333" i="16"/>
  <c r="Q333" i="16" s="1"/>
  <c r="R58" i="18"/>
  <c r="R110" i="18" s="1"/>
  <c r="Q369" i="16"/>
  <c r="F139" i="20"/>
  <c r="F134" i="20" s="1"/>
  <c r="C49" i="2"/>
  <c r="H61" i="10"/>
  <c r="H67" i="10"/>
  <c r="H58" i="10" s="1"/>
  <c r="F363" i="16"/>
  <c r="AV6" i="22"/>
  <c r="AR65" i="22"/>
  <c r="K28" i="10"/>
  <c r="I51" i="39" s="1"/>
  <c r="S42" i="10"/>
  <c r="S28" i="10"/>
  <c r="S21" i="10" s="1"/>
  <c r="S20" i="10" s="1"/>
  <c r="N177" i="16"/>
  <c r="X5" i="29"/>
  <c r="X18" i="29" s="1"/>
  <c r="K112" i="16"/>
  <c r="V5" i="24"/>
  <c r="V19" i="24" s="1"/>
  <c r="V32" i="24" s="1"/>
  <c r="U5" i="24"/>
  <c r="U19" i="24" s="1"/>
  <c r="U32" i="24" s="1"/>
  <c r="H112" i="16"/>
  <c r="S5" i="24"/>
  <c r="S19" i="24" s="1"/>
  <c r="S32" i="24" s="1"/>
  <c r="R5" i="24"/>
  <c r="R19" i="24" s="1"/>
  <c r="E177" i="16"/>
  <c r="P5" i="29"/>
  <c r="P18" i="29" s="1"/>
  <c r="O5" i="29"/>
  <c r="O18" i="29" s="1"/>
  <c r="H12" i="45"/>
  <c r="D7" i="35"/>
  <c r="D157" i="35" s="1"/>
  <c r="I235" i="35"/>
  <c r="E21" i="45"/>
  <c r="E19" i="45" s="1"/>
  <c r="E12" i="45" s="1"/>
  <c r="O19" i="45"/>
  <c r="O12" i="45" s="1"/>
  <c r="H29" i="42"/>
  <c r="U171" i="16"/>
  <c r="K307" i="16"/>
  <c r="S60" i="10"/>
  <c r="R59" i="10"/>
  <c r="AN6" i="22"/>
  <c r="H65" i="22"/>
  <c r="AV65" i="22"/>
  <c r="AL66" i="22"/>
  <c r="AL65" i="22" s="1"/>
  <c r="E81" i="21"/>
  <c r="D81" i="21"/>
  <c r="Q15" i="41"/>
  <c r="L364" i="49"/>
  <c r="L350" i="49" s="1"/>
  <c r="L341" i="49" s="1"/>
  <c r="L340" i="49" s="1"/>
  <c r="L357" i="48"/>
  <c r="L377" i="48"/>
  <c r="L380" i="49"/>
  <c r="H39" i="2"/>
  <c r="Q41" i="2"/>
  <c r="H12" i="41"/>
  <c r="S32" i="11"/>
  <c r="V33" i="11"/>
  <c r="N55" i="39"/>
  <c r="Q55" i="39" s="1"/>
  <c r="U128" i="35"/>
  <c r="I21" i="45"/>
  <c r="I19" i="45" s="1"/>
  <c r="I12" i="45" s="1"/>
  <c r="K152" i="20"/>
  <c r="O18" i="23"/>
  <c r="Q18" i="23" s="1"/>
  <c r="V5" i="25"/>
  <c r="AB32" i="21"/>
  <c r="AB36" i="21" s="1"/>
  <c r="T77" i="6"/>
  <c r="S77" i="6" s="1"/>
  <c r="BA26" i="22"/>
  <c r="BA6" i="22" s="1"/>
  <c r="D26" i="22"/>
  <c r="D6" i="22" s="1"/>
  <c r="AY40" i="22"/>
  <c r="AY26" i="22" s="1"/>
  <c r="AY6" i="22" s="1"/>
  <c r="AR84" i="22"/>
  <c r="L92" i="21"/>
  <c r="Y36" i="21"/>
  <c r="I19" i="24"/>
  <c r="G356" i="48"/>
  <c r="G363" i="49"/>
  <c r="S363" i="49" s="1"/>
  <c r="J20" i="45"/>
  <c r="L235" i="35"/>
  <c r="L247" i="35" s="1"/>
  <c r="L255" i="35"/>
  <c r="F317" i="48"/>
  <c r="F316" i="48" s="1"/>
  <c r="F315" i="48" s="1"/>
  <c r="L21" i="41"/>
  <c r="Q6" i="20"/>
  <c r="P6" i="20"/>
  <c r="F148" i="20"/>
  <c r="G151" i="20"/>
  <c r="F151" i="20"/>
  <c r="F5" i="11"/>
  <c r="G58" i="10"/>
  <c r="N58" i="10"/>
  <c r="AF6" i="22"/>
  <c r="AN26" i="22"/>
  <c r="V36" i="21"/>
  <c r="F19" i="24"/>
  <c r="M368" i="48"/>
  <c r="M371" i="49"/>
  <c r="L83" i="21"/>
  <c r="K19" i="40"/>
  <c r="AW65" i="22"/>
  <c r="AW26" i="22"/>
  <c r="AW6" i="22" s="1"/>
  <c r="N131" i="22" s="1"/>
  <c r="AL27" i="22"/>
  <c r="AL26" i="22" s="1"/>
  <c r="AL6" i="22" s="1"/>
  <c r="AH48" i="22"/>
  <c r="AH40" i="22" s="1"/>
  <c r="AH26" i="22" s="1"/>
  <c r="AH6" i="22" s="1"/>
  <c r="AA40" i="22"/>
  <c r="AA26" i="22" s="1"/>
  <c r="AA6" i="22" s="1"/>
  <c r="I124" i="22" s="1"/>
  <c r="K36" i="2" s="1"/>
  <c r="Z27" i="22"/>
  <c r="Z26" i="22" s="1"/>
  <c r="Z6" i="22" s="1"/>
  <c r="O372" i="49"/>
  <c r="O370" i="49" s="1"/>
  <c r="O365" i="49" s="1"/>
  <c r="O369" i="48"/>
  <c r="O367" i="48" s="1"/>
  <c r="O362" i="48" s="1"/>
  <c r="I372" i="49"/>
  <c r="I369" i="48"/>
  <c r="P350" i="48"/>
  <c r="S350" i="48" s="1"/>
  <c r="P352" i="49"/>
  <c r="Z85" i="22"/>
  <c r="Z84" i="22" s="1"/>
  <c r="Z65" i="22" s="1"/>
  <c r="AQ65" i="22"/>
  <c r="M123" i="22" s="1"/>
  <c r="M305" i="49"/>
  <c r="M303" i="49" s="1"/>
  <c r="S303" i="49" s="1"/>
  <c r="M19" i="10"/>
  <c r="E40" i="25"/>
  <c r="H40" i="25"/>
  <c r="N40" i="25"/>
  <c r="F40" i="25"/>
  <c r="J40" i="25"/>
  <c r="M40" i="25"/>
  <c r="G40" i="25"/>
  <c r="K40" i="25"/>
  <c r="D40" i="25"/>
  <c r="L40" i="25"/>
  <c r="D92" i="21"/>
  <c r="H92" i="21"/>
  <c r="Y31" i="33"/>
  <c r="N364" i="49"/>
  <c r="N357" i="48"/>
  <c r="J364" i="49"/>
  <c r="S364" i="49" s="1"/>
  <c r="J357" i="48"/>
  <c r="R48" i="22"/>
  <c r="R40" i="22" s="1"/>
  <c r="R26" i="22" s="1"/>
  <c r="R6" i="22" s="1"/>
  <c r="J41" i="22"/>
  <c r="J40" i="22" s="1"/>
  <c r="J26" i="22" s="1"/>
  <c r="J6" i="22" s="1"/>
  <c r="Q372" i="49"/>
  <c r="Q370" i="49" s="1"/>
  <c r="Q365" i="49" s="1"/>
  <c r="Q369" i="48"/>
  <c r="Q367" i="48" s="1"/>
  <c r="Q362" i="48" s="1"/>
  <c r="K345" i="48"/>
  <c r="K347" i="49"/>
  <c r="S360" i="48"/>
  <c r="AA360" i="48" s="1"/>
  <c r="AG40" i="22"/>
  <c r="AG26" i="22" s="1"/>
  <c r="AG6" i="22" s="1"/>
  <c r="J131" i="22" s="1"/>
  <c r="U40" i="22"/>
  <c r="U26" i="22" s="1"/>
  <c r="U6" i="22" s="1"/>
  <c r="G131" i="22" s="1"/>
  <c r="F99" i="22"/>
  <c r="AX100" i="22"/>
  <c r="AX99" i="22" s="1"/>
  <c r="AX84" i="22" s="1"/>
  <c r="AX65" i="22" s="1"/>
  <c r="K26" i="22"/>
  <c r="K6" i="22" s="1"/>
  <c r="E124" i="22" s="1"/>
  <c r="AP99" i="22"/>
  <c r="AP84" i="22" s="1"/>
  <c r="AP65" i="22" s="1"/>
  <c r="AH100" i="22"/>
  <c r="AH99" i="22" s="1"/>
  <c r="AH84" i="22" s="1"/>
  <c r="AH65" i="22" s="1"/>
  <c r="F69" i="22"/>
  <c r="F66" i="22" s="1"/>
  <c r="F65" i="22" s="1"/>
  <c r="G38" i="25"/>
  <c r="J38" i="25"/>
  <c r="L38" i="25"/>
  <c r="Q21" i="10"/>
  <c r="O21" i="10"/>
  <c r="Q32" i="11"/>
  <c r="P99" i="49"/>
  <c r="N272" i="49"/>
  <c r="L324" i="16"/>
  <c r="M110" i="35" s="1"/>
  <c r="U6" i="11"/>
  <c r="J37" i="42"/>
  <c r="AD41" i="22"/>
  <c r="AD40" i="22" s="1"/>
  <c r="AD26" i="22" s="1"/>
  <c r="AD6" i="22" s="1"/>
  <c r="V27" i="22"/>
  <c r="V26" i="22" s="1"/>
  <c r="V6" i="22" s="1"/>
  <c r="O26" i="22"/>
  <c r="O6" i="22" s="1"/>
  <c r="F124" i="22" s="1"/>
  <c r="J82" i="20"/>
  <c r="K351" i="48"/>
  <c r="C2" i="20"/>
  <c r="AT66" i="22"/>
  <c r="AT65" i="22" s="1"/>
  <c r="M317" i="48"/>
  <c r="M316" i="48" s="1"/>
  <c r="M315" i="48" s="1"/>
  <c r="R107" i="22"/>
  <c r="R99" i="22" s="1"/>
  <c r="R84" i="22" s="1"/>
  <c r="R65" i="22" s="1"/>
  <c r="D38" i="25"/>
  <c r="K21" i="10"/>
  <c r="L250" i="49"/>
  <c r="L249" i="49" s="1"/>
  <c r="L240" i="49" s="1"/>
  <c r="J176" i="16"/>
  <c r="Q387" i="16"/>
  <c r="G9" i="41"/>
  <c r="Q166" i="16"/>
  <c r="U166" i="16" s="1"/>
  <c r="K37" i="42"/>
  <c r="I84" i="22"/>
  <c r="I65" i="22" s="1"/>
  <c r="J346" i="48"/>
  <c r="P317" i="48"/>
  <c r="AE99" i="22"/>
  <c r="AE84" i="22" s="1"/>
  <c r="AE65" i="22" s="1"/>
  <c r="J123" i="22" s="1"/>
  <c r="E38" i="25"/>
  <c r="F38" i="25"/>
  <c r="I36" i="25"/>
  <c r="O36" i="25"/>
  <c r="H277" i="49"/>
  <c r="H273" i="49" s="1"/>
  <c r="R4" i="49"/>
  <c r="P212" i="16"/>
  <c r="P205" i="16" s="1"/>
  <c r="Q90" i="35" s="1"/>
  <c r="Q88" i="35" s="1"/>
  <c r="H191" i="49"/>
  <c r="S191" i="49" s="1"/>
  <c r="U191" i="49" s="1"/>
  <c r="F248" i="16"/>
  <c r="F247" i="16" s="1"/>
  <c r="Q17" i="18"/>
  <c r="L212" i="16"/>
  <c r="L205" i="16" s="1"/>
  <c r="L45" i="6"/>
  <c r="G34" i="25"/>
  <c r="K34" i="25"/>
  <c r="O34" i="25"/>
  <c r="D34" i="25"/>
  <c r="H34" i="25"/>
  <c r="L34" i="25"/>
  <c r="G71" i="48"/>
  <c r="H261" i="49"/>
  <c r="M19" i="49"/>
  <c r="K115" i="49"/>
  <c r="H68" i="48"/>
  <c r="E17" i="16"/>
  <c r="L11" i="21"/>
  <c r="N34" i="25"/>
  <c r="F34" i="25"/>
  <c r="N259" i="48"/>
  <c r="H208" i="49"/>
  <c r="S208" i="49" s="1"/>
  <c r="U208" i="49" s="1"/>
  <c r="N19" i="49"/>
  <c r="S19" i="49" s="1"/>
  <c r="L75" i="39"/>
  <c r="L27" i="42" s="1"/>
  <c r="J99" i="49"/>
  <c r="H244" i="49"/>
  <c r="S244" i="49" s="1"/>
  <c r="U244" i="49" s="1"/>
  <c r="H99" i="49"/>
  <c r="H98" i="49" s="1"/>
  <c r="Q50" i="49"/>
  <c r="Q37" i="49" s="1"/>
  <c r="P38" i="49"/>
  <c r="O65" i="49"/>
  <c r="O64" i="49" s="1"/>
  <c r="L21" i="21"/>
  <c r="M34" i="25"/>
  <c r="M47" i="25" s="1"/>
  <c r="N47" i="2" s="1"/>
  <c r="E34" i="25"/>
  <c r="E47" i="25" s="1"/>
  <c r="F47" i="2" s="1"/>
  <c r="F49" i="2" s="1"/>
  <c r="F50" i="2" s="1"/>
  <c r="F199" i="48"/>
  <c r="F180" i="48" s="1"/>
  <c r="F94" i="48" s="1"/>
  <c r="T293" i="49"/>
  <c r="T378" i="49"/>
  <c r="O115" i="18"/>
  <c r="P17" i="18"/>
  <c r="G115" i="49"/>
  <c r="H55" i="49"/>
  <c r="H54" i="49" s="1"/>
  <c r="S54" i="49" s="1"/>
  <c r="H50" i="49"/>
  <c r="S48" i="49"/>
  <c r="R16" i="48"/>
  <c r="R15" i="49"/>
  <c r="R10" i="49" s="1"/>
  <c r="R9" i="49" s="1"/>
  <c r="O16" i="48"/>
  <c r="K14" i="48"/>
  <c r="K13" i="48" s="1"/>
  <c r="I15" i="49"/>
  <c r="G14" i="48"/>
  <c r="G13" i="48" s="1"/>
  <c r="Q80" i="16"/>
  <c r="H44" i="49"/>
  <c r="S44" i="49" s="1"/>
  <c r="O19" i="49"/>
  <c r="N115" i="49"/>
  <c r="S99" i="48"/>
  <c r="J19" i="49"/>
  <c r="J10" i="49" s="1"/>
  <c r="J9" i="49" s="1"/>
  <c r="L115" i="49"/>
  <c r="Q240" i="49"/>
  <c r="J36" i="42"/>
  <c r="J4" i="40"/>
  <c r="T287" i="48"/>
  <c r="E4" i="40"/>
  <c r="E36" i="42"/>
  <c r="F4" i="40"/>
  <c r="F36" i="42"/>
  <c r="F28" i="42" s="1"/>
  <c r="P36" i="42"/>
  <c r="M245" i="35"/>
  <c r="M248" i="35" s="1"/>
  <c r="M257" i="35" s="1"/>
  <c r="M236" i="35"/>
  <c r="E47" i="41"/>
  <c r="E60" i="42"/>
  <c r="Z17" i="37"/>
  <c r="Z16" i="37" s="1"/>
  <c r="Q16" i="37"/>
  <c r="L160" i="35"/>
  <c r="F245" i="35"/>
  <c r="F236" i="35"/>
  <c r="H60" i="42"/>
  <c r="H59" i="42" s="1"/>
  <c r="H47" i="41"/>
  <c r="G116" i="35"/>
  <c r="L137" i="35"/>
  <c r="R48" i="42"/>
  <c r="S48" i="42"/>
  <c r="I271" i="48"/>
  <c r="T133" i="35"/>
  <c r="R13" i="42"/>
  <c r="Q13" i="42"/>
  <c r="U13" i="42" s="1"/>
  <c r="T13" i="42"/>
  <c r="G8" i="42"/>
  <c r="K36" i="42"/>
  <c r="R273" i="49"/>
  <c r="G348" i="48"/>
  <c r="T216" i="35"/>
  <c r="P180" i="48"/>
  <c r="J152" i="48"/>
  <c r="N34" i="48"/>
  <c r="N6" i="48" s="1"/>
  <c r="S77" i="48"/>
  <c r="AA77" i="48" s="1"/>
  <c r="P86" i="42"/>
  <c r="O94" i="48"/>
  <c r="R230" i="48"/>
  <c r="G60" i="39"/>
  <c r="O21" i="42"/>
  <c r="O18" i="42" s="1"/>
  <c r="O49" i="39"/>
  <c r="S20" i="35"/>
  <c r="U140" i="35"/>
  <c r="G6" i="39"/>
  <c r="K180" i="48"/>
  <c r="H180" i="48"/>
  <c r="H94" i="48" s="1"/>
  <c r="Q182" i="49"/>
  <c r="G8" i="35"/>
  <c r="O35" i="48"/>
  <c r="J230" i="48"/>
  <c r="G162" i="35"/>
  <c r="T166" i="35"/>
  <c r="U166" i="35"/>
  <c r="S166" i="35"/>
  <c r="L19" i="42"/>
  <c r="L18" i="42" s="1"/>
  <c r="L49" i="39"/>
  <c r="D158" i="35"/>
  <c r="K73" i="39"/>
  <c r="K50" i="42"/>
  <c r="K48" i="42" s="1"/>
  <c r="K33" i="40"/>
  <c r="K4" i="40" s="1"/>
  <c r="G378" i="49"/>
  <c r="G296" i="49"/>
  <c r="R171" i="49"/>
  <c r="R154" i="49" s="1"/>
  <c r="Q91" i="35"/>
  <c r="K171" i="49"/>
  <c r="J91" i="35"/>
  <c r="J88" i="35" s="1"/>
  <c r="I91" i="35"/>
  <c r="Q220" i="16"/>
  <c r="U220" i="16" s="1"/>
  <c r="G102" i="35"/>
  <c r="S284" i="48"/>
  <c r="W374" i="49"/>
  <c r="M241" i="16"/>
  <c r="M69" i="39" s="1"/>
  <c r="H18" i="42"/>
  <c r="R80" i="49"/>
  <c r="R79" i="49" s="1"/>
  <c r="Q80" i="49"/>
  <c r="Q79" i="49" s="1"/>
  <c r="E241" i="16"/>
  <c r="F102" i="35"/>
  <c r="O200" i="16"/>
  <c r="P242" i="35"/>
  <c r="N14" i="45" s="1"/>
  <c r="P246" i="35"/>
  <c r="P248" i="35" s="1"/>
  <c r="P257" i="35" s="1"/>
  <c r="J19" i="42"/>
  <c r="J49" i="39"/>
  <c r="P15" i="45"/>
  <c r="Q15" i="45" s="1"/>
  <c r="E312" i="48"/>
  <c r="P50" i="42"/>
  <c r="P48" i="42" s="1"/>
  <c r="P33" i="40"/>
  <c r="P4" i="40" s="1"/>
  <c r="F51" i="2"/>
  <c r="Q51" i="2" s="1"/>
  <c r="F53" i="2"/>
  <c r="Q53" i="2" s="1"/>
  <c r="P200" i="16"/>
  <c r="S323" i="49"/>
  <c r="Q34" i="42"/>
  <c r="U34" i="42" s="1"/>
  <c r="Q390" i="16"/>
  <c r="R58" i="49"/>
  <c r="R54" i="49" s="1"/>
  <c r="R36" i="49" s="1"/>
  <c r="R8" i="49" s="1"/>
  <c r="P80" i="49"/>
  <c r="P79" i="49" s="1"/>
  <c r="P65" i="49"/>
  <c r="P64" i="49" s="1"/>
  <c r="P50" i="49"/>
  <c r="O80" i="49"/>
  <c r="O79" i="49" s="1"/>
  <c r="O36" i="49" s="1"/>
  <c r="P120" i="49"/>
  <c r="P118" i="49" s="1"/>
  <c r="N126" i="16"/>
  <c r="O120" i="49"/>
  <c r="O118" i="49" s="1"/>
  <c r="O98" i="49" s="1"/>
  <c r="M126" i="16"/>
  <c r="N120" i="49"/>
  <c r="N118" i="49" s="1"/>
  <c r="L126" i="16"/>
  <c r="L120" i="49"/>
  <c r="L118" i="49" s="1"/>
  <c r="J126" i="16"/>
  <c r="K120" i="49"/>
  <c r="K118" i="49" s="1"/>
  <c r="I126" i="16"/>
  <c r="I68" i="39" s="1"/>
  <c r="I66" i="39" s="1"/>
  <c r="I24" i="42" s="1"/>
  <c r="J120" i="49"/>
  <c r="J118" i="49" s="1"/>
  <c r="H126" i="16"/>
  <c r="I120" i="49"/>
  <c r="I118" i="49" s="1"/>
  <c r="G126" i="16"/>
  <c r="H120" i="49"/>
  <c r="H118" i="49" s="1"/>
  <c r="E3" i="49" s="1"/>
  <c r="F3" i="49" s="1"/>
  <c r="F126" i="16"/>
  <c r="Q18" i="49"/>
  <c r="Q10" i="49" s="1"/>
  <c r="Q9" i="49" s="1"/>
  <c r="Q16" i="48"/>
  <c r="Q8" i="48" s="1"/>
  <c r="Q7" i="48" s="1"/>
  <c r="Q6" i="48" s="1"/>
  <c r="O16" i="49"/>
  <c r="O15" i="49" s="1"/>
  <c r="O10" i="49" s="1"/>
  <c r="O9" i="49" s="1"/>
  <c r="O14" i="48"/>
  <c r="M17" i="49"/>
  <c r="M15" i="48"/>
  <c r="H18" i="49"/>
  <c r="H16" i="48"/>
  <c r="H8" i="48" s="1"/>
  <c r="H7" i="48" s="1"/>
  <c r="H75" i="49"/>
  <c r="H74" i="49" s="1"/>
  <c r="S74" i="49" s="1"/>
  <c r="H73" i="48"/>
  <c r="H72" i="48" s="1"/>
  <c r="Q296" i="16"/>
  <c r="U296" i="16" s="1"/>
  <c r="U104" i="16" s="1"/>
  <c r="P15" i="16"/>
  <c r="E34" i="2"/>
  <c r="P176" i="16"/>
  <c r="P248" i="16"/>
  <c r="P247" i="16" s="1"/>
  <c r="R99" i="49"/>
  <c r="O324" i="16"/>
  <c r="Q4" i="49"/>
  <c r="Q99" i="49"/>
  <c r="N176" i="16"/>
  <c r="L248" i="16"/>
  <c r="L247" i="16" s="1"/>
  <c r="M4" i="49"/>
  <c r="M99" i="49"/>
  <c r="L4" i="49"/>
  <c r="I107" i="16"/>
  <c r="K99" i="49"/>
  <c r="K98" i="49" s="1"/>
  <c r="H324" i="16"/>
  <c r="J4" i="49"/>
  <c r="G248" i="16"/>
  <c r="F176" i="16"/>
  <c r="F292" i="16"/>
  <c r="F241" i="16" s="1"/>
  <c r="F69" i="39" s="1"/>
  <c r="H4" i="49"/>
  <c r="F388" i="16"/>
  <c r="Q388" i="16" s="1"/>
  <c r="H178" i="49"/>
  <c r="S178" i="49" s="1"/>
  <c r="U178" i="49" s="1"/>
  <c r="F212" i="16"/>
  <c r="G99" i="49"/>
  <c r="H65" i="49"/>
  <c r="H38" i="49"/>
  <c r="H26" i="49"/>
  <c r="S26" i="49" s="1"/>
  <c r="R291" i="49"/>
  <c r="R289" i="49" s="1"/>
  <c r="R120" i="49"/>
  <c r="R118" i="49" s="1"/>
  <c r="P126" i="16"/>
  <c r="Q120" i="49"/>
  <c r="Q118" i="49" s="1"/>
  <c r="O126" i="16"/>
  <c r="M120" i="49"/>
  <c r="M118" i="49" s="1"/>
  <c r="K126" i="16"/>
  <c r="G120" i="49"/>
  <c r="E126" i="16"/>
  <c r="P18" i="49"/>
  <c r="P10" i="49" s="1"/>
  <c r="P9" i="49" s="1"/>
  <c r="P16" i="48"/>
  <c r="P8" i="48" s="1"/>
  <c r="P7" i="48" s="1"/>
  <c r="P6" i="48" s="1"/>
  <c r="L18" i="49"/>
  <c r="L10" i="49" s="1"/>
  <c r="L9" i="49" s="1"/>
  <c r="L16" i="48"/>
  <c r="L8" i="48" s="1"/>
  <c r="L7" i="48" s="1"/>
  <c r="L6" i="48" s="1"/>
  <c r="L5" i="48" s="1"/>
  <c r="K18" i="49"/>
  <c r="K16" i="48"/>
  <c r="K8" i="48" s="1"/>
  <c r="K7" i="48" s="1"/>
  <c r="G18" i="49"/>
  <c r="G16" i="48"/>
  <c r="H75" i="48"/>
  <c r="S75" i="48" s="1"/>
  <c r="AA75" i="48" s="1"/>
  <c r="H77" i="49"/>
  <c r="S77" i="49" s="1"/>
  <c r="P4" i="49"/>
  <c r="P98" i="49"/>
  <c r="O4" i="49"/>
  <c r="N4" i="49"/>
  <c r="N98" i="49"/>
  <c r="L98" i="49"/>
  <c r="K4" i="49"/>
  <c r="I4" i="49"/>
  <c r="I98" i="49"/>
  <c r="H202" i="49"/>
  <c r="H164" i="49"/>
  <c r="S164" i="49" s="1"/>
  <c r="U164" i="49" s="1"/>
  <c r="H158" i="49"/>
  <c r="H149" i="49"/>
  <c r="S149" i="49" s="1"/>
  <c r="U149" i="49" s="1"/>
  <c r="G4" i="49"/>
  <c r="H80" i="49"/>
  <c r="H58" i="49"/>
  <c r="S58" i="49" s="1"/>
  <c r="H12" i="49"/>
  <c r="S12" i="49" s="1"/>
  <c r="H69" i="49"/>
  <c r="S69" i="49" s="1"/>
  <c r="G269" i="49"/>
  <c r="O269" i="49"/>
  <c r="O232" i="49" s="1"/>
  <c r="K269" i="49"/>
  <c r="K232" i="49" s="1"/>
  <c r="G15" i="49"/>
  <c r="S89" i="49"/>
  <c r="N15" i="49"/>
  <c r="M15" i="49"/>
  <c r="M10" i="49" s="1"/>
  <c r="M9" i="49" s="1"/>
  <c r="M8" i="49" s="1"/>
  <c r="K15" i="49"/>
  <c r="S17" i="49"/>
  <c r="Q269" i="49"/>
  <c r="M269" i="49"/>
  <c r="M232" i="49" s="1"/>
  <c r="I269" i="49"/>
  <c r="I232" i="49" s="1"/>
  <c r="Y360" i="49" l="1"/>
  <c r="U360" i="49"/>
  <c r="R241" i="45"/>
  <c r="G4" i="40"/>
  <c r="G36" i="42"/>
  <c r="G28" i="42" s="1"/>
  <c r="J333" i="49"/>
  <c r="J318" i="49" s="1"/>
  <c r="J331" i="48"/>
  <c r="J316" i="48" s="1"/>
  <c r="J315" i="48" s="1"/>
  <c r="I176" i="35"/>
  <c r="I161" i="35" s="1"/>
  <c r="F128" i="22"/>
  <c r="R333" i="49"/>
  <c r="R318" i="49" s="1"/>
  <c r="R317" i="49" s="1"/>
  <c r="R331" i="48"/>
  <c r="R316" i="48" s="1"/>
  <c r="R315" i="48" s="1"/>
  <c r="N128" i="22"/>
  <c r="Q176" i="35"/>
  <c r="Q161" i="35" s="1"/>
  <c r="Q160" i="35" s="1"/>
  <c r="O131" i="22"/>
  <c r="N385" i="49"/>
  <c r="N384" i="49" s="1"/>
  <c r="N382" i="48"/>
  <c r="N381" i="48" s="1"/>
  <c r="M223" i="35"/>
  <c r="M222" i="35" s="1"/>
  <c r="J129" i="22"/>
  <c r="R215" i="45"/>
  <c r="R378" i="37"/>
  <c r="F314" i="49"/>
  <c r="F313" i="49"/>
  <c r="F315" i="49"/>
  <c r="F6" i="49"/>
  <c r="E10" i="39"/>
  <c r="E15" i="16"/>
  <c r="Q17" i="16"/>
  <c r="P34" i="25"/>
  <c r="D47" i="25"/>
  <c r="N4" i="2"/>
  <c r="O45" i="6"/>
  <c r="L5" i="2"/>
  <c r="J126" i="22"/>
  <c r="J61" i="39"/>
  <c r="J60" i="39" s="1"/>
  <c r="J23" i="42" s="1"/>
  <c r="J164" i="16"/>
  <c r="K84" i="35" s="1"/>
  <c r="T351" i="48"/>
  <c r="U351" i="48"/>
  <c r="S351" i="48"/>
  <c r="I129" i="22"/>
  <c r="L223" i="35"/>
  <c r="L222" i="35" s="1"/>
  <c r="M385" i="49"/>
  <c r="M384" i="49" s="1"/>
  <c r="M382" i="48"/>
  <c r="M381" i="48" s="1"/>
  <c r="N269" i="49"/>
  <c r="S272" i="49"/>
  <c r="U272" i="49" s="1"/>
  <c r="Q20" i="10"/>
  <c r="N23" i="45"/>
  <c r="N22" i="45" s="1"/>
  <c r="F176" i="35"/>
  <c r="G333" i="49"/>
  <c r="G331" i="48"/>
  <c r="C128" i="22"/>
  <c r="U364" i="49"/>
  <c r="Y364" i="49"/>
  <c r="M380" i="49"/>
  <c r="M378" i="49" s="1"/>
  <c r="L218" i="35"/>
  <c r="M377" i="48"/>
  <c r="M375" i="48" s="1"/>
  <c r="K102" i="41"/>
  <c r="S19" i="10"/>
  <c r="P351" i="49"/>
  <c r="S352" i="49"/>
  <c r="U368" i="48"/>
  <c r="M367" i="48"/>
  <c r="M362" i="48" s="1"/>
  <c r="S368" i="48"/>
  <c r="O129" i="22"/>
  <c r="P131" i="22"/>
  <c r="T383" i="49" s="1"/>
  <c r="S380" i="49"/>
  <c r="G250" i="49"/>
  <c r="G248" i="48"/>
  <c r="E176" i="16"/>
  <c r="Q177" i="16"/>
  <c r="P250" i="49"/>
  <c r="P249" i="49" s="1"/>
  <c r="P240" i="49" s="1"/>
  <c r="P232" i="49" s="1"/>
  <c r="P248" i="48"/>
  <c r="P247" i="48" s="1"/>
  <c r="P238" i="48" s="1"/>
  <c r="P230" i="48" s="1"/>
  <c r="P94" i="48" s="1"/>
  <c r="J9" i="42"/>
  <c r="J8" i="42" s="1"/>
  <c r="J6" i="39"/>
  <c r="P21" i="45"/>
  <c r="Q21" i="45" s="1"/>
  <c r="R127" i="37"/>
  <c r="R150" i="37"/>
  <c r="R212" i="37"/>
  <c r="R194" i="45"/>
  <c r="P175" i="45"/>
  <c r="Q175" i="45" s="1"/>
  <c r="Q176" i="45"/>
  <c r="Z176" i="45" s="1"/>
  <c r="R376" i="37"/>
  <c r="R217" i="37"/>
  <c r="Z75" i="20"/>
  <c r="Z131" i="20" s="1"/>
  <c r="N131" i="20"/>
  <c r="R301" i="45"/>
  <c r="I238" i="48"/>
  <c r="I230" i="48" s="1"/>
  <c r="S242" i="48"/>
  <c r="Y70" i="49"/>
  <c r="U70" i="49"/>
  <c r="Q9" i="35"/>
  <c r="R11" i="35"/>
  <c r="R363" i="45"/>
  <c r="Y55" i="49"/>
  <c r="U55" i="49"/>
  <c r="R208" i="37"/>
  <c r="E112" i="18"/>
  <c r="G384" i="16"/>
  <c r="I110" i="18"/>
  <c r="R34" i="48"/>
  <c r="F222" i="35"/>
  <c r="Q69" i="10"/>
  <c r="R69" i="10" s="1"/>
  <c r="K94" i="48"/>
  <c r="S155" i="48"/>
  <c r="N20" i="41"/>
  <c r="P286" i="48"/>
  <c r="P288" i="49"/>
  <c r="O132" i="35"/>
  <c r="S68" i="48"/>
  <c r="AA68" i="48" s="1"/>
  <c r="H67" i="48"/>
  <c r="G67" i="48"/>
  <c r="S71" i="48"/>
  <c r="L200" i="16"/>
  <c r="M90" i="35"/>
  <c r="M88" i="35" s="1"/>
  <c r="S134" i="45"/>
  <c r="T134" i="45" s="1"/>
  <c r="U134" i="45" s="1"/>
  <c r="V134" i="45" s="1"/>
  <c r="W134" i="45" s="1"/>
  <c r="X134" i="45" s="1"/>
  <c r="R129" i="45"/>
  <c r="Y134" i="45"/>
  <c r="Z134" i="45" s="1"/>
  <c r="T188" i="45"/>
  <c r="U188" i="45" s="1"/>
  <c r="V188" i="45" s="1"/>
  <c r="W188" i="45" s="1"/>
  <c r="X188" i="45" s="1"/>
  <c r="Y188" i="45"/>
  <c r="Z188" i="45" s="1"/>
  <c r="H234" i="35"/>
  <c r="G397" i="16"/>
  <c r="T341" i="45"/>
  <c r="U341" i="45" s="1"/>
  <c r="V341" i="45" s="1"/>
  <c r="W341" i="45" s="1"/>
  <c r="X341" i="45" s="1"/>
  <c r="Y341" i="45"/>
  <c r="Z341" i="45" s="1"/>
  <c r="R310" i="37"/>
  <c r="N20" i="42"/>
  <c r="N49" i="39"/>
  <c r="Q53" i="39"/>
  <c r="N21" i="35"/>
  <c r="R22" i="35"/>
  <c r="R200" i="45"/>
  <c r="R365" i="37"/>
  <c r="P210" i="37"/>
  <c r="Q210" i="37" s="1"/>
  <c r="R360" i="37"/>
  <c r="L378" i="49"/>
  <c r="Y361" i="45"/>
  <c r="Z361" i="45" s="1"/>
  <c r="P6" i="21"/>
  <c r="D66" i="21"/>
  <c r="J28" i="42"/>
  <c r="L47" i="25"/>
  <c r="M47" i="2" s="1"/>
  <c r="K20" i="10"/>
  <c r="H23" i="45"/>
  <c r="K234" i="35"/>
  <c r="J397" i="16"/>
  <c r="S340" i="45"/>
  <c r="T340" i="45" s="1"/>
  <c r="U340" i="45" s="1"/>
  <c r="V340" i="45" s="1"/>
  <c r="W340" i="45" s="1"/>
  <c r="X340" i="45" s="1"/>
  <c r="R339" i="45"/>
  <c r="Y340" i="45"/>
  <c r="Z340" i="45" s="1"/>
  <c r="R232" i="37"/>
  <c r="N24" i="39"/>
  <c r="O20" i="35"/>
  <c r="O8" i="35" s="1"/>
  <c r="Q62" i="16"/>
  <c r="R382" i="37"/>
  <c r="U289" i="48"/>
  <c r="T289" i="48"/>
  <c r="T20" i="37"/>
  <c r="U20" i="37" s="1"/>
  <c r="V20" i="37" s="1"/>
  <c r="W20" i="37" s="1"/>
  <c r="X20" i="37" s="1"/>
  <c r="Y20" i="37" s="1"/>
  <c r="Z20" i="37" s="1"/>
  <c r="R200" i="37"/>
  <c r="V195" i="35"/>
  <c r="W195" i="35"/>
  <c r="J162" i="35"/>
  <c r="J161" i="35" s="1"/>
  <c r="J160" i="35" s="1"/>
  <c r="R166" i="35"/>
  <c r="R318" i="45"/>
  <c r="R31" i="35"/>
  <c r="Y296" i="37"/>
  <c r="Z296" i="37" s="1"/>
  <c r="F312" i="48"/>
  <c r="F311" i="48"/>
  <c r="F4" i="48"/>
  <c r="F313" i="48"/>
  <c r="J36" i="49"/>
  <c r="P236" i="37"/>
  <c r="Q236" i="37" s="1"/>
  <c r="R219" i="45"/>
  <c r="K349" i="48"/>
  <c r="R379" i="37"/>
  <c r="P251" i="37"/>
  <c r="Q251" i="37" s="1"/>
  <c r="F20" i="39"/>
  <c r="N232" i="49"/>
  <c r="R211" i="37"/>
  <c r="G68" i="42"/>
  <c r="S69" i="42"/>
  <c r="R69" i="42"/>
  <c r="T69" i="42"/>
  <c r="Y30" i="49"/>
  <c r="W30" i="49"/>
  <c r="P382" i="49"/>
  <c r="P379" i="48"/>
  <c r="O220" i="35"/>
  <c r="N34" i="2"/>
  <c r="Y104" i="37"/>
  <c r="Z104" i="37" s="1"/>
  <c r="U301" i="48"/>
  <c r="S301" i="48"/>
  <c r="Y384" i="37"/>
  <c r="Z384" i="37" s="1"/>
  <c r="I85" i="41"/>
  <c r="I90" i="41"/>
  <c r="I89" i="42"/>
  <c r="Y239" i="45"/>
  <c r="Z239" i="45" s="1"/>
  <c r="S120" i="35"/>
  <c r="U317" i="48"/>
  <c r="N42" i="16"/>
  <c r="N13" i="16" s="1"/>
  <c r="O215" i="35"/>
  <c r="O182" i="35" s="1"/>
  <c r="Y208" i="45"/>
  <c r="Z208" i="45" s="1"/>
  <c r="Y238" i="45"/>
  <c r="Z238" i="45" s="1"/>
  <c r="Y221" i="37"/>
  <c r="Z221" i="37" s="1"/>
  <c r="Y153" i="45"/>
  <c r="Z153" i="45" s="1"/>
  <c r="Y149" i="45"/>
  <c r="Z149" i="45" s="1"/>
  <c r="T9" i="35"/>
  <c r="H286" i="48"/>
  <c r="H281" i="48" s="1"/>
  <c r="H280" i="48" s="1"/>
  <c r="H279" i="48" s="1"/>
  <c r="H288" i="49"/>
  <c r="H283" i="49" s="1"/>
  <c r="F20" i="41"/>
  <c r="G132" i="35"/>
  <c r="G127" i="35" s="1"/>
  <c r="N256" i="48"/>
  <c r="S256" i="48" s="1"/>
  <c r="S259" i="48"/>
  <c r="H258" i="49"/>
  <c r="S261" i="49"/>
  <c r="U261" i="49" s="1"/>
  <c r="N45" i="2"/>
  <c r="N44" i="2" s="1"/>
  <c r="S5" i="11"/>
  <c r="N366" i="16" s="1"/>
  <c r="N365" i="16" s="1"/>
  <c r="N363" i="16" s="1"/>
  <c r="O139" i="35"/>
  <c r="O138" i="35" s="1"/>
  <c r="O137" i="35" s="1"/>
  <c r="O121" i="35"/>
  <c r="P276" i="48"/>
  <c r="P278" i="49"/>
  <c r="H28" i="42"/>
  <c r="Q29" i="42"/>
  <c r="U29" i="42" s="1"/>
  <c r="T29" i="42"/>
  <c r="Q385" i="16"/>
  <c r="F397" i="16"/>
  <c r="G234" i="35"/>
  <c r="R343" i="45"/>
  <c r="R362" i="45"/>
  <c r="R224" i="37"/>
  <c r="R198" i="37"/>
  <c r="R359" i="45"/>
  <c r="E66" i="21"/>
  <c r="Q6" i="21"/>
  <c r="R6" i="21"/>
  <c r="R202" i="37"/>
  <c r="G221" i="35"/>
  <c r="H383" i="49"/>
  <c r="H380" i="48"/>
  <c r="K294" i="49"/>
  <c r="K293" i="49" s="1"/>
  <c r="I94" i="48"/>
  <c r="Y303" i="48"/>
  <c r="W303" i="48"/>
  <c r="V303" i="48"/>
  <c r="AA303" i="48"/>
  <c r="I5" i="48"/>
  <c r="T251" i="45"/>
  <c r="U251" i="45" s="1"/>
  <c r="V251" i="45" s="1"/>
  <c r="W251" i="45" s="1"/>
  <c r="X251" i="45" s="1"/>
  <c r="J100" i="35"/>
  <c r="J99" i="35" s="1"/>
  <c r="R103" i="35"/>
  <c r="K89" i="41"/>
  <c r="K90" i="41"/>
  <c r="K93" i="42"/>
  <c r="K86" i="42" s="1"/>
  <c r="J317" i="49"/>
  <c r="I160" i="35"/>
  <c r="AA317" i="48"/>
  <c r="V317" i="48"/>
  <c r="Y317" i="48"/>
  <c r="W317" i="48"/>
  <c r="X317" i="48"/>
  <c r="Q337" i="48"/>
  <c r="K10" i="49"/>
  <c r="K9" i="49" s="1"/>
  <c r="K8" i="49" s="1"/>
  <c r="S16" i="48"/>
  <c r="H37" i="49"/>
  <c r="P37" i="49"/>
  <c r="R91" i="35"/>
  <c r="D6" i="35"/>
  <c r="T377" i="49"/>
  <c r="T339" i="49" s="1"/>
  <c r="F47" i="25"/>
  <c r="G47" i="2" s="1"/>
  <c r="O47" i="25"/>
  <c r="P47" i="2" s="1"/>
  <c r="P36" i="25"/>
  <c r="I47" i="25"/>
  <c r="J47" i="2" s="1"/>
  <c r="J158" i="20"/>
  <c r="J137" i="20"/>
  <c r="J135" i="20" s="1"/>
  <c r="J134" i="20" s="1"/>
  <c r="V82" i="20"/>
  <c r="N358" i="49"/>
  <c r="N357" i="49"/>
  <c r="J130" i="20"/>
  <c r="J175" i="20"/>
  <c r="O358" i="49"/>
  <c r="O357" i="49"/>
  <c r="W82" i="20"/>
  <c r="Q37" i="42"/>
  <c r="U37" i="42" s="1"/>
  <c r="S37" i="42"/>
  <c r="T37" i="42"/>
  <c r="N333" i="49"/>
  <c r="N318" i="49" s="1"/>
  <c r="N317" i="49" s="1"/>
  <c r="J128" i="22"/>
  <c r="N331" i="48"/>
  <c r="N316" i="48" s="1"/>
  <c r="N315" i="48" s="1"/>
  <c r="S347" i="49"/>
  <c r="K342" i="49"/>
  <c r="H385" i="49"/>
  <c r="H384" i="49" s="1"/>
  <c r="H377" i="49" s="1"/>
  <c r="H382" i="48"/>
  <c r="G223" i="35"/>
  <c r="D129" i="22"/>
  <c r="U303" i="49"/>
  <c r="Y303" i="49"/>
  <c r="V350" i="48"/>
  <c r="W350" i="48"/>
  <c r="AA350" i="48"/>
  <c r="O382" i="48"/>
  <c r="O381" i="48" s="1"/>
  <c r="O374" i="48" s="1"/>
  <c r="O385" i="49"/>
  <c r="O384" i="49" s="1"/>
  <c r="O377" i="49" s="1"/>
  <c r="N223" i="35"/>
  <c r="N222" i="35" s="1"/>
  <c r="N215" i="35" s="1"/>
  <c r="K129" i="22"/>
  <c r="L9" i="41"/>
  <c r="Q21" i="41"/>
  <c r="J19" i="45"/>
  <c r="J12" i="45" s="1"/>
  <c r="P20" i="45"/>
  <c r="E385" i="49"/>
  <c r="E384" i="49" s="1"/>
  <c r="E382" i="48"/>
  <c r="E381" i="48" s="1"/>
  <c r="H11" i="41"/>
  <c r="Q11" i="41" s="1"/>
  <c r="Q12" i="41"/>
  <c r="S377" i="48"/>
  <c r="L375" i="48"/>
  <c r="U377" i="48"/>
  <c r="L9" i="42"/>
  <c r="L8" i="42" s="1"/>
  <c r="L6" i="39"/>
  <c r="R196" i="45"/>
  <c r="Q126" i="45"/>
  <c r="P98" i="45"/>
  <c r="Q98" i="45" s="1"/>
  <c r="G389" i="16"/>
  <c r="Q389" i="16" s="1"/>
  <c r="Q344" i="16"/>
  <c r="Q128" i="45"/>
  <c r="C25" i="45"/>
  <c r="R225" i="45"/>
  <c r="S162" i="45"/>
  <c r="T162" i="45" s="1"/>
  <c r="U162" i="45" s="1"/>
  <c r="V162" i="45" s="1"/>
  <c r="W162" i="45" s="1"/>
  <c r="X162" i="45" s="1"/>
  <c r="R161" i="45"/>
  <c r="Y162" i="45"/>
  <c r="Z162" i="45" s="1"/>
  <c r="N234" i="35"/>
  <c r="M397" i="16"/>
  <c r="R317" i="37"/>
  <c r="Q340" i="49"/>
  <c r="Q339" i="49" s="1"/>
  <c r="H341" i="48"/>
  <c r="T342" i="48"/>
  <c r="P344" i="49"/>
  <c r="P345" i="49"/>
  <c r="X130" i="20"/>
  <c r="X131" i="20" s="1"/>
  <c r="R194" i="35"/>
  <c r="Q193" i="35"/>
  <c r="Q184" i="35" s="1"/>
  <c r="Q183" i="35" s="1"/>
  <c r="M286" i="48"/>
  <c r="M281" i="48" s="1"/>
  <c r="M280" i="48" s="1"/>
  <c r="M279" i="48" s="1"/>
  <c r="K20" i="41"/>
  <c r="L132" i="35"/>
  <c r="L127" i="35" s="1"/>
  <c r="M288" i="49"/>
  <c r="M283" i="49" s="1"/>
  <c r="M282" i="49" s="1"/>
  <c r="M281" i="49" s="1"/>
  <c r="S26" i="42"/>
  <c r="R26" i="42"/>
  <c r="R148" i="45"/>
  <c r="R6" i="48"/>
  <c r="R205" i="37"/>
  <c r="S358" i="49"/>
  <c r="U358" i="49" s="1"/>
  <c r="J199" i="48"/>
  <c r="S200" i="48"/>
  <c r="AA25" i="48"/>
  <c r="Y25" i="48"/>
  <c r="U319" i="49"/>
  <c r="Y319" i="49"/>
  <c r="V319" i="49"/>
  <c r="W319" i="49"/>
  <c r="Y160" i="45"/>
  <c r="Z160" i="45" s="1"/>
  <c r="P224" i="45"/>
  <c r="Q224" i="45" s="1"/>
  <c r="F16" i="45"/>
  <c r="P18" i="45"/>
  <c r="Q18" i="45" s="1"/>
  <c r="F12" i="45"/>
  <c r="P12" i="45" s="1"/>
  <c r="Q12" i="45" s="1"/>
  <c r="E309" i="49"/>
  <c r="E311" i="49"/>
  <c r="Y182" i="37"/>
  <c r="Z182" i="37" s="1"/>
  <c r="G384" i="49"/>
  <c r="E18" i="42"/>
  <c r="R18" i="42" s="1"/>
  <c r="S21" i="42"/>
  <c r="R21" i="42"/>
  <c r="R377" i="37"/>
  <c r="R280" i="37"/>
  <c r="R121" i="37"/>
  <c r="Y345" i="37"/>
  <c r="Z345" i="37" s="1"/>
  <c r="Y109" i="45"/>
  <c r="Z109" i="45" s="1"/>
  <c r="Y274" i="37"/>
  <c r="Z274" i="37" s="1"/>
  <c r="Y141" i="45"/>
  <c r="Z141" i="45" s="1"/>
  <c r="S29" i="42"/>
  <c r="R126" i="37"/>
  <c r="T199" i="35"/>
  <c r="K358" i="48"/>
  <c r="J193" i="35"/>
  <c r="K356" i="49"/>
  <c r="T377" i="48"/>
  <c r="Y235" i="45"/>
  <c r="Z235" i="45" s="1"/>
  <c r="L63" i="35"/>
  <c r="R65" i="35"/>
  <c r="L16" i="45"/>
  <c r="Q17" i="45"/>
  <c r="P17" i="45"/>
  <c r="Y231" i="37"/>
  <c r="Z231" i="37" s="1"/>
  <c r="P374" i="48"/>
  <c r="Y195" i="45"/>
  <c r="Z195" i="45" s="1"/>
  <c r="S16" i="49"/>
  <c r="H175" i="49"/>
  <c r="S175" i="49" s="1"/>
  <c r="U175" i="49" s="1"/>
  <c r="H24" i="49"/>
  <c r="S24" i="49" s="1"/>
  <c r="S18" i="49"/>
  <c r="L8" i="49"/>
  <c r="Q5" i="48"/>
  <c r="S115" i="49"/>
  <c r="U115" i="49" s="1"/>
  <c r="X21" i="21"/>
  <c r="Y21" i="21"/>
  <c r="L81" i="21"/>
  <c r="N47" i="25"/>
  <c r="O47" i="2" s="1"/>
  <c r="K47" i="25"/>
  <c r="L47" i="2" s="1"/>
  <c r="U346" i="48"/>
  <c r="T346" i="48"/>
  <c r="S346" i="48"/>
  <c r="Q9" i="41"/>
  <c r="Q333" i="49"/>
  <c r="Q318" i="49" s="1"/>
  <c r="Q317" i="49" s="1"/>
  <c r="M128" i="22"/>
  <c r="P176" i="35"/>
  <c r="P161" i="35" s="1"/>
  <c r="P160" i="35" s="1"/>
  <c r="Q331" i="48"/>
  <c r="Q316" i="48" s="1"/>
  <c r="Q315" i="48" s="1"/>
  <c r="H36" i="2"/>
  <c r="H102" i="41"/>
  <c r="P46" i="2"/>
  <c r="U5" i="11"/>
  <c r="P366" i="16" s="1"/>
  <c r="P365" i="16" s="1"/>
  <c r="P363" i="16" s="1"/>
  <c r="V6" i="11"/>
  <c r="W6" i="11" s="1"/>
  <c r="P102" i="41"/>
  <c r="L45" i="2"/>
  <c r="Q5" i="11"/>
  <c r="M121" i="35"/>
  <c r="M139" i="35"/>
  <c r="N278" i="49"/>
  <c r="N276" i="48"/>
  <c r="V32" i="11"/>
  <c r="P333" i="49"/>
  <c r="P318" i="49" s="1"/>
  <c r="P317" i="49" s="1"/>
  <c r="P331" i="48"/>
  <c r="P316" i="48" s="1"/>
  <c r="P315" i="48" s="1"/>
  <c r="O176" i="35"/>
  <c r="O161" i="35" s="1"/>
  <c r="O160" i="35" s="1"/>
  <c r="L128" i="22"/>
  <c r="K380" i="48"/>
  <c r="J221" i="35"/>
  <c r="K383" i="49"/>
  <c r="T345" i="48"/>
  <c r="S345" i="48"/>
  <c r="U345" i="48"/>
  <c r="K340" i="48"/>
  <c r="I223" i="35"/>
  <c r="I222" i="35" s="1"/>
  <c r="J382" i="48"/>
  <c r="J381" i="48" s="1"/>
  <c r="J385" i="49"/>
  <c r="J384" i="49" s="1"/>
  <c r="F129" i="22"/>
  <c r="O5" i="2"/>
  <c r="M126" i="22"/>
  <c r="I367" i="48"/>
  <c r="T369" i="48"/>
  <c r="S369" i="48"/>
  <c r="U369" i="48"/>
  <c r="L385" i="49"/>
  <c r="L384" i="49" s="1"/>
  <c r="K223" i="35"/>
  <c r="K222" i="35" s="1"/>
  <c r="K215" i="35" s="1"/>
  <c r="K182" i="35" s="1"/>
  <c r="H129" i="22"/>
  <c r="L382" i="48"/>
  <c r="L381" i="48" s="1"/>
  <c r="R383" i="49"/>
  <c r="R380" i="48"/>
  <c r="Q221" i="35"/>
  <c r="F150" i="20"/>
  <c r="F155" i="20" s="1"/>
  <c r="G150" i="20"/>
  <c r="G155" i="20" s="1"/>
  <c r="U363" i="49"/>
  <c r="Y363" i="49"/>
  <c r="R131" i="22"/>
  <c r="Q129" i="22"/>
  <c r="L110" i="35"/>
  <c r="Q307" i="16"/>
  <c r="M104" i="49"/>
  <c r="M102" i="48"/>
  <c r="M96" i="48" s="1"/>
  <c r="M95" i="48" s="1"/>
  <c r="E4" i="48"/>
  <c r="E313" i="48"/>
  <c r="S157" i="37"/>
  <c r="T157" i="37" s="1"/>
  <c r="U157" i="37" s="1"/>
  <c r="V157" i="37" s="1"/>
  <c r="W157" i="37" s="1"/>
  <c r="X157" i="37" s="1"/>
  <c r="R156" i="37"/>
  <c r="I234" i="35"/>
  <c r="H397" i="16"/>
  <c r="S338" i="45"/>
  <c r="T338" i="45" s="1"/>
  <c r="U338" i="45" s="1"/>
  <c r="V338" i="45" s="1"/>
  <c r="W338" i="45" s="1"/>
  <c r="X338" i="45" s="1"/>
  <c r="R337" i="45"/>
  <c r="S169" i="37"/>
  <c r="T169" i="37" s="1"/>
  <c r="U169" i="37" s="1"/>
  <c r="V169" i="37" s="1"/>
  <c r="W169" i="37" s="1"/>
  <c r="X169" i="37" s="1"/>
  <c r="R167" i="37"/>
  <c r="R368" i="37"/>
  <c r="H21" i="35"/>
  <c r="R21" i="35" s="1"/>
  <c r="R25" i="35"/>
  <c r="P226" i="45"/>
  <c r="Q226" i="45" s="1"/>
  <c r="R354" i="45"/>
  <c r="H343" i="49"/>
  <c r="N10" i="49"/>
  <c r="N9" i="49" s="1"/>
  <c r="N8" i="49" s="1"/>
  <c r="K6" i="48"/>
  <c r="P5" i="48"/>
  <c r="H187" i="49"/>
  <c r="Q8" i="49"/>
  <c r="E311" i="48"/>
  <c r="Q36" i="49"/>
  <c r="S171" i="49"/>
  <c r="U171" i="49" s="1"/>
  <c r="K58" i="39"/>
  <c r="R94" i="48"/>
  <c r="R5" i="48" s="1"/>
  <c r="J8" i="49"/>
  <c r="Y44" i="49"/>
  <c r="U44" i="49"/>
  <c r="T48" i="49"/>
  <c r="U48" i="49"/>
  <c r="Y48" i="49"/>
  <c r="Y11" i="21"/>
  <c r="L71" i="21"/>
  <c r="L7" i="21"/>
  <c r="X11" i="21"/>
  <c r="H47" i="25"/>
  <c r="I47" i="2" s="1"/>
  <c r="G47" i="25"/>
  <c r="H47" i="2" s="1"/>
  <c r="P38" i="25"/>
  <c r="K382" i="48"/>
  <c r="K381" i="48" s="1"/>
  <c r="K385" i="49"/>
  <c r="K384" i="49" s="1"/>
  <c r="J223" i="35"/>
  <c r="J222" i="35" s="1"/>
  <c r="O20" i="10"/>
  <c r="L23" i="45"/>
  <c r="L22" i="45" s="1"/>
  <c r="G36" i="2"/>
  <c r="O124" i="22"/>
  <c r="G102" i="41"/>
  <c r="N383" i="49"/>
  <c r="N377" i="49" s="1"/>
  <c r="N380" i="48"/>
  <c r="N374" i="48" s="1"/>
  <c r="M221" i="35"/>
  <c r="M215" i="35" s="1"/>
  <c r="S357" i="48"/>
  <c r="T357" i="48"/>
  <c r="U357" i="48"/>
  <c r="P40" i="25"/>
  <c r="L333" i="49"/>
  <c r="L318" i="49" s="1"/>
  <c r="L317" i="49" s="1"/>
  <c r="H128" i="22"/>
  <c r="L331" i="48"/>
  <c r="L316" i="48" s="1"/>
  <c r="L315" i="48" s="1"/>
  <c r="K176" i="35"/>
  <c r="K161" i="35" s="1"/>
  <c r="K160" i="35" s="1"/>
  <c r="I370" i="49"/>
  <c r="S372" i="49"/>
  <c r="M382" i="49"/>
  <c r="L220" i="35"/>
  <c r="K34" i="2"/>
  <c r="K49" i="2" s="1"/>
  <c r="K50" i="2" s="1"/>
  <c r="M379" i="48"/>
  <c r="M370" i="49"/>
  <c r="M365" i="49" s="1"/>
  <c r="S371" i="49"/>
  <c r="T356" i="48"/>
  <c r="S356" i="48"/>
  <c r="U356" i="48"/>
  <c r="I141" i="35"/>
  <c r="J295" i="48"/>
  <c r="Q39" i="2"/>
  <c r="J297" i="49"/>
  <c r="H38" i="2"/>
  <c r="N176" i="35"/>
  <c r="N161" i="35" s="1"/>
  <c r="K128" i="22"/>
  <c r="O333" i="49"/>
  <c r="O318" i="49" s="1"/>
  <c r="O331" i="48"/>
  <c r="O316" i="48" s="1"/>
  <c r="R58" i="10"/>
  <c r="S59" i="10"/>
  <c r="S58" i="10" s="1"/>
  <c r="I247" i="35"/>
  <c r="R247" i="35" s="1"/>
  <c r="R235" i="35"/>
  <c r="J104" i="49"/>
  <c r="S104" i="49" s="1"/>
  <c r="U104" i="49" s="1"/>
  <c r="Q112" i="16"/>
  <c r="J102" i="48"/>
  <c r="I50" i="39"/>
  <c r="Q51" i="39"/>
  <c r="P25" i="45"/>
  <c r="AA25" i="45" s="1"/>
  <c r="S145" i="45"/>
  <c r="T145" i="45" s="1"/>
  <c r="U145" i="45" s="1"/>
  <c r="V145" i="45" s="1"/>
  <c r="W145" i="45" s="1"/>
  <c r="X145" i="45" s="1"/>
  <c r="Y145" i="45"/>
  <c r="Z145" i="45" s="1"/>
  <c r="I9" i="42"/>
  <c r="I8" i="42" s="1"/>
  <c r="I6" i="39"/>
  <c r="P252" i="37"/>
  <c r="Q252" i="37" s="1"/>
  <c r="Z252" i="37" s="1"/>
  <c r="G176" i="37"/>
  <c r="Q234" i="35"/>
  <c r="P397" i="16"/>
  <c r="P321" i="45"/>
  <c r="Q321" i="45" s="1"/>
  <c r="Q322" i="45"/>
  <c r="P309" i="45"/>
  <c r="Q309" i="45" s="1"/>
  <c r="L234" i="35"/>
  <c r="K397" i="16"/>
  <c r="R314" i="37"/>
  <c r="P306" i="37"/>
  <c r="Q306" i="37" s="1"/>
  <c r="P302" i="45"/>
  <c r="Q302" i="45" s="1"/>
  <c r="Y307" i="45"/>
  <c r="Z307" i="45" s="1"/>
  <c r="H9" i="42"/>
  <c r="H6" i="39"/>
  <c r="J234" i="35"/>
  <c r="I397" i="16"/>
  <c r="L187" i="35"/>
  <c r="L186" i="35" s="1"/>
  <c r="L185" i="35" s="1"/>
  <c r="L184" i="35" s="1"/>
  <c r="L183" i="35" s="1"/>
  <c r="M342" i="48"/>
  <c r="M341" i="48" s="1"/>
  <c r="M340" i="48" s="1"/>
  <c r="M339" i="48" s="1"/>
  <c r="M338" i="48" s="1"/>
  <c r="M344" i="49"/>
  <c r="M343" i="49" s="1"/>
  <c r="M342" i="49" s="1"/>
  <c r="M341" i="49" s="1"/>
  <c r="M340" i="49" s="1"/>
  <c r="M345" i="49"/>
  <c r="S345" i="49" s="1"/>
  <c r="U130" i="20"/>
  <c r="U131" i="20" s="1"/>
  <c r="Y105" i="45"/>
  <c r="Z105" i="45" s="1"/>
  <c r="H186" i="35"/>
  <c r="S187" i="35"/>
  <c r="R187" i="35"/>
  <c r="U187" i="35"/>
  <c r="T187" i="35"/>
  <c r="P57" i="41"/>
  <c r="P56" i="41" s="1"/>
  <c r="P69" i="42"/>
  <c r="P68" i="42" s="1"/>
  <c r="P67" i="42" s="1"/>
  <c r="P64" i="41"/>
  <c r="Q64" i="41" s="1"/>
  <c r="Q65" i="41"/>
  <c r="J340" i="48"/>
  <c r="J339" i="48" s="1"/>
  <c r="J338" i="48" s="1"/>
  <c r="Y277" i="45"/>
  <c r="Z277" i="45" s="1"/>
  <c r="P9" i="42"/>
  <c r="P8" i="42" s="1"/>
  <c r="P6" i="39"/>
  <c r="Y270" i="37"/>
  <c r="Z270" i="37" s="1"/>
  <c r="J8" i="35"/>
  <c r="R46" i="35"/>
  <c r="M184" i="48"/>
  <c r="S185" i="48"/>
  <c r="P349" i="48"/>
  <c r="P348" i="48" s="1"/>
  <c r="P339" i="48" s="1"/>
  <c r="P338" i="48" s="1"/>
  <c r="P337" i="48" s="1"/>
  <c r="N173" i="48"/>
  <c r="S176" i="48"/>
  <c r="AA22" i="48"/>
  <c r="Y22" i="48"/>
  <c r="J13" i="16"/>
  <c r="U14" i="49"/>
  <c r="Y14" i="49"/>
  <c r="W14" i="49"/>
  <c r="Y27" i="48"/>
  <c r="AA27" i="48"/>
  <c r="H22" i="39"/>
  <c r="H20" i="39" s="1"/>
  <c r="H19" i="39" s="1"/>
  <c r="H12" i="42" s="1"/>
  <c r="H42" i="16"/>
  <c r="H13" i="16" s="1"/>
  <c r="I20" i="35"/>
  <c r="I8" i="35" s="1"/>
  <c r="Q72" i="16"/>
  <c r="Y167" i="45"/>
  <c r="Z167" i="45" s="1"/>
  <c r="P249" i="37"/>
  <c r="Q249" i="37" s="1"/>
  <c r="P215" i="37"/>
  <c r="Q215" i="37" s="1"/>
  <c r="S233" i="49"/>
  <c r="U233" i="49" s="1"/>
  <c r="L232" i="49"/>
  <c r="X203" i="35"/>
  <c r="V203" i="35"/>
  <c r="W203" i="35"/>
  <c r="R381" i="37"/>
  <c r="P207" i="37"/>
  <c r="Q207" i="37" s="1"/>
  <c r="Y293" i="37"/>
  <c r="Z293" i="37" s="1"/>
  <c r="G56" i="41"/>
  <c r="Q56" i="41" s="1"/>
  <c r="Q57" i="41"/>
  <c r="Y223" i="37"/>
  <c r="Z223" i="37" s="1"/>
  <c r="S305" i="49"/>
  <c r="Y166" i="37"/>
  <c r="Z166" i="37" s="1"/>
  <c r="P206" i="37"/>
  <c r="Q206" i="37" s="1"/>
  <c r="N97" i="42"/>
  <c r="N94" i="42" s="1"/>
  <c r="N85" i="41"/>
  <c r="N98" i="41"/>
  <c r="J6" i="48"/>
  <c r="Y246" i="45"/>
  <c r="Z246" i="45" s="1"/>
  <c r="J350" i="49"/>
  <c r="J341" i="49" s="1"/>
  <c r="J340" i="49" s="1"/>
  <c r="Y324" i="37"/>
  <c r="Z324" i="37" s="1"/>
  <c r="Y214" i="37"/>
  <c r="Z214" i="37" s="1"/>
  <c r="Y305" i="45"/>
  <c r="Z305" i="45" s="1"/>
  <c r="Y154" i="45"/>
  <c r="Z154" i="45" s="1"/>
  <c r="S175" i="45"/>
  <c r="T175" i="45" s="1"/>
  <c r="U175" i="45" s="1"/>
  <c r="V175" i="45" s="1"/>
  <c r="W175" i="45" s="1"/>
  <c r="X175" i="45" s="1"/>
  <c r="Y175" i="45"/>
  <c r="L112" i="18"/>
  <c r="P112" i="18" s="1"/>
  <c r="P110" i="18"/>
  <c r="M384" i="16"/>
  <c r="N233" i="35" s="1"/>
  <c r="Y356" i="37"/>
  <c r="Z356" i="37" s="1"/>
  <c r="Y250" i="37"/>
  <c r="Z250" i="37" s="1"/>
  <c r="S250" i="37"/>
  <c r="T250" i="37" s="1"/>
  <c r="U250" i="37" s="1"/>
  <c r="V250" i="37" s="1"/>
  <c r="W250" i="37" s="1"/>
  <c r="X250" i="37" s="1"/>
  <c r="Y225" i="37"/>
  <c r="Z225" i="37" s="1"/>
  <c r="U322" i="37"/>
  <c r="Y315" i="37"/>
  <c r="Z315" i="37" s="1"/>
  <c r="Y279" i="37"/>
  <c r="Z279" i="37" s="1"/>
  <c r="Y232" i="45"/>
  <c r="Z232" i="45" s="1"/>
  <c r="Y149" i="37"/>
  <c r="Z149" i="37" s="1"/>
  <c r="L291" i="48"/>
  <c r="T292" i="48"/>
  <c r="Y216" i="45"/>
  <c r="Z216" i="45" s="1"/>
  <c r="P377" i="49"/>
  <c r="Y183" i="37"/>
  <c r="Z183" i="37" s="1"/>
  <c r="Y155" i="45"/>
  <c r="Z155" i="45" s="1"/>
  <c r="Y312" i="45"/>
  <c r="Z312" i="45" s="1"/>
  <c r="Y362" i="37"/>
  <c r="Z362" i="37" s="1"/>
  <c r="Y119" i="37"/>
  <c r="Z119" i="37" s="1"/>
  <c r="U46" i="35"/>
  <c r="Y360" i="45"/>
  <c r="Z360" i="45" s="1"/>
  <c r="Y213" i="45"/>
  <c r="Z213" i="45" s="1"/>
  <c r="I81" i="41"/>
  <c r="F8" i="35"/>
  <c r="S8" i="35" s="1"/>
  <c r="Y299" i="37"/>
  <c r="Z299" i="37" s="1"/>
  <c r="U54" i="49"/>
  <c r="Y54" i="49"/>
  <c r="L4" i="48"/>
  <c r="U329" i="16"/>
  <c r="U381" i="16"/>
  <c r="R4" i="48"/>
  <c r="Y69" i="49"/>
  <c r="U69" i="49"/>
  <c r="Y12" i="49"/>
  <c r="U12" i="49"/>
  <c r="W12" i="49"/>
  <c r="H79" i="49"/>
  <c r="S79" i="49" s="1"/>
  <c r="S80" i="49"/>
  <c r="H2" i="49"/>
  <c r="I2" i="49"/>
  <c r="I97" i="49"/>
  <c r="I96" i="49" s="1"/>
  <c r="I7" i="49" s="1"/>
  <c r="L2" i="49"/>
  <c r="L97" i="49"/>
  <c r="L96" i="49" s="1"/>
  <c r="U18" i="49"/>
  <c r="Y18" i="49"/>
  <c r="W18" i="49"/>
  <c r="G118" i="49"/>
  <c r="S118" i="49" s="1"/>
  <c r="U118" i="49" s="1"/>
  <c r="S120" i="49"/>
  <c r="U120" i="49" s="1"/>
  <c r="W26" i="49"/>
  <c r="U26" i="49"/>
  <c r="Y26" i="49"/>
  <c r="H64" i="49"/>
  <c r="S64" i="49" s="1"/>
  <c r="S65" i="49"/>
  <c r="F205" i="16"/>
  <c r="Q212" i="16"/>
  <c r="G247" i="16"/>
  <c r="Q248" i="16"/>
  <c r="I110" i="35"/>
  <c r="H75" i="39"/>
  <c r="Q324" i="16"/>
  <c r="I386" i="16"/>
  <c r="Q386" i="16" s="1"/>
  <c r="I106" i="16"/>
  <c r="I105" i="16" s="1"/>
  <c r="I65" i="39"/>
  <c r="J86" i="35"/>
  <c r="Q107" i="16"/>
  <c r="R8" i="16" s="1"/>
  <c r="L241" i="16"/>
  <c r="L69" i="39" s="1"/>
  <c r="M102" i="35"/>
  <c r="M100" i="35" s="1"/>
  <c r="M99" i="35" s="1"/>
  <c r="O75" i="39"/>
  <c r="O27" i="42" s="1"/>
  <c r="P110" i="35"/>
  <c r="Q102" i="35"/>
  <c r="Q100" i="35" s="1"/>
  <c r="Q99" i="35" s="1"/>
  <c r="P241" i="16"/>
  <c r="P69" i="39" s="1"/>
  <c r="U74" i="49"/>
  <c r="Y74" i="49"/>
  <c r="J18" i="42"/>
  <c r="N11" i="45"/>
  <c r="N10" i="45" s="1"/>
  <c r="N9" i="45" s="1"/>
  <c r="N395" i="45" s="1"/>
  <c r="N397" i="45" s="1"/>
  <c r="N13" i="45"/>
  <c r="E69" i="39"/>
  <c r="G377" i="49"/>
  <c r="Q48" i="42"/>
  <c r="U48" i="42" s="1"/>
  <c r="T48" i="42"/>
  <c r="K56" i="39"/>
  <c r="Q58" i="39"/>
  <c r="D156" i="35"/>
  <c r="D155" i="35"/>
  <c r="D153" i="35"/>
  <c r="G126" i="35"/>
  <c r="L126" i="35"/>
  <c r="L125" i="35" s="1"/>
  <c r="S116" i="35"/>
  <c r="S269" i="49"/>
  <c r="U269" i="49" s="1"/>
  <c r="L7" i="49"/>
  <c r="M98" i="49"/>
  <c r="Q98" i="49"/>
  <c r="O8" i="49"/>
  <c r="P36" i="49"/>
  <c r="P8" i="49" s="1"/>
  <c r="G8" i="48"/>
  <c r="I88" i="35"/>
  <c r="S38" i="49"/>
  <c r="T50" i="42"/>
  <c r="K154" i="49"/>
  <c r="K28" i="42"/>
  <c r="U19" i="49"/>
  <c r="Y19" i="49"/>
  <c r="W19" i="49"/>
  <c r="S15" i="49"/>
  <c r="G10" i="49"/>
  <c r="U17" i="49"/>
  <c r="Y17" i="49"/>
  <c r="W17" i="49"/>
  <c r="U89" i="49"/>
  <c r="Y89" i="49"/>
  <c r="U16" i="49"/>
  <c r="Y16" i="49"/>
  <c r="W16" i="49"/>
  <c r="W24" i="49"/>
  <c r="U24" i="49"/>
  <c r="Y24" i="49"/>
  <c r="U58" i="49"/>
  <c r="Y58" i="49"/>
  <c r="H157" i="49"/>
  <c r="S158" i="49"/>
  <c r="U158" i="49" s="1"/>
  <c r="H201" i="49"/>
  <c r="S201" i="49" s="1"/>
  <c r="U201" i="49" s="1"/>
  <c r="S202" i="49"/>
  <c r="U202" i="49" s="1"/>
  <c r="N2" i="49"/>
  <c r="N97" i="49"/>
  <c r="N96" i="49" s="1"/>
  <c r="N7" i="49" s="1"/>
  <c r="O2" i="49"/>
  <c r="O97" i="49"/>
  <c r="O96" i="49" s="1"/>
  <c r="P2" i="49"/>
  <c r="P97" i="49"/>
  <c r="P96" i="49" s="1"/>
  <c r="U77" i="49"/>
  <c r="Y77" i="49"/>
  <c r="Y16" i="48"/>
  <c r="AA16" i="48"/>
  <c r="Q126" i="16"/>
  <c r="E106" i="16"/>
  <c r="E68" i="39"/>
  <c r="K68" i="39"/>
  <c r="K66" i="39" s="1"/>
  <c r="K106" i="16"/>
  <c r="K105" i="16" s="1"/>
  <c r="O106" i="16"/>
  <c r="O105" i="16" s="1"/>
  <c r="O68" i="39"/>
  <c r="O66" i="39" s="1"/>
  <c r="P106" i="16"/>
  <c r="P105" i="16" s="1"/>
  <c r="P68" i="39"/>
  <c r="P66" i="39" s="1"/>
  <c r="P24" i="42" s="1"/>
  <c r="H36" i="49"/>
  <c r="S36" i="49" s="1"/>
  <c r="S37" i="49"/>
  <c r="G98" i="49"/>
  <c r="S99" i="49"/>
  <c r="U99" i="49" s="1"/>
  <c r="H186" i="49"/>
  <c r="S187" i="49"/>
  <c r="U187" i="49" s="1"/>
  <c r="G104" i="35"/>
  <c r="R104" i="35" s="1"/>
  <c r="Q292" i="16"/>
  <c r="F61" i="39"/>
  <c r="F164" i="16"/>
  <c r="Q176" i="16"/>
  <c r="K2" i="49"/>
  <c r="C2" i="49"/>
  <c r="K97" i="49"/>
  <c r="N61" i="39"/>
  <c r="N60" i="39" s="1"/>
  <c r="N164" i="16"/>
  <c r="O84" i="35" s="1"/>
  <c r="P61" i="39"/>
  <c r="P60" i="39" s="1"/>
  <c r="P164" i="16"/>
  <c r="Q84" i="35" s="1"/>
  <c r="Q15" i="16"/>
  <c r="P14" i="16"/>
  <c r="P7" i="16"/>
  <c r="S72" i="48"/>
  <c r="AA72" i="48" s="1"/>
  <c r="H62" i="48"/>
  <c r="S15" i="48"/>
  <c r="M13" i="48"/>
  <c r="O13" i="48"/>
  <c r="O8" i="48" s="1"/>
  <c r="O7" i="48" s="1"/>
  <c r="S14" i="48"/>
  <c r="F106" i="16"/>
  <c r="F105" i="16" s="1"/>
  <c r="G106" i="16"/>
  <c r="G105" i="16" s="1"/>
  <c r="G68" i="39"/>
  <c r="H68" i="39"/>
  <c r="H66" i="39" s="1"/>
  <c r="H106" i="16"/>
  <c r="H105" i="16" s="1"/>
  <c r="J106" i="16"/>
  <c r="J105" i="16" s="1"/>
  <c r="J68" i="39"/>
  <c r="J66" i="39" s="1"/>
  <c r="L106" i="16"/>
  <c r="L105" i="16" s="1"/>
  <c r="L68" i="39"/>
  <c r="L66" i="39" s="1"/>
  <c r="M106" i="16"/>
  <c r="M105" i="16" s="1"/>
  <c r="M68" i="39"/>
  <c r="M66" i="39" s="1"/>
  <c r="N106" i="16"/>
  <c r="N105" i="16" s="1"/>
  <c r="N68" i="39"/>
  <c r="N66" i="39" s="1"/>
  <c r="N24" i="42" s="1"/>
  <c r="U323" i="49"/>
  <c r="Y323" i="49"/>
  <c r="W323" i="49"/>
  <c r="F100" i="35"/>
  <c r="AA284" i="48"/>
  <c r="V284" i="48"/>
  <c r="W284" i="48"/>
  <c r="G294" i="49"/>
  <c r="K72" i="39"/>
  <c r="Q73" i="39"/>
  <c r="R162" i="35"/>
  <c r="S162" i="35"/>
  <c r="G161" i="35"/>
  <c r="U162" i="35"/>
  <c r="T162" i="35"/>
  <c r="S35" i="48"/>
  <c r="AA35" i="48" s="1"/>
  <c r="O34" i="48"/>
  <c r="G23" i="42"/>
  <c r="G339" i="48"/>
  <c r="F248" i="35"/>
  <c r="F257" i="35" s="1"/>
  <c r="E59" i="42"/>
  <c r="R60" i="42"/>
  <c r="S60" i="42"/>
  <c r="H282" i="49"/>
  <c r="H281" i="49" s="1"/>
  <c r="E28" i="42"/>
  <c r="R36" i="42"/>
  <c r="S36" i="42"/>
  <c r="H10" i="49"/>
  <c r="H9" i="49" s="1"/>
  <c r="H8" i="49" s="1"/>
  <c r="H146" i="49"/>
  <c r="S146" i="49" s="1"/>
  <c r="U146" i="49" s="1"/>
  <c r="K5" i="48"/>
  <c r="R98" i="49"/>
  <c r="G100" i="35"/>
  <c r="G99" i="35" s="1"/>
  <c r="S50" i="49"/>
  <c r="Q50" i="42"/>
  <c r="U50" i="42" s="1"/>
  <c r="P28" i="42"/>
  <c r="I4" i="48"/>
  <c r="Q232" i="49"/>
  <c r="T8" i="35"/>
  <c r="R206" i="37" l="1"/>
  <c r="S381" i="37"/>
  <c r="T381" i="37" s="1"/>
  <c r="U381" i="37" s="1"/>
  <c r="V381" i="37" s="1"/>
  <c r="W381" i="37" s="1"/>
  <c r="X381" i="37" s="1"/>
  <c r="R249" i="37"/>
  <c r="V187" i="35"/>
  <c r="W187" i="35"/>
  <c r="R309" i="45"/>
  <c r="I19" i="42"/>
  <c r="Q50" i="39"/>
  <c r="I49" i="39"/>
  <c r="T141" i="35"/>
  <c r="R141" i="35"/>
  <c r="U141" i="35"/>
  <c r="I137" i="35"/>
  <c r="W371" i="49"/>
  <c r="U371" i="49"/>
  <c r="Y371" i="49"/>
  <c r="H20" i="41"/>
  <c r="I132" i="35"/>
  <c r="I127" i="35" s="1"/>
  <c r="J288" i="49"/>
  <c r="J283" i="49" s="1"/>
  <c r="J286" i="48"/>
  <c r="J281" i="48" s="1"/>
  <c r="Y354" i="45"/>
  <c r="Z354" i="45" s="1"/>
  <c r="S354" i="45"/>
  <c r="T354" i="45" s="1"/>
  <c r="U354" i="45" s="1"/>
  <c r="V354" i="45" s="1"/>
  <c r="W354" i="45" s="1"/>
  <c r="X354" i="45" s="1"/>
  <c r="V345" i="48"/>
  <c r="W345" i="48"/>
  <c r="AA345" i="48"/>
  <c r="M138" i="35"/>
  <c r="R139" i="35"/>
  <c r="U139" i="35"/>
  <c r="Q102" i="41"/>
  <c r="P98" i="41"/>
  <c r="P85" i="41"/>
  <c r="P81" i="41" s="1"/>
  <c r="P97" i="42"/>
  <c r="P94" i="42" s="1"/>
  <c r="P85" i="42" s="1"/>
  <c r="P65" i="42" s="1"/>
  <c r="H97" i="42"/>
  <c r="H94" i="42" s="1"/>
  <c r="H85" i="42" s="1"/>
  <c r="H65" i="42" s="1"/>
  <c r="H85" i="41"/>
  <c r="H81" i="41" s="1"/>
  <c r="H98" i="41"/>
  <c r="K355" i="49"/>
  <c r="K354" i="48"/>
  <c r="S280" i="37"/>
  <c r="T280" i="37" s="1"/>
  <c r="U280" i="37" s="1"/>
  <c r="V280" i="37" s="1"/>
  <c r="W280" i="37" s="1"/>
  <c r="X280" i="37" s="1"/>
  <c r="S317" i="37"/>
  <c r="T317" i="37" s="1"/>
  <c r="U317" i="37" s="1"/>
  <c r="V317" i="37" s="1"/>
  <c r="W317" i="37" s="1"/>
  <c r="X317" i="37" s="1"/>
  <c r="S161" i="45"/>
  <c r="T161" i="45" s="1"/>
  <c r="U161" i="45" s="1"/>
  <c r="V161" i="45" s="1"/>
  <c r="W161" i="45" s="1"/>
  <c r="X161" i="45" s="1"/>
  <c r="Q25" i="45"/>
  <c r="W377" i="48"/>
  <c r="AA377" i="48"/>
  <c r="V377" i="48"/>
  <c r="G222" i="35"/>
  <c r="R223" i="35"/>
  <c r="U347" i="49"/>
  <c r="Y347" i="49"/>
  <c r="S357" i="49"/>
  <c r="U357" i="49" s="1"/>
  <c r="R288" i="49"/>
  <c r="R283" i="49" s="1"/>
  <c r="Q132" i="35"/>
  <c r="Q127" i="35" s="1"/>
  <c r="P20" i="41"/>
  <c r="R286" i="48"/>
  <c r="R281" i="48" s="1"/>
  <c r="T380" i="48"/>
  <c r="S380" i="48"/>
  <c r="U380" i="48"/>
  <c r="S202" i="37"/>
  <c r="T202" i="37" s="1"/>
  <c r="U202" i="37" s="1"/>
  <c r="V202" i="37" s="1"/>
  <c r="W202" i="37" s="1"/>
  <c r="X202" i="37" s="1"/>
  <c r="S224" i="37"/>
  <c r="T224" i="37" s="1"/>
  <c r="U224" i="37" s="1"/>
  <c r="V224" i="37" s="1"/>
  <c r="W224" i="37" s="1"/>
  <c r="X224" i="37" s="1"/>
  <c r="M24" i="45"/>
  <c r="M22" i="45" s="1"/>
  <c r="M9" i="45" s="1"/>
  <c r="M395" i="45" s="1"/>
  <c r="M397" i="45" s="1"/>
  <c r="O120" i="35"/>
  <c r="O116" i="35" s="1"/>
  <c r="S89" i="42"/>
  <c r="I86" i="42"/>
  <c r="I85" i="42" s="1"/>
  <c r="I65" i="42" s="1"/>
  <c r="AA301" i="48"/>
  <c r="W301" i="48"/>
  <c r="V301" i="48"/>
  <c r="S349" i="48"/>
  <c r="U349" i="48"/>
  <c r="T349" i="48"/>
  <c r="S318" i="45"/>
  <c r="T318" i="45" s="1"/>
  <c r="U318" i="45" s="1"/>
  <c r="V318" i="45" s="1"/>
  <c r="W318" i="45" s="1"/>
  <c r="X318" i="45" s="1"/>
  <c r="N19" i="39"/>
  <c r="Q24" i="39"/>
  <c r="S339" i="45"/>
  <c r="T339" i="45" s="1"/>
  <c r="U339" i="45" s="1"/>
  <c r="V339" i="45" s="1"/>
  <c r="W339" i="45" s="1"/>
  <c r="X339" i="45" s="1"/>
  <c r="P23" i="45"/>
  <c r="H22" i="45"/>
  <c r="S360" i="37"/>
  <c r="T360" i="37" s="1"/>
  <c r="U360" i="37" s="1"/>
  <c r="V360" i="37" s="1"/>
  <c r="W360" i="37" s="1"/>
  <c r="X360" i="37" s="1"/>
  <c r="R128" i="45"/>
  <c r="S129" i="45"/>
  <c r="T129" i="45" s="1"/>
  <c r="U129" i="45" s="1"/>
  <c r="V129" i="45" s="1"/>
  <c r="W129" i="45" s="1"/>
  <c r="X129" i="45" s="1"/>
  <c r="U223" i="35"/>
  <c r="I112" i="18"/>
  <c r="Q112" i="18" s="1"/>
  <c r="Q110" i="18"/>
  <c r="S208" i="37"/>
  <c r="T208" i="37" s="1"/>
  <c r="U208" i="37" s="1"/>
  <c r="V208" i="37" s="1"/>
  <c r="W208" i="37" s="1"/>
  <c r="X208" i="37" s="1"/>
  <c r="S363" i="45"/>
  <c r="T363" i="45" s="1"/>
  <c r="U363" i="45" s="1"/>
  <c r="V363" i="45" s="1"/>
  <c r="W363" i="45" s="1"/>
  <c r="X363" i="45" s="1"/>
  <c r="E61" i="39"/>
  <c r="E60" i="39" s="1"/>
  <c r="E23" i="42" s="1"/>
  <c r="E164" i="16"/>
  <c r="F84" i="35" s="1"/>
  <c r="K98" i="41"/>
  <c r="K97" i="42"/>
  <c r="K94" i="42" s="1"/>
  <c r="K85" i="41"/>
  <c r="G318" i="49"/>
  <c r="S333" i="49"/>
  <c r="M134" i="35"/>
  <c r="L3" i="2"/>
  <c r="L13" i="40"/>
  <c r="L12" i="40" s="1"/>
  <c r="Q5" i="2"/>
  <c r="Q13" i="40" s="1"/>
  <c r="N288" i="48"/>
  <c r="N290" i="49"/>
  <c r="K96" i="49"/>
  <c r="K7" i="49" s="1"/>
  <c r="P7" i="49"/>
  <c r="N236" i="35"/>
  <c r="N245" i="35"/>
  <c r="H8" i="42"/>
  <c r="U345" i="49"/>
  <c r="Y345" i="49"/>
  <c r="S314" i="37"/>
  <c r="T314" i="37" s="1"/>
  <c r="U314" i="37" s="1"/>
  <c r="V314" i="37" s="1"/>
  <c r="W314" i="37" s="1"/>
  <c r="X314" i="37" s="1"/>
  <c r="Y314" i="37"/>
  <c r="Z314" i="37" s="1"/>
  <c r="Q246" i="35"/>
  <c r="Q248" i="35" s="1"/>
  <c r="Q257" i="35" s="1"/>
  <c r="Q242" i="35"/>
  <c r="O14" i="45" s="1"/>
  <c r="Q236" i="35"/>
  <c r="S102" i="48"/>
  <c r="J96" i="48"/>
  <c r="S297" i="49"/>
  <c r="J293" i="49"/>
  <c r="G34" i="2"/>
  <c r="I382" i="49"/>
  <c r="H220" i="35"/>
  <c r="Q36" i="2"/>
  <c r="I379" i="48"/>
  <c r="I20" i="41"/>
  <c r="K286" i="48"/>
  <c r="K281" i="48" s="1"/>
  <c r="K280" i="48" s="1"/>
  <c r="K279" i="48" s="1"/>
  <c r="K288" i="49"/>
  <c r="K283" i="49" s="1"/>
  <c r="K282" i="49" s="1"/>
  <c r="K281" i="49" s="1"/>
  <c r="J132" i="35"/>
  <c r="J127" i="35" s="1"/>
  <c r="J126" i="35" s="1"/>
  <c r="J125" i="35" s="1"/>
  <c r="I49" i="2"/>
  <c r="I50" i="2" s="1"/>
  <c r="H342" i="49"/>
  <c r="H341" i="49" s="1"/>
  <c r="H340" i="49" s="1"/>
  <c r="H339" i="49" s="1"/>
  <c r="S343" i="49"/>
  <c r="R226" i="45"/>
  <c r="S368" i="37"/>
  <c r="T368" i="37" s="1"/>
  <c r="U368" i="37" s="1"/>
  <c r="V368" i="37" s="1"/>
  <c r="W368" i="37" s="1"/>
  <c r="X368" i="37" s="1"/>
  <c r="Y368" i="37"/>
  <c r="Z368" i="37" s="1"/>
  <c r="Y338" i="45"/>
  <c r="Z338" i="45" s="1"/>
  <c r="I242" i="35"/>
  <c r="G14" i="45" s="1"/>
  <c r="I246" i="35"/>
  <c r="I248" i="35" s="1"/>
  <c r="I257" i="35" s="1"/>
  <c r="I236" i="35"/>
  <c r="W369" i="48"/>
  <c r="AA369" i="48"/>
  <c r="Y369" i="48"/>
  <c r="V369" i="48"/>
  <c r="Q290" i="49"/>
  <c r="Q289" i="49" s="1"/>
  <c r="O13" i="40"/>
  <c r="O12" i="40" s="1"/>
  <c r="P134" i="35"/>
  <c r="P133" i="35" s="1"/>
  <c r="O3" i="2"/>
  <c r="O49" i="2" s="1"/>
  <c r="O50" i="2" s="1"/>
  <c r="Q288" i="48"/>
  <c r="Q287" i="48" s="1"/>
  <c r="X33" i="11"/>
  <c r="W32" i="11"/>
  <c r="K24" i="45"/>
  <c r="M120" i="35"/>
  <c r="M116" i="35" s="1"/>
  <c r="R121" i="35"/>
  <c r="U121" i="35"/>
  <c r="I220" i="35"/>
  <c r="I215" i="35" s="1"/>
  <c r="I182" i="35" s="1"/>
  <c r="J382" i="49"/>
  <c r="J377" i="49" s="1"/>
  <c r="J379" i="48"/>
  <c r="J374" i="48" s="1"/>
  <c r="J337" i="48" s="1"/>
  <c r="H34" i="2"/>
  <c r="H49" i="2" s="1"/>
  <c r="H50" i="2" s="1"/>
  <c r="P16" i="45"/>
  <c r="L8" i="35"/>
  <c r="R63" i="35"/>
  <c r="U63" i="35"/>
  <c r="J184" i="35"/>
  <c r="J183" i="35" s="1"/>
  <c r="T193" i="35"/>
  <c r="S121" i="37"/>
  <c r="T121" i="37" s="1"/>
  <c r="U121" i="37" s="1"/>
  <c r="V121" i="37" s="1"/>
  <c r="W121" i="37" s="1"/>
  <c r="X121" i="37" s="1"/>
  <c r="S148" i="45"/>
  <c r="T148" i="45" s="1"/>
  <c r="U148" i="45" s="1"/>
  <c r="V148" i="45" s="1"/>
  <c r="W148" i="45" s="1"/>
  <c r="X148" i="45" s="1"/>
  <c r="W194" i="35"/>
  <c r="V194" i="35"/>
  <c r="P343" i="49"/>
  <c r="P342" i="49" s="1"/>
  <c r="H340" i="48"/>
  <c r="U341" i="48"/>
  <c r="T341" i="48"/>
  <c r="R126" i="45"/>
  <c r="H381" i="48"/>
  <c r="S382" i="48"/>
  <c r="U382" i="48"/>
  <c r="T382" i="48"/>
  <c r="G20" i="41"/>
  <c r="H132" i="35"/>
  <c r="H127" i="35" s="1"/>
  <c r="H126" i="35" s="1"/>
  <c r="H125" i="35" s="1"/>
  <c r="I288" i="49"/>
  <c r="I283" i="49" s="1"/>
  <c r="I282" i="49" s="1"/>
  <c r="I281" i="49" s="1"/>
  <c r="I286" i="48"/>
  <c r="I281" i="48" s="1"/>
  <c r="K85" i="42"/>
  <c r="K65" i="42" s="1"/>
  <c r="S383" i="49"/>
  <c r="I336" i="49"/>
  <c r="I335" i="49" s="1"/>
  <c r="I317" i="49" s="1"/>
  <c r="G97" i="41"/>
  <c r="I334" i="48"/>
  <c r="I333" i="48" s="1"/>
  <c r="I315" i="48" s="1"/>
  <c r="H179" i="35"/>
  <c r="H178" i="35" s="1"/>
  <c r="H160" i="35" s="1"/>
  <c r="S359" i="45"/>
  <c r="T359" i="45" s="1"/>
  <c r="U359" i="45" s="1"/>
  <c r="V359" i="45" s="1"/>
  <c r="W359" i="45" s="1"/>
  <c r="X359" i="45" s="1"/>
  <c r="S343" i="45"/>
  <c r="T343" i="45" s="1"/>
  <c r="U343" i="45" s="1"/>
  <c r="V343" i="45" s="1"/>
  <c r="W343" i="45" s="1"/>
  <c r="X343" i="45" s="1"/>
  <c r="S258" i="49"/>
  <c r="U258" i="49" s="1"/>
  <c r="H240" i="49"/>
  <c r="H232" i="49" s="1"/>
  <c r="F8" i="41"/>
  <c r="F7" i="41" s="1"/>
  <c r="F19" i="41"/>
  <c r="T20" i="35"/>
  <c r="Q42" i="16"/>
  <c r="T375" i="48"/>
  <c r="G67" i="42"/>
  <c r="T68" i="42"/>
  <c r="S68" i="42"/>
  <c r="Q68" i="42"/>
  <c r="U68" i="42" s="1"/>
  <c r="R68" i="42"/>
  <c r="R251" i="37"/>
  <c r="W166" i="35"/>
  <c r="V166" i="35"/>
  <c r="S382" i="37"/>
  <c r="T382" i="37" s="1"/>
  <c r="U382" i="37" s="1"/>
  <c r="V382" i="37" s="1"/>
  <c r="W382" i="37" s="1"/>
  <c r="X382" i="37" s="1"/>
  <c r="J122" i="35"/>
  <c r="K48" i="10"/>
  <c r="K279" i="49"/>
  <c r="K277" i="48"/>
  <c r="K68" i="10"/>
  <c r="L68" i="10" s="1"/>
  <c r="M68" i="10" s="1"/>
  <c r="N68" i="10" s="1"/>
  <c r="O68" i="10" s="1"/>
  <c r="P68" i="10" s="1"/>
  <c r="Q68" i="10" s="1"/>
  <c r="R68" i="10" s="1"/>
  <c r="L377" i="49"/>
  <c r="L339" i="49" s="1"/>
  <c r="R210" i="37"/>
  <c r="S200" i="45"/>
  <c r="T200" i="45" s="1"/>
  <c r="U200" i="45" s="1"/>
  <c r="V200" i="45" s="1"/>
  <c r="W200" i="45" s="1"/>
  <c r="X200" i="45" s="1"/>
  <c r="G62" i="48"/>
  <c r="G34" i="48" s="1"/>
  <c r="S67" i="48"/>
  <c r="AA67" i="48" s="1"/>
  <c r="F215" i="35"/>
  <c r="R222" i="35"/>
  <c r="U222" i="35"/>
  <c r="S222" i="35"/>
  <c r="T222" i="35"/>
  <c r="H233" i="35"/>
  <c r="Q384" i="16"/>
  <c r="S301" i="45"/>
  <c r="T301" i="45" s="1"/>
  <c r="U301" i="45" s="1"/>
  <c r="V301" i="45" s="1"/>
  <c r="W301" i="45" s="1"/>
  <c r="X301" i="45" s="1"/>
  <c r="S217" i="37"/>
  <c r="T217" i="37" s="1"/>
  <c r="U217" i="37" s="1"/>
  <c r="V217" i="37" s="1"/>
  <c r="W217" i="37" s="1"/>
  <c r="X217" i="37" s="1"/>
  <c r="Z175" i="45"/>
  <c r="S212" i="37"/>
  <c r="T212" i="37" s="1"/>
  <c r="U212" i="37" s="1"/>
  <c r="V212" i="37" s="1"/>
  <c r="W212" i="37" s="1"/>
  <c r="X212" i="37" s="1"/>
  <c r="S127" i="37"/>
  <c r="T127" i="37" s="1"/>
  <c r="U127" i="37" s="1"/>
  <c r="V127" i="37" s="1"/>
  <c r="W127" i="37" s="1"/>
  <c r="X127" i="37" s="1"/>
  <c r="R99" i="37"/>
  <c r="G247" i="48"/>
  <c r="S248" i="48"/>
  <c r="U352" i="49"/>
  <c r="Y352" i="49"/>
  <c r="M374" i="48"/>
  <c r="F161" i="35"/>
  <c r="U176" i="35"/>
  <c r="R176" i="35"/>
  <c r="S176" i="35"/>
  <c r="T176" i="35"/>
  <c r="J339" i="49"/>
  <c r="Y305" i="49"/>
  <c r="W305" i="49"/>
  <c r="U305" i="49"/>
  <c r="M180" i="48"/>
  <c r="M94" i="48" s="1"/>
  <c r="S184" i="48"/>
  <c r="H185" i="35"/>
  <c r="U186" i="35"/>
  <c r="S186" i="35"/>
  <c r="R186" i="35"/>
  <c r="T186" i="35"/>
  <c r="J246" i="35"/>
  <c r="J248" i="35" s="1"/>
  <c r="J257" i="35" s="1"/>
  <c r="J242" i="35"/>
  <c r="H14" i="45" s="1"/>
  <c r="J236" i="35"/>
  <c r="R302" i="45"/>
  <c r="P176" i="37"/>
  <c r="Q176" i="37" s="1"/>
  <c r="Z176" i="37" s="1"/>
  <c r="G26" i="37"/>
  <c r="V356" i="48"/>
  <c r="W356" i="48"/>
  <c r="AA356" i="48"/>
  <c r="U372" i="49"/>
  <c r="Y372" i="49"/>
  <c r="W372" i="49"/>
  <c r="K374" i="48"/>
  <c r="AB11" i="21"/>
  <c r="S344" i="49"/>
  <c r="Y169" i="37"/>
  <c r="Z169" i="37" s="1"/>
  <c r="R322" i="45"/>
  <c r="S337" i="45"/>
  <c r="T337" i="45" s="1"/>
  <c r="U337" i="45" s="1"/>
  <c r="V337" i="45" s="1"/>
  <c r="W337" i="45" s="1"/>
  <c r="X337" i="45" s="1"/>
  <c r="Y157" i="37"/>
  <c r="Z157" i="37" s="1"/>
  <c r="E309" i="48"/>
  <c r="E307" i="48"/>
  <c r="T340" i="48"/>
  <c r="K377" i="49"/>
  <c r="N293" i="48"/>
  <c r="N275" i="48"/>
  <c r="N271" i="48" s="1"/>
  <c r="U276" i="48"/>
  <c r="S276" i="48"/>
  <c r="L366" i="16"/>
  <c r="V5" i="11"/>
  <c r="N288" i="49"/>
  <c r="N286" i="48"/>
  <c r="L20" i="41"/>
  <c r="M132" i="35"/>
  <c r="AB21" i="21"/>
  <c r="Z17" i="45"/>
  <c r="Z16" i="45" s="1"/>
  <c r="Q16" i="45"/>
  <c r="S126" i="37"/>
  <c r="T126" i="37" s="1"/>
  <c r="U126" i="37" s="1"/>
  <c r="V126" i="37" s="1"/>
  <c r="W126" i="37" s="1"/>
  <c r="X126" i="37" s="1"/>
  <c r="Y126" i="37"/>
  <c r="Z126" i="37" s="1"/>
  <c r="Y377" i="37"/>
  <c r="Z377" i="37" s="1"/>
  <c r="S377" i="37"/>
  <c r="T377" i="37" s="1"/>
  <c r="U377" i="37" s="1"/>
  <c r="V377" i="37" s="1"/>
  <c r="W377" i="37" s="1"/>
  <c r="X377" i="37" s="1"/>
  <c r="S385" i="49"/>
  <c r="E337" i="49"/>
  <c r="E389" i="49" s="1"/>
  <c r="E390" i="49" s="1"/>
  <c r="E310" i="49"/>
  <c r="R224" i="45"/>
  <c r="S205" i="37"/>
  <c r="T205" i="37" s="1"/>
  <c r="U205" i="37" s="1"/>
  <c r="V205" i="37" s="1"/>
  <c r="W205" i="37" s="1"/>
  <c r="X205" i="37" s="1"/>
  <c r="K8" i="41"/>
  <c r="K7" i="41" s="1"/>
  <c r="K19" i="41"/>
  <c r="S342" i="48"/>
  <c r="N242" i="35"/>
  <c r="L14" i="45" s="1"/>
  <c r="N246" i="35"/>
  <c r="Q20" i="45"/>
  <c r="R20" i="45" s="1"/>
  <c r="P19" i="45"/>
  <c r="Q19" i="45" s="1"/>
  <c r="M199" i="35"/>
  <c r="L93" i="41"/>
  <c r="V130" i="20"/>
  <c r="V131" i="20" s="1"/>
  <c r="K132" i="35"/>
  <c r="K127" i="35" s="1"/>
  <c r="K126" i="35" s="1"/>
  <c r="K125" i="35" s="1"/>
  <c r="L286" i="48"/>
  <c r="L281" i="48" s="1"/>
  <c r="J20" i="41"/>
  <c r="L288" i="49"/>
  <c r="L283" i="49" s="1"/>
  <c r="L282" i="49" s="1"/>
  <c r="L281" i="49" s="1"/>
  <c r="J49" i="2"/>
  <c r="J50" i="2" s="1"/>
  <c r="Y251" i="45"/>
  <c r="Z251" i="45" s="1"/>
  <c r="R221" i="35"/>
  <c r="U221" i="35"/>
  <c r="T221" i="35"/>
  <c r="G215" i="35"/>
  <c r="G182" i="35" s="1"/>
  <c r="S221" i="35"/>
  <c r="H334" i="48"/>
  <c r="H333" i="48" s="1"/>
  <c r="H315" i="48" s="1"/>
  <c r="F97" i="41"/>
  <c r="H336" i="49"/>
  <c r="H335" i="49" s="1"/>
  <c r="H317" i="49" s="1"/>
  <c r="G179" i="35"/>
  <c r="G178" i="35" s="1"/>
  <c r="P295" i="49"/>
  <c r="P294" i="49" s="1"/>
  <c r="P293" i="49" s="1"/>
  <c r="P277" i="49"/>
  <c r="P273" i="49" s="1"/>
  <c r="R20" i="35"/>
  <c r="Q69" i="42"/>
  <c r="U69" i="42" s="1"/>
  <c r="Q22" i="39"/>
  <c r="S219" i="45"/>
  <c r="T219" i="45" s="1"/>
  <c r="U219" i="45" s="1"/>
  <c r="V219" i="45" s="1"/>
  <c r="W219" i="45" s="1"/>
  <c r="X219" i="45" s="1"/>
  <c r="F307" i="48"/>
  <c r="F309" i="48"/>
  <c r="S200" i="37"/>
  <c r="T200" i="37" s="1"/>
  <c r="U200" i="37" s="1"/>
  <c r="V200" i="37" s="1"/>
  <c r="W200" i="37" s="1"/>
  <c r="X200" i="37" s="1"/>
  <c r="S232" i="37"/>
  <c r="T232" i="37" s="1"/>
  <c r="U232" i="37" s="1"/>
  <c r="V232" i="37" s="1"/>
  <c r="W232" i="37" s="1"/>
  <c r="X232" i="37" s="1"/>
  <c r="O288" i="49"/>
  <c r="O283" i="49" s="1"/>
  <c r="O282" i="49" s="1"/>
  <c r="O281" i="49" s="1"/>
  <c r="O286" i="48"/>
  <c r="O281" i="48" s="1"/>
  <c r="O280" i="48" s="1"/>
  <c r="O279" i="48" s="1"/>
  <c r="N132" i="35"/>
  <c r="N127" i="35" s="1"/>
  <c r="N126" i="35" s="1"/>
  <c r="N125" i="35" s="1"/>
  <c r="M20" i="41"/>
  <c r="M49" i="2"/>
  <c r="M50" i="2" s="1"/>
  <c r="Y365" i="37"/>
  <c r="Z365" i="37" s="1"/>
  <c r="S365" i="37"/>
  <c r="T365" i="37" s="1"/>
  <c r="U365" i="37" s="1"/>
  <c r="V365" i="37" s="1"/>
  <c r="W365" i="37" s="1"/>
  <c r="X365" i="37" s="1"/>
  <c r="Q20" i="42"/>
  <c r="U20" i="42" s="1"/>
  <c r="N18" i="42"/>
  <c r="S223" i="35"/>
  <c r="Q8" i="35"/>
  <c r="R9" i="35"/>
  <c r="G249" i="49"/>
  <c r="S250" i="49"/>
  <c r="Y368" i="48"/>
  <c r="W368" i="48"/>
  <c r="V368" i="48"/>
  <c r="AA368" i="48"/>
  <c r="S351" i="49"/>
  <c r="P350" i="49"/>
  <c r="U218" i="35"/>
  <c r="R218" i="35"/>
  <c r="L216" i="35"/>
  <c r="AA351" i="48"/>
  <c r="V351" i="48"/>
  <c r="W351" i="48"/>
  <c r="O135" i="35"/>
  <c r="P291" i="49"/>
  <c r="N14" i="40"/>
  <c r="N12" i="40" s="1"/>
  <c r="P289" i="48"/>
  <c r="Q4" i="2"/>
  <c r="Q14" i="40" s="1"/>
  <c r="N3" i="2"/>
  <c r="E14" i="16"/>
  <c r="E13" i="16" s="1"/>
  <c r="E7" i="16"/>
  <c r="Q7" i="16" s="1"/>
  <c r="F311" i="49"/>
  <c r="F309" i="49"/>
  <c r="S215" i="45"/>
  <c r="T215" i="45" s="1"/>
  <c r="U215" i="45" s="1"/>
  <c r="V215" i="45" s="1"/>
  <c r="W215" i="45" s="1"/>
  <c r="X215" i="45" s="1"/>
  <c r="J98" i="49"/>
  <c r="V322" i="37"/>
  <c r="R207" i="37"/>
  <c r="R215" i="37"/>
  <c r="S173" i="48"/>
  <c r="N152" i="48"/>
  <c r="X46" i="35"/>
  <c r="W46" i="35"/>
  <c r="V46" i="35"/>
  <c r="M337" i="48"/>
  <c r="R306" i="37"/>
  <c r="L246" i="35"/>
  <c r="L248" i="35" s="1"/>
  <c r="L257" i="35" s="1"/>
  <c r="L242" i="35"/>
  <c r="J14" i="45" s="1"/>
  <c r="L236" i="35"/>
  <c r="T295" i="48"/>
  <c r="U295" i="48"/>
  <c r="S295" i="48"/>
  <c r="J291" i="48"/>
  <c r="I365" i="49"/>
  <c r="S370" i="49"/>
  <c r="AA357" i="48"/>
  <c r="V357" i="48"/>
  <c r="W357" i="48"/>
  <c r="G97" i="42"/>
  <c r="G85" i="41"/>
  <c r="G98" i="41"/>
  <c r="Q98" i="41" s="1"/>
  <c r="N122" i="35"/>
  <c r="N120" i="35" s="1"/>
  <c r="N116" i="35" s="1"/>
  <c r="O279" i="49"/>
  <c r="O277" i="49" s="1"/>
  <c r="O273" i="49" s="1"/>
  <c r="O277" i="48"/>
  <c r="O275" i="48" s="1"/>
  <c r="O271" i="48" s="1"/>
  <c r="O48" i="10"/>
  <c r="N239" i="35" s="1"/>
  <c r="L6" i="21"/>
  <c r="X7" i="21"/>
  <c r="L35" i="21"/>
  <c r="L67" i="21"/>
  <c r="Y7" i="21"/>
  <c r="S167" i="37"/>
  <c r="T167" i="37" s="1"/>
  <c r="U167" i="37" s="1"/>
  <c r="V167" i="37" s="1"/>
  <c r="W167" i="37" s="1"/>
  <c r="X167" i="37" s="1"/>
  <c r="S156" i="37"/>
  <c r="T156" i="37" s="1"/>
  <c r="U156" i="37" s="1"/>
  <c r="V156" i="37" s="1"/>
  <c r="W156" i="37" s="1"/>
  <c r="X156" i="37" s="1"/>
  <c r="R129" i="37"/>
  <c r="I362" i="48"/>
  <c r="U367" i="48"/>
  <c r="T367" i="48"/>
  <c r="S367" i="48"/>
  <c r="J215" i="35"/>
  <c r="N295" i="49"/>
  <c r="N277" i="49"/>
  <c r="N273" i="49" s="1"/>
  <c r="S278" i="49"/>
  <c r="L44" i="2"/>
  <c r="Q45" i="2"/>
  <c r="R376" i="48"/>
  <c r="Q217" i="35"/>
  <c r="Q140" i="35"/>
  <c r="R379" i="49"/>
  <c r="Q46" i="2"/>
  <c r="P44" i="2"/>
  <c r="V346" i="48"/>
  <c r="W346" i="48"/>
  <c r="AA346" i="48"/>
  <c r="P132" i="35"/>
  <c r="P127" i="35" s="1"/>
  <c r="P126" i="35" s="1"/>
  <c r="P125" i="35" s="1"/>
  <c r="Q286" i="48"/>
  <c r="Q281" i="48" s="1"/>
  <c r="O20" i="41"/>
  <c r="Y9" i="35"/>
  <c r="Y20" i="35" s="1"/>
  <c r="Q288" i="49"/>
  <c r="Q283" i="49" s="1"/>
  <c r="Q282" i="49" s="1"/>
  <c r="Q281" i="49" s="1"/>
  <c r="S384" i="49"/>
  <c r="S199" i="48"/>
  <c r="J180" i="48"/>
  <c r="S180" i="48" s="1"/>
  <c r="AA180" i="48" s="1"/>
  <c r="U342" i="48"/>
  <c r="S225" i="45"/>
  <c r="T225" i="45" s="1"/>
  <c r="U225" i="45" s="1"/>
  <c r="V225" i="45" s="1"/>
  <c r="W225" i="45" s="1"/>
  <c r="X225" i="45" s="1"/>
  <c r="Y196" i="45"/>
  <c r="Z196" i="45" s="1"/>
  <c r="S196" i="45"/>
  <c r="T196" i="45" s="1"/>
  <c r="U196" i="45" s="1"/>
  <c r="V196" i="45" s="1"/>
  <c r="W196" i="45" s="1"/>
  <c r="X196" i="45" s="1"/>
  <c r="L374" i="48"/>
  <c r="L337" i="48" s="1"/>
  <c r="U375" i="48"/>
  <c r="N199" i="35"/>
  <c r="W130" i="20"/>
  <c r="W131" i="20" s="1"/>
  <c r="M93" i="41"/>
  <c r="Z135" i="20"/>
  <c r="J131" i="20"/>
  <c r="K81" i="41"/>
  <c r="Y198" i="37"/>
  <c r="Z198" i="37" s="1"/>
  <c r="S198" i="37"/>
  <c r="T198" i="37" s="1"/>
  <c r="U198" i="37" s="1"/>
  <c r="V198" i="37" s="1"/>
  <c r="W198" i="37" s="1"/>
  <c r="X198" i="37" s="1"/>
  <c r="S362" i="45"/>
  <c r="T362" i="45" s="1"/>
  <c r="U362" i="45" s="1"/>
  <c r="V362" i="45" s="1"/>
  <c r="W362" i="45" s="1"/>
  <c r="X362" i="45" s="1"/>
  <c r="Y362" i="45"/>
  <c r="Z362" i="45" s="1"/>
  <c r="G242" i="35"/>
  <c r="R234" i="35"/>
  <c r="G246" i="35"/>
  <c r="G236" i="35"/>
  <c r="P293" i="48"/>
  <c r="P292" i="48" s="1"/>
  <c r="P291" i="48" s="1"/>
  <c r="P275" i="48"/>
  <c r="P271" i="48" s="1"/>
  <c r="P4" i="48" s="1"/>
  <c r="N49" i="41"/>
  <c r="N48" i="41" s="1"/>
  <c r="N38" i="2"/>
  <c r="U20" i="35"/>
  <c r="Y211" i="37"/>
  <c r="Z211" i="37" s="1"/>
  <c r="S211" i="37"/>
  <c r="T211" i="37" s="1"/>
  <c r="U211" i="37" s="1"/>
  <c r="V211" i="37" s="1"/>
  <c r="W211" i="37" s="1"/>
  <c r="X211" i="37" s="1"/>
  <c r="F19" i="39"/>
  <c r="Q20" i="39"/>
  <c r="S379" i="37"/>
  <c r="T379" i="37" s="1"/>
  <c r="U379" i="37" s="1"/>
  <c r="V379" i="37" s="1"/>
  <c r="W379" i="37" s="1"/>
  <c r="X379" i="37" s="1"/>
  <c r="R236" i="37"/>
  <c r="K236" i="35"/>
  <c r="K242" i="35"/>
  <c r="I14" i="45" s="1"/>
  <c r="K246" i="35"/>
  <c r="K248" i="35" s="1"/>
  <c r="K257" i="35" s="1"/>
  <c r="G336" i="49"/>
  <c r="G335" i="49" s="1"/>
  <c r="G334" i="48"/>
  <c r="E97" i="41"/>
  <c r="F179" i="35"/>
  <c r="S310" i="37"/>
  <c r="T310" i="37" s="1"/>
  <c r="U310" i="37" s="1"/>
  <c r="V310" i="37" s="1"/>
  <c r="W310" i="37" s="1"/>
  <c r="X310" i="37" s="1"/>
  <c r="H246" i="35"/>
  <c r="H242" i="35"/>
  <c r="F14" i="45" s="1"/>
  <c r="N19" i="41"/>
  <c r="N8" i="41"/>
  <c r="N7" i="41" s="1"/>
  <c r="T223" i="35"/>
  <c r="N238" i="48"/>
  <c r="N230" i="48" s="1"/>
  <c r="S376" i="37"/>
  <c r="T376" i="37" s="1"/>
  <c r="U376" i="37" s="1"/>
  <c r="V376" i="37" s="1"/>
  <c r="W376" i="37" s="1"/>
  <c r="X376" i="37" s="1"/>
  <c r="S194" i="45"/>
  <c r="T194" i="45" s="1"/>
  <c r="U194" i="45" s="1"/>
  <c r="V194" i="45" s="1"/>
  <c r="W194" i="45" s="1"/>
  <c r="X194" i="45" s="1"/>
  <c r="Y194" i="45"/>
  <c r="Z194" i="45" s="1"/>
  <c r="S150" i="37"/>
  <c r="T150" i="37" s="1"/>
  <c r="U150" i="37" s="1"/>
  <c r="V150" i="37" s="1"/>
  <c r="W150" i="37" s="1"/>
  <c r="X150" i="37" s="1"/>
  <c r="U380" i="49"/>
  <c r="Y380" i="49"/>
  <c r="M377" i="49"/>
  <c r="M339" i="49" s="1"/>
  <c r="G316" i="48"/>
  <c r="U331" i="48"/>
  <c r="T331" i="48"/>
  <c r="S331" i="48"/>
  <c r="P122" i="35"/>
  <c r="P120" i="35" s="1"/>
  <c r="P116" i="35" s="1"/>
  <c r="Q48" i="10"/>
  <c r="P239" i="35" s="1"/>
  <c r="Q277" i="48"/>
  <c r="Q275" i="48" s="1"/>
  <c r="Q271" i="48" s="1"/>
  <c r="Q4" i="48" s="1"/>
  <c r="Q279" i="49"/>
  <c r="Q277" i="49" s="1"/>
  <c r="Q273" i="49" s="1"/>
  <c r="E47" i="2"/>
  <c r="P47" i="25"/>
  <c r="P49" i="25" s="1"/>
  <c r="Q10" i="39"/>
  <c r="E7" i="39"/>
  <c r="S378" i="37"/>
  <c r="T378" i="37" s="1"/>
  <c r="U378" i="37" s="1"/>
  <c r="V378" i="37" s="1"/>
  <c r="W378" i="37" s="1"/>
  <c r="X378" i="37" s="1"/>
  <c r="S241" i="45"/>
  <c r="T241" i="45" s="1"/>
  <c r="U241" i="45" s="1"/>
  <c r="V241" i="45" s="1"/>
  <c r="W241" i="45" s="1"/>
  <c r="X241" i="45" s="1"/>
  <c r="P6" i="49"/>
  <c r="N6" i="49"/>
  <c r="Y50" i="49"/>
  <c r="U50" i="49"/>
  <c r="K311" i="48"/>
  <c r="K312" i="48"/>
  <c r="K313" i="48"/>
  <c r="K315" i="49"/>
  <c r="K314" i="49"/>
  <c r="K313" i="49"/>
  <c r="R2" i="49"/>
  <c r="R97" i="49"/>
  <c r="R96" i="49" s="1"/>
  <c r="R7" i="49" s="1"/>
  <c r="R59" i="42"/>
  <c r="S59" i="42"/>
  <c r="G338" i="48"/>
  <c r="T161" i="35"/>
  <c r="U161" i="35"/>
  <c r="G160" i="35"/>
  <c r="R161" i="35"/>
  <c r="S161" i="35"/>
  <c r="W162" i="35"/>
  <c r="V162" i="35"/>
  <c r="X162" i="35"/>
  <c r="I13" i="45"/>
  <c r="I11" i="45"/>
  <c r="I10" i="45" s="1"/>
  <c r="K26" i="42"/>
  <c r="Q72" i="39"/>
  <c r="G293" i="49"/>
  <c r="N104" i="16"/>
  <c r="O85" i="35"/>
  <c r="O87" i="35" s="1"/>
  <c r="N85" i="35"/>
  <c r="M104" i="16"/>
  <c r="M85" i="35"/>
  <c r="L104" i="16"/>
  <c r="K85" i="35"/>
  <c r="J104" i="16"/>
  <c r="H24" i="42"/>
  <c r="H59" i="39"/>
  <c r="H5" i="39" s="1"/>
  <c r="H85" i="35"/>
  <c r="AA15" i="48"/>
  <c r="Y15" i="48"/>
  <c r="Q14" i="16"/>
  <c r="P13" i="16"/>
  <c r="G84" i="35"/>
  <c r="Q164" i="16"/>
  <c r="U37" i="49"/>
  <c r="Y37" i="49"/>
  <c r="O24" i="42"/>
  <c r="O22" i="42" s="1"/>
  <c r="O7" i="42" s="1"/>
  <c r="O59" i="39"/>
  <c r="O5" i="39" s="1"/>
  <c r="L85" i="35"/>
  <c r="K104" i="16"/>
  <c r="E66" i="39"/>
  <c r="S157" i="49"/>
  <c r="U157" i="49" s="1"/>
  <c r="H154" i="49"/>
  <c r="S154" i="49" s="1"/>
  <c r="S10" i="49"/>
  <c r="G9" i="49"/>
  <c r="Y38" i="49"/>
  <c r="U38" i="49"/>
  <c r="G7" i="48"/>
  <c r="Q2" i="49"/>
  <c r="Q97" i="49"/>
  <c r="Q96" i="49" s="1"/>
  <c r="Q7" i="49" s="1"/>
  <c r="G125" i="35"/>
  <c r="G339" i="49"/>
  <c r="Q65" i="39"/>
  <c r="I60" i="39"/>
  <c r="H27" i="42"/>
  <c r="Q75" i="39"/>
  <c r="Y65" i="49"/>
  <c r="U65" i="49"/>
  <c r="I313" i="49"/>
  <c r="I6" i="49"/>
  <c r="I314" i="49"/>
  <c r="I315" i="49"/>
  <c r="Y80" i="49"/>
  <c r="U80" i="49"/>
  <c r="O6" i="48"/>
  <c r="O5" i="48" s="1"/>
  <c r="O83" i="35"/>
  <c r="O7" i="35" s="1"/>
  <c r="H97" i="49"/>
  <c r="R28" i="42"/>
  <c r="S28" i="42"/>
  <c r="F99" i="35"/>
  <c r="M24" i="42"/>
  <c r="M22" i="42" s="1"/>
  <c r="M7" i="42" s="1"/>
  <c r="M51" i="42" s="1"/>
  <c r="M59" i="39"/>
  <c r="M5" i="39" s="1"/>
  <c r="L24" i="42"/>
  <c r="L22" i="42" s="1"/>
  <c r="L7" i="42" s="1"/>
  <c r="L59" i="39"/>
  <c r="L5" i="39" s="1"/>
  <c r="J24" i="42"/>
  <c r="J22" i="42" s="1"/>
  <c r="J59" i="39"/>
  <c r="J5" i="39" s="1"/>
  <c r="I85" i="35"/>
  <c r="H104" i="16"/>
  <c r="G85" i="35"/>
  <c r="G87" i="35" s="1"/>
  <c r="AA14" i="48"/>
  <c r="Y14" i="48"/>
  <c r="S13" i="48"/>
  <c r="M8" i="48"/>
  <c r="M7" i="48" s="1"/>
  <c r="M6" i="48" s="1"/>
  <c r="M5" i="48" s="1"/>
  <c r="H34" i="48"/>
  <c r="T62" i="48"/>
  <c r="U62" i="48"/>
  <c r="S62" i="48"/>
  <c r="P23" i="42"/>
  <c r="P22" i="42" s="1"/>
  <c r="P7" i="42" s="1"/>
  <c r="P51" i="42" s="1"/>
  <c r="P59" i="39"/>
  <c r="P5" i="39" s="1"/>
  <c r="N23" i="42"/>
  <c r="N22" i="42" s="1"/>
  <c r="N59" i="39"/>
  <c r="F60" i="39"/>
  <c r="Q61" i="39"/>
  <c r="H182" i="49"/>
  <c r="S182" i="49" s="1"/>
  <c r="S186" i="49"/>
  <c r="U186" i="49" s="1"/>
  <c r="G2" i="49"/>
  <c r="G97" i="49"/>
  <c r="S98" i="49"/>
  <c r="U98" i="49" s="1"/>
  <c r="Y36" i="49"/>
  <c r="U36" i="49"/>
  <c r="Q85" i="35"/>
  <c r="Q87" i="35" s="1"/>
  <c r="P104" i="16"/>
  <c r="S105" i="16"/>
  <c r="P85" i="35"/>
  <c r="O104" i="16"/>
  <c r="K24" i="42"/>
  <c r="K22" i="42" s="1"/>
  <c r="K59" i="39"/>
  <c r="Q106" i="16"/>
  <c r="E105" i="16"/>
  <c r="U15" i="49"/>
  <c r="W15" i="49"/>
  <c r="Y15" i="49"/>
  <c r="M2" i="49"/>
  <c r="M97" i="49"/>
  <c r="M96" i="49" s="1"/>
  <c r="M7" i="49" s="1"/>
  <c r="L313" i="49"/>
  <c r="L6" i="49"/>
  <c r="L315" i="49"/>
  <c r="L314" i="49"/>
  <c r="D180" i="35"/>
  <c r="D228" i="35" s="1"/>
  <c r="D154" i="35"/>
  <c r="K21" i="42"/>
  <c r="K49" i="39"/>
  <c r="Q56" i="39"/>
  <c r="U86" i="35"/>
  <c r="R86" i="35"/>
  <c r="T86" i="35"/>
  <c r="J85" i="35"/>
  <c r="I104" i="16"/>
  <c r="T110" i="35"/>
  <c r="R110" i="35"/>
  <c r="U110" i="35"/>
  <c r="H102" i="35"/>
  <c r="G241" i="16"/>
  <c r="Q247" i="16"/>
  <c r="F200" i="16"/>
  <c r="G90" i="35"/>
  <c r="Q205" i="16"/>
  <c r="Y64" i="49"/>
  <c r="U64" i="49"/>
  <c r="Y79" i="49"/>
  <c r="U79" i="49"/>
  <c r="O7" i="49"/>
  <c r="J7" i="42"/>
  <c r="J51" i="42" s="1"/>
  <c r="Y241" i="45" l="1"/>
  <c r="Z241" i="45" s="1"/>
  <c r="E9" i="42"/>
  <c r="Q7" i="39"/>
  <c r="E6" i="39"/>
  <c r="V331" i="48"/>
  <c r="AA331" i="48"/>
  <c r="W331" i="48"/>
  <c r="Y331" i="48"/>
  <c r="S316" i="48"/>
  <c r="T334" i="48"/>
  <c r="G333" i="48"/>
  <c r="G315" i="48" s="1"/>
  <c r="P49" i="41"/>
  <c r="P48" i="41" s="1"/>
  <c r="P38" i="2"/>
  <c r="P49" i="2" s="1"/>
  <c r="P50" i="2" s="1"/>
  <c r="Q216" i="35"/>
  <c r="Q215" i="35" s="1"/>
  <c r="Q182" i="35" s="1"/>
  <c r="R217" i="35"/>
  <c r="U278" i="49"/>
  <c r="Y278" i="49"/>
  <c r="W367" i="48"/>
  <c r="AA367" i="48"/>
  <c r="Y367" i="48"/>
  <c r="V367" i="48"/>
  <c r="S129" i="37"/>
  <c r="R26" i="37"/>
  <c r="AB7" i="21"/>
  <c r="G94" i="42"/>
  <c r="S97" i="42"/>
  <c r="Q97" i="42"/>
  <c r="U97" i="42" s="1"/>
  <c r="T97" i="42"/>
  <c r="R97" i="42"/>
  <c r="U370" i="49"/>
  <c r="W370" i="49"/>
  <c r="Y370" i="49"/>
  <c r="J13" i="45"/>
  <c r="J11" i="45"/>
  <c r="J10" i="45" s="1"/>
  <c r="J9" i="45" s="1"/>
  <c r="J395" i="45" s="1"/>
  <c r="J397" i="45" s="1"/>
  <c r="N94" i="48"/>
  <c r="N5" i="48" s="1"/>
  <c r="S152" i="48"/>
  <c r="AA152" i="48" s="1"/>
  <c r="J2" i="49"/>
  <c r="J97" i="49"/>
  <c r="J96" i="49" s="1"/>
  <c r="J7" i="49" s="1"/>
  <c r="R135" i="35"/>
  <c r="O133" i="35"/>
  <c r="O127" i="35" s="1"/>
  <c r="O126" i="35" s="1"/>
  <c r="O125" i="35" s="1"/>
  <c r="L215" i="35"/>
  <c r="L182" i="35" s="1"/>
  <c r="R216" i="35"/>
  <c r="U216" i="35"/>
  <c r="U351" i="49"/>
  <c r="Y351" i="49"/>
  <c r="F335" i="48"/>
  <c r="F308" i="48"/>
  <c r="W221" i="35"/>
  <c r="V221" i="35"/>
  <c r="J19" i="41"/>
  <c r="J8" i="41"/>
  <c r="J7" i="41" s="1"/>
  <c r="L89" i="42"/>
  <c r="L85" i="41"/>
  <c r="L81" i="41" s="1"/>
  <c r="L90" i="41"/>
  <c r="Q93" i="41"/>
  <c r="K5" i="41"/>
  <c r="K55" i="42"/>
  <c r="K54" i="42" s="1"/>
  <c r="K53" i="42" s="1"/>
  <c r="S224" i="45"/>
  <c r="T224" i="45" s="1"/>
  <c r="U224" i="45" s="1"/>
  <c r="V224" i="45" s="1"/>
  <c r="W224" i="45" s="1"/>
  <c r="X224" i="45" s="1"/>
  <c r="L8" i="41"/>
  <c r="L7" i="41" s="1"/>
  <c r="L19" i="41"/>
  <c r="L365" i="16"/>
  <c r="Q366" i="16"/>
  <c r="N292" i="48"/>
  <c r="U293" i="48"/>
  <c r="S293" i="48"/>
  <c r="E335" i="48"/>
  <c r="E386" i="48" s="1"/>
  <c r="E387" i="48" s="1"/>
  <c r="E308" i="48"/>
  <c r="V176" i="35"/>
  <c r="W176" i="35"/>
  <c r="S99" i="37"/>
  <c r="T99" i="37" s="1"/>
  <c r="U99" i="37" s="1"/>
  <c r="V99" i="37" s="1"/>
  <c r="W99" i="37" s="1"/>
  <c r="X99" i="37" s="1"/>
  <c r="Y301" i="45"/>
  <c r="Z301" i="45" s="1"/>
  <c r="F182" i="35"/>
  <c r="J120" i="35"/>
  <c r="T122" i="35"/>
  <c r="R122" i="35"/>
  <c r="U122" i="35"/>
  <c r="F55" i="42"/>
  <c r="F54" i="42" s="1"/>
  <c r="F53" i="42" s="1"/>
  <c r="F5" i="41"/>
  <c r="G8" i="41"/>
  <c r="G7" i="41" s="1"/>
  <c r="G19" i="41"/>
  <c r="S381" i="48"/>
  <c r="T381" i="48"/>
  <c r="U381" i="48"/>
  <c r="Y121" i="37"/>
  <c r="Z121" i="37" s="1"/>
  <c r="R8" i="35"/>
  <c r="U8" i="35"/>
  <c r="S226" i="45"/>
  <c r="T226" i="45" s="1"/>
  <c r="U226" i="45" s="1"/>
  <c r="V226" i="45" s="1"/>
  <c r="W226" i="45" s="1"/>
  <c r="X226" i="45" s="1"/>
  <c r="Y226" i="45"/>
  <c r="Z226" i="45" s="1"/>
  <c r="I374" i="48"/>
  <c r="S379" i="48"/>
  <c r="U379" i="48"/>
  <c r="T379" i="48"/>
  <c r="G49" i="2"/>
  <c r="G50" i="2" s="1"/>
  <c r="Q34" i="2"/>
  <c r="J95" i="48"/>
  <c r="S96" i="48"/>
  <c r="S288" i="48"/>
  <c r="N287" i="48"/>
  <c r="U288" i="48"/>
  <c r="M133" i="35"/>
  <c r="R134" i="35"/>
  <c r="U134" i="35"/>
  <c r="Y363" i="45"/>
  <c r="Z363" i="45" s="1"/>
  <c r="V223" i="35"/>
  <c r="W223" i="35"/>
  <c r="Y280" i="37"/>
  <c r="Z280" i="37" s="1"/>
  <c r="H19" i="41"/>
  <c r="H8" i="41"/>
  <c r="H7" i="41" s="1"/>
  <c r="T137" i="35"/>
  <c r="F11" i="45"/>
  <c r="F10" i="45" s="1"/>
  <c r="F9" i="45" s="1"/>
  <c r="F395" i="45" s="1"/>
  <c r="F397" i="45" s="1"/>
  <c r="F13" i="45"/>
  <c r="S179" i="35"/>
  <c r="F178" i="35"/>
  <c r="T179" i="35"/>
  <c r="S236" i="37"/>
  <c r="T236" i="37" s="1"/>
  <c r="U236" i="37" s="1"/>
  <c r="V236" i="37" s="1"/>
  <c r="W236" i="37" s="1"/>
  <c r="X236" i="37" s="1"/>
  <c r="E14" i="45"/>
  <c r="R242" i="35"/>
  <c r="M85" i="41"/>
  <c r="M89" i="42"/>
  <c r="R294" i="48"/>
  <c r="S376" i="48"/>
  <c r="R375" i="48"/>
  <c r="Y6" i="21"/>
  <c r="N97" i="41" s="1"/>
  <c r="X6" i="21"/>
  <c r="L66" i="21"/>
  <c r="S365" i="49"/>
  <c r="I340" i="49"/>
  <c r="S207" i="37"/>
  <c r="T207" i="37" s="1"/>
  <c r="U207" i="37" s="1"/>
  <c r="V207" i="37" s="1"/>
  <c r="W207" i="37" s="1"/>
  <c r="X207" i="37" s="1"/>
  <c r="Y215" i="45"/>
  <c r="Z215" i="45" s="1"/>
  <c r="P287" i="48"/>
  <c r="P281" i="48" s="1"/>
  <c r="S289" i="48"/>
  <c r="W218" i="35"/>
  <c r="V218" i="35"/>
  <c r="X218" i="35"/>
  <c r="U250" i="49"/>
  <c r="T250" i="49"/>
  <c r="Y200" i="37"/>
  <c r="Z200" i="37" s="1"/>
  <c r="Y219" i="45"/>
  <c r="Z219" i="45" s="1"/>
  <c r="V20" i="35"/>
  <c r="X20" i="35"/>
  <c r="W20" i="35"/>
  <c r="L280" i="48"/>
  <c r="L279" i="48" s="1"/>
  <c r="L313" i="48"/>
  <c r="L311" i="48"/>
  <c r="L312" i="48"/>
  <c r="M193" i="35"/>
  <c r="N358" i="48"/>
  <c r="N356" i="49"/>
  <c r="R199" i="35"/>
  <c r="U199" i="35"/>
  <c r="L11" i="45"/>
  <c r="L10" i="45" s="1"/>
  <c r="L9" i="45" s="1"/>
  <c r="L395" i="45" s="1"/>
  <c r="L397" i="45" s="1"/>
  <c r="L13" i="45"/>
  <c r="Y205" i="37"/>
  <c r="Z205" i="37" s="1"/>
  <c r="V276" i="48"/>
  <c r="W276" i="48"/>
  <c r="AA276" i="48"/>
  <c r="S322" i="45"/>
  <c r="T322" i="45" s="1"/>
  <c r="U322" i="45" s="1"/>
  <c r="V322" i="45" s="1"/>
  <c r="W322" i="45" s="1"/>
  <c r="X322" i="45" s="1"/>
  <c r="Y322" i="45"/>
  <c r="Z322" i="45" s="1"/>
  <c r="R321" i="45"/>
  <c r="G402" i="37"/>
  <c r="P26" i="37"/>
  <c r="S302" i="45"/>
  <c r="T302" i="45" s="1"/>
  <c r="U302" i="45" s="1"/>
  <c r="V302" i="45" s="1"/>
  <c r="W302" i="45" s="1"/>
  <c r="X302" i="45" s="1"/>
  <c r="Y127" i="37"/>
  <c r="Z127" i="37" s="1"/>
  <c r="K275" i="48"/>
  <c r="T277" i="48"/>
  <c r="U277" i="48"/>
  <c r="S277" i="48"/>
  <c r="Y359" i="45"/>
  <c r="Z359" i="45" s="1"/>
  <c r="G89" i="41"/>
  <c r="G90" i="41"/>
  <c r="G93" i="42"/>
  <c r="G86" i="42" s="1"/>
  <c r="G85" i="42" s="1"/>
  <c r="G65" i="42" s="1"/>
  <c r="I313" i="48"/>
  <c r="I312" i="48"/>
  <c r="I280" i="48"/>
  <c r="I279" i="48" s="1"/>
  <c r="I307" i="48" s="1"/>
  <c r="I311" i="48"/>
  <c r="J182" i="35"/>
  <c r="K22" i="45"/>
  <c r="K9" i="45" s="1"/>
  <c r="K395" i="45" s="1"/>
  <c r="K397" i="45" s="1"/>
  <c r="P24" i="45"/>
  <c r="Q24" i="45" s="1"/>
  <c r="U343" i="49"/>
  <c r="Y343" i="49"/>
  <c r="S342" i="49"/>
  <c r="Q12" i="40"/>
  <c r="Q4" i="40" s="1"/>
  <c r="U333" i="49"/>
  <c r="W333" i="49"/>
  <c r="S318" i="49"/>
  <c r="Y333" i="49"/>
  <c r="Y128" i="45"/>
  <c r="Z128" i="45" s="1"/>
  <c r="S128" i="45"/>
  <c r="T128" i="45" s="1"/>
  <c r="U128" i="45" s="1"/>
  <c r="V128" i="45" s="1"/>
  <c r="W128" i="45" s="1"/>
  <c r="X128" i="45" s="1"/>
  <c r="H374" i="48"/>
  <c r="R313" i="48"/>
  <c r="R312" i="48"/>
  <c r="R311" i="48"/>
  <c r="K350" i="49"/>
  <c r="J280" i="48"/>
  <c r="J279" i="48" s="1"/>
  <c r="S309" i="45"/>
  <c r="T309" i="45" s="1"/>
  <c r="U309" i="45" s="1"/>
  <c r="V309" i="45" s="1"/>
  <c r="W309" i="45" s="1"/>
  <c r="X309" i="45" s="1"/>
  <c r="E93" i="42"/>
  <c r="E89" i="41"/>
  <c r="E90" i="41"/>
  <c r="F6" i="39"/>
  <c r="F12" i="42"/>
  <c r="Q19" i="39"/>
  <c r="Y225" i="45"/>
  <c r="Z225" i="45" s="1"/>
  <c r="O8" i="41"/>
  <c r="O7" i="41" s="1"/>
  <c r="O19" i="41"/>
  <c r="R296" i="49"/>
  <c r="S379" i="49"/>
  <c r="R378" i="49"/>
  <c r="N294" i="49"/>
  <c r="S295" i="49"/>
  <c r="Y156" i="37"/>
  <c r="Z156" i="37" s="1"/>
  <c r="T291" i="48"/>
  <c r="W322" i="37"/>
  <c r="N36" i="42"/>
  <c r="N28" i="42" s="1"/>
  <c r="N4" i="40"/>
  <c r="S249" i="49"/>
  <c r="G240" i="49"/>
  <c r="F90" i="41"/>
  <c r="F89" i="41"/>
  <c r="F81" i="41" s="1"/>
  <c r="F93" i="42"/>
  <c r="F86" i="42" s="1"/>
  <c r="F85" i="42" s="1"/>
  <c r="F65" i="42" s="1"/>
  <c r="W342" i="48"/>
  <c r="AA342" i="48"/>
  <c r="S341" i="48"/>
  <c r="V342" i="48"/>
  <c r="R185" i="35"/>
  <c r="U185" i="35"/>
  <c r="S185" i="35"/>
  <c r="T185" i="35"/>
  <c r="H184" i="35"/>
  <c r="F160" i="35"/>
  <c r="S210" i="37"/>
  <c r="T210" i="37" s="1"/>
  <c r="U210" i="37" s="1"/>
  <c r="V210" i="37" s="1"/>
  <c r="W210" i="37" s="1"/>
  <c r="X210" i="37" s="1"/>
  <c r="S279" i="49"/>
  <c r="K277" i="49"/>
  <c r="Y382" i="37"/>
  <c r="Z382" i="37" s="1"/>
  <c r="S251" i="37"/>
  <c r="T251" i="37" s="1"/>
  <c r="U251" i="37" s="1"/>
  <c r="V251" i="37" s="1"/>
  <c r="W251" i="37" s="1"/>
  <c r="X251" i="37" s="1"/>
  <c r="S126" i="45"/>
  <c r="T126" i="45" s="1"/>
  <c r="U126" i="45" s="1"/>
  <c r="V126" i="45" s="1"/>
  <c r="W126" i="45" s="1"/>
  <c r="X126" i="45" s="1"/>
  <c r="Y126" i="45"/>
  <c r="Z126" i="45" s="1"/>
  <c r="R98" i="45"/>
  <c r="U340" i="48"/>
  <c r="H339" i="48"/>
  <c r="H215" i="35"/>
  <c r="R215" i="35" s="1"/>
  <c r="U220" i="35"/>
  <c r="S220" i="35"/>
  <c r="R220" i="35"/>
  <c r="T220" i="35"/>
  <c r="L36" i="42"/>
  <c r="L4" i="40"/>
  <c r="G317" i="49"/>
  <c r="Y208" i="37"/>
  <c r="Z208" i="37" s="1"/>
  <c r="Y360" i="37"/>
  <c r="Z360" i="37" s="1"/>
  <c r="Q23" i="45"/>
  <c r="P22" i="45"/>
  <c r="Q22" i="45" s="1"/>
  <c r="N12" i="42"/>
  <c r="N8" i="42" s="1"/>
  <c r="N7" i="42" s="1"/>
  <c r="N51" i="42" s="1"/>
  <c r="N6" i="39"/>
  <c r="Y224" i="37"/>
  <c r="Z224" i="37" s="1"/>
  <c r="P19" i="41"/>
  <c r="P8" i="41"/>
  <c r="P7" i="41" s="1"/>
  <c r="Y317" i="37"/>
  <c r="Z317" i="37" s="1"/>
  <c r="V139" i="35"/>
  <c r="W139" i="35"/>
  <c r="J282" i="49"/>
  <c r="J281" i="49" s="1"/>
  <c r="W141" i="35"/>
  <c r="X141" i="35"/>
  <c r="V141" i="35"/>
  <c r="S249" i="37"/>
  <c r="T249" i="37" s="1"/>
  <c r="U249" i="37" s="1"/>
  <c r="V249" i="37" s="1"/>
  <c r="W249" i="37" s="1"/>
  <c r="X249" i="37" s="1"/>
  <c r="Y249" i="37"/>
  <c r="Z249" i="37" s="1"/>
  <c r="S206" i="37"/>
  <c r="T206" i="37" s="1"/>
  <c r="U206" i="37" s="1"/>
  <c r="V206" i="37" s="1"/>
  <c r="W206" i="37" s="1"/>
  <c r="X206" i="37" s="1"/>
  <c r="N5" i="39"/>
  <c r="Y378" i="37"/>
  <c r="Z378" i="37" s="1"/>
  <c r="Q47" i="2"/>
  <c r="R47" i="2" s="1"/>
  <c r="T288" i="49" s="1"/>
  <c r="T283" i="49" s="1"/>
  <c r="G288" i="49"/>
  <c r="G286" i="48"/>
  <c r="F132" i="35"/>
  <c r="E20" i="41"/>
  <c r="E49" i="2"/>
  <c r="T316" i="48"/>
  <c r="U316" i="48"/>
  <c r="Y150" i="37"/>
  <c r="Z150" i="37" s="1"/>
  <c r="Y376" i="37"/>
  <c r="Z376" i="37" s="1"/>
  <c r="N5" i="41"/>
  <c r="N55" i="42"/>
  <c r="N54" i="42" s="1"/>
  <c r="Y310" i="37"/>
  <c r="Z310" i="37" s="1"/>
  <c r="Y379" i="37"/>
  <c r="Z379" i="37" s="1"/>
  <c r="N47" i="41"/>
  <c r="N60" i="42"/>
  <c r="N59" i="42" s="1"/>
  <c r="G248" i="35"/>
  <c r="G257" i="35" s="1"/>
  <c r="R246" i="35"/>
  <c r="O356" i="49"/>
  <c r="O355" i="49" s="1"/>
  <c r="O350" i="49" s="1"/>
  <c r="O341" i="49" s="1"/>
  <c r="O340" i="49" s="1"/>
  <c r="O339" i="49" s="1"/>
  <c r="N193" i="35"/>
  <c r="N184" i="35" s="1"/>
  <c r="N183" i="35" s="1"/>
  <c r="N182" i="35" s="1"/>
  <c r="O358" i="48"/>
  <c r="O354" i="48" s="1"/>
  <c r="O348" i="48" s="1"/>
  <c r="O339" i="48" s="1"/>
  <c r="O338" i="48" s="1"/>
  <c r="O337" i="48" s="1"/>
  <c r="Y384" i="49"/>
  <c r="U384" i="49"/>
  <c r="V384" i="49"/>
  <c r="W384" i="49"/>
  <c r="Q280" i="48"/>
  <c r="Q279" i="48" s="1"/>
  <c r="Q312" i="48"/>
  <c r="Q313" i="48"/>
  <c r="Q311" i="48"/>
  <c r="R140" i="35"/>
  <c r="Q138" i="35"/>
  <c r="Q137" i="35" s="1"/>
  <c r="L49" i="41"/>
  <c r="L38" i="2"/>
  <c r="Q38" i="2" s="1"/>
  <c r="Q44" i="2"/>
  <c r="T362" i="48"/>
  <c r="I338" i="48"/>
  <c r="I337" i="48" s="1"/>
  <c r="S362" i="48"/>
  <c r="U362" i="48"/>
  <c r="Y167" i="37"/>
  <c r="Z167" i="37" s="1"/>
  <c r="X35" i="21"/>
  <c r="Y35" i="21"/>
  <c r="G81" i="41"/>
  <c r="Q85" i="41"/>
  <c r="AA295" i="48"/>
  <c r="W295" i="48"/>
  <c r="X295" i="48"/>
  <c r="Y295" i="48"/>
  <c r="V295" i="48"/>
  <c r="S306" i="37"/>
  <c r="T306" i="37" s="1"/>
  <c r="U306" i="37" s="1"/>
  <c r="V306" i="37" s="1"/>
  <c r="W306" i="37" s="1"/>
  <c r="X306" i="37" s="1"/>
  <c r="S215" i="37"/>
  <c r="T215" i="37" s="1"/>
  <c r="U215" i="37" s="1"/>
  <c r="V215" i="37" s="1"/>
  <c r="W215" i="37" s="1"/>
  <c r="X215" i="37" s="1"/>
  <c r="F337" i="49"/>
  <c r="F389" i="49" s="1"/>
  <c r="F390" i="49" s="1"/>
  <c r="F310" i="49"/>
  <c r="N49" i="2"/>
  <c r="N50" i="2" s="1"/>
  <c r="P289" i="49"/>
  <c r="P283" i="49" s="1"/>
  <c r="S291" i="49"/>
  <c r="V9" i="35"/>
  <c r="W9" i="35"/>
  <c r="X9" i="35"/>
  <c r="M19" i="41"/>
  <c r="M8" i="41"/>
  <c r="M7" i="41" s="1"/>
  <c r="Y232" i="37"/>
  <c r="Z232" i="37" s="1"/>
  <c r="S20" i="45"/>
  <c r="T20" i="45" s="1"/>
  <c r="U20" i="45" s="1"/>
  <c r="V20" i="45" s="1"/>
  <c r="W20" i="45" s="1"/>
  <c r="X20" i="45" s="1"/>
  <c r="Y20" i="45"/>
  <c r="Z20" i="45" s="1"/>
  <c r="U385" i="49"/>
  <c r="Y385" i="49"/>
  <c r="W385" i="49"/>
  <c r="V385" i="49"/>
  <c r="Y24" i="11"/>
  <c r="Y25" i="11" s="1"/>
  <c r="W5" i="11"/>
  <c r="Y337" i="45"/>
  <c r="Z337" i="45" s="1"/>
  <c r="U344" i="49"/>
  <c r="Y344" i="49"/>
  <c r="H13" i="45"/>
  <c r="H11" i="45"/>
  <c r="H10" i="45" s="1"/>
  <c r="H9" i="45" s="1"/>
  <c r="H395" i="45" s="1"/>
  <c r="H397" i="45" s="1"/>
  <c r="X186" i="35"/>
  <c r="V186" i="35"/>
  <c r="W186" i="35"/>
  <c r="S247" i="48"/>
  <c r="G238" i="48"/>
  <c r="Y212" i="37"/>
  <c r="Z212" i="37" s="1"/>
  <c r="Y217" i="37"/>
  <c r="Z217" i="37" s="1"/>
  <c r="R233" i="35"/>
  <c r="H245" i="35"/>
  <c r="H236" i="35"/>
  <c r="R236" i="35" s="1"/>
  <c r="W222" i="35"/>
  <c r="V222" i="35"/>
  <c r="Y200" i="45"/>
  <c r="Z200" i="45" s="1"/>
  <c r="J239" i="35"/>
  <c r="R239" i="35" s="1"/>
  <c r="S48" i="10"/>
  <c r="K88" i="10"/>
  <c r="L88" i="10" s="1"/>
  <c r="M88" i="10" s="1"/>
  <c r="N88" i="10" s="1"/>
  <c r="O88" i="10" s="1"/>
  <c r="P88" i="10" s="1"/>
  <c r="Q88" i="10" s="1"/>
  <c r="R88" i="10" s="1"/>
  <c r="S88" i="10" s="1"/>
  <c r="R67" i="42"/>
  <c r="S67" i="42"/>
  <c r="T67" i="42"/>
  <c r="Q67" i="42"/>
  <c r="U67" i="42" s="1"/>
  <c r="Y343" i="45"/>
  <c r="Z343" i="45" s="1"/>
  <c r="U383" i="49"/>
  <c r="W383" i="49"/>
  <c r="V383" i="49"/>
  <c r="Y383" i="49"/>
  <c r="X382" i="48"/>
  <c r="V382" i="48"/>
  <c r="W382" i="48"/>
  <c r="AA382" i="48"/>
  <c r="Y382" i="48"/>
  <c r="P341" i="49"/>
  <c r="P340" i="49" s="1"/>
  <c r="P339" i="49" s="1"/>
  <c r="Y148" i="45"/>
  <c r="Z148" i="45" s="1"/>
  <c r="X63" i="35"/>
  <c r="W63" i="35"/>
  <c r="V63" i="35"/>
  <c r="X121" i="35"/>
  <c r="V121" i="35"/>
  <c r="W121" i="35"/>
  <c r="O36" i="42"/>
  <c r="O28" i="42" s="1"/>
  <c r="O51" i="42" s="1"/>
  <c r="O4" i="40"/>
  <c r="G13" i="45"/>
  <c r="G11" i="45"/>
  <c r="G10" i="45" s="1"/>
  <c r="G9" i="45" s="1"/>
  <c r="G395" i="45" s="1"/>
  <c r="G397" i="45" s="1"/>
  <c r="I8" i="41"/>
  <c r="I7" i="41" s="1"/>
  <c r="I19" i="41"/>
  <c r="I377" i="49"/>
  <c r="S382" i="49"/>
  <c r="U297" i="49"/>
  <c r="V297" i="49"/>
  <c r="Y297" i="49"/>
  <c r="W297" i="49"/>
  <c r="O13" i="45"/>
  <c r="O11" i="45"/>
  <c r="O10" i="45" s="1"/>
  <c r="O9" i="45" s="1"/>
  <c r="O395" i="45" s="1"/>
  <c r="O397" i="45" s="1"/>
  <c r="N248" i="35"/>
  <c r="N257" i="35" s="1"/>
  <c r="N289" i="49"/>
  <c r="S290" i="49"/>
  <c r="L49" i="2"/>
  <c r="L50" i="2" s="1"/>
  <c r="Q3" i="2"/>
  <c r="Y129" i="45"/>
  <c r="Z129" i="45" s="1"/>
  <c r="Y339" i="45"/>
  <c r="Z339" i="45" s="1"/>
  <c r="Y318" i="45"/>
  <c r="Z318" i="45" s="1"/>
  <c r="AA349" i="48"/>
  <c r="V349" i="48"/>
  <c r="W349" i="48"/>
  <c r="Y202" i="37"/>
  <c r="Z202" i="37" s="1"/>
  <c r="X380" i="48"/>
  <c r="AA380" i="48"/>
  <c r="W380" i="48"/>
  <c r="Y380" i="48"/>
  <c r="V380" i="48"/>
  <c r="Q126" i="35"/>
  <c r="Q125" i="35" s="1"/>
  <c r="Y161" i="45"/>
  <c r="Z161" i="45" s="1"/>
  <c r="K348" i="48"/>
  <c r="T354" i="48"/>
  <c r="M137" i="35"/>
  <c r="U137" i="35" s="1"/>
  <c r="R138" i="35"/>
  <c r="U138" i="35"/>
  <c r="I126" i="35"/>
  <c r="I125" i="35" s="1"/>
  <c r="I18" i="42"/>
  <c r="S18" i="42" s="1"/>
  <c r="T19" i="42"/>
  <c r="Q19" i="42"/>
  <c r="U19" i="42" s="1"/>
  <c r="S19" i="42"/>
  <c r="Y381" i="37"/>
  <c r="Z381" i="37" s="1"/>
  <c r="O313" i="49"/>
  <c r="O315" i="49"/>
  <c r="O6" i="49"/>
  <c r="O314" i="49"/>
  <c r="Q200" i="16"/>
  <c r="F68" i="39"/>
  <c r="J87" i="35"/>
  <c r="J83" i="35"/>
  <c r="J7" i="35" s="1"/>
  <c r="E104" i="16"/>
  <c r="F85" i="35"/>
  <c r="Q105" i="16"/>
  <c r="O329" i="16"/>
  <c r="O381" i="16"/>
  <c r="S97" i="49"/>
  <c r="AA62" i="48"/>
  <c r="W62" i="48"/>
  <c r="V62" i="48"/>
  <c r="M313" i="48"/>
  <c r="M312" i="48"/>
  <c r="M4" i="48"/>
  <c r="M311" i="48"/>
  <c r="H329" i="16"/>
  <c r="H381" i="16"/>
  <c r="O156" i="35"/>
  <c r="O6" i="35"/>
  <c r="O158" i="35"/>
  <c r="O157" i="35"/>
  <c r="O313" i="48"/>
  <c r="O311" i="48"/>
  <c r="O4" i="48"/>
  <c r="O312" i="48"/>
  <c r="Q27" i="42"/>
  <c r="U27" i="42" s="1"/>
  <c r="S27" i="42"/>
  <c r="T27" i="42"/>
  <c r="U10" i="49"/>
  <c r="W10" i="49"/>
  <c r="Y10" i="49"/>
  <c r="L87" i="35"/>
  <c r="L83" i="35"/>
  <c r="L7" i="35" s="1"/>
  <c r="S84" i="35"/>
  <c r="T84" i="35"/>
  <c r="R84" i="35"/>
  <c r="U84" i="35"/>
  <c r="H87" i="35"/>
  <c r="K87" i="35"/>
  <c r="K83" i="35"/>
  <c r="K7" i="35" s="1"/>
  <c r="M87" i="35"/>
  <c r="M83" i="35"/>
  <c r="M7" i="35" s="1"/>
  <c r="N87" i="35"/>
  <c r="N83" i="35"/>
  <c r="N7" i="35" s="1"/>
  <c r="N329" i="16"/>
  <c r="N381" i="16"/>
  <c r="T26" i="42"/>
  <c r="Q26" i="42"/>
  <c r="U26" i="42" s="1"/>
  <c r="I9" i="45"/>
  <c r="I395" i="45" s="1"/>
  <c r="X161" i="35"/>
  <c r="V161" i="35"/>
  <c r="W161" i="35"/>
  <c r="G337" i="48"/>
  <c r="I308" i="48"/>
  <c r="I335" i="48"/>
  <c r="F104" i="16"/>
  <c r="S8" i="48"/>
  <c r="H22" i="42"/>
  <c r="H7" i="42" s="1"/>
  <c r="H51" i="42" s="1"/>
  <c r="G69" i="39"/>
  <c r="Q241" i="16"/>
  <c r="X86" i="35"/>
  <c r="W86" i="35"/>
  <c r="V86" i="35"/>
  <c r="T21" i="42"/>
  <c r="Q21" i="42"/>
  <c r="U21" i="42" s="1"/>
  <c r="K18" i="42"/>
  <c r="G88" i="35"/>
  <c r="G83" i="35" s="1"/>
  <c r="G7" i="35" s="1"/>
  <c r="R90" i="35"/>
  <c r="H100" i="35"/>
  <c r="R102" i="35"/>
  <c r="V110" i="35"/>
  <c r="W110" i="35"/>
  <c r="I329" i="16"/>
  <c r="I381" i="16"/>
  <c r="K5" i="39"/>
  <c r="Q49" i="39"/>
  <c r="L311" i="49"/>
  <c r="L309" i="49"/>
  <c r="M315" i="49"/>
  <c r="M6" i="49"/>
  <c r="M313" i="49"/>
  <c r="M314" i="49"/>
  <c r="P87" i="35"/>
  <c r="P83" i="35"/>
  <c r="P7" i="35" s="1"/>
  <c r="Y182" i="49"/>
  <c r="U182" i="49"/>
  <c r="F23" i="42"/>
  <c r="Q60" i="39"/>
  <c r="S34" i="48"/>
  <c r="AA34" i="48" s="1"/>
  <c r="H6" i="48"/>
  <c r="H5" i="48" s="1"/>
  <c r="AA13" i="48"/>
  <c r="Y13" i="48"/>
  <c r="I87" i="35"/>
  <c r="I83" i="35"/>
  <c r="I7" i="35" s="1"/>
  <c r="I311" i="49"/>
  <c r="I309" i="49"/>
  <c r="I59" i="39"/>
  <c r="I5" i="39" s="1"/>
  <c r="I23" i="42"/>
  <c r="I22" i="42" s="1"/>
  <c r="I7" i="42" s="1"/>
  <c r="I51" i="42" s="1"/>
  <c r="Q6" i="49"/>
  <c r="Q314" i="49"/>
  <c r="Q313" i="49"/>
  <c r="Q315" i="49"/>
  <c r="U7" i="48"/>
  <c r="T7" i="48"/>
  <c r="S7" i="48"/>
  <c r="G6" i="48"/>
  <c r="S9" i="49"/>
  <c r="G8" i="49"/>
  <c r="Y154" i="49"/>
  <c r="U154" i="49"/>
  <c r="E24" i="42"/>
  <c r="E59" i="39"/>
  <c r="K329" i="16"/>
  <c r="K381" i="16"/>
  <c r="P381" i="16"/>
  <c r="P329" i="16"/>
  <c r="Q13" i="16"/>
  <c r="J329" i="16"/>
  <c r="J381" i="16"/>
  <c r="L329" i="16"/>
  <c r="M381" i="16"/>
  <c r="M329" i="16"/>
  <c r="T160" i="35"/>
  <c r="S160" i="35"/>
  <c r="R6" i="49"/>
  <c r="R314" i="49"/>
  <c r="R315" i="49"/>
  <c r="R313" i="49"/>
  <c r="H96" i="49"/>
  <c r="H7" i="49" s="1"/>
  <c r="Q83" i="35"/>
  <c r="Q7" i="35" s="1"/>
  <c r="G104" i="16"/>
  <c r="I309" i="48"/>
  <c r="V215" i="35" l="1"/>
  <c r="X215" i="35"/>
  <c r="W215" i="35"/>
  <c r="N283" i="49"/>
  <c r="S289" i="49"/>
  <c r="U382" i="49"/>
  <c r="Y382" i="49"/>
  <c r="M55" i="42"/>
  <c r="M54" i="42" s="1"/>
  <c r="M53" i="42" s="1"/>
  <c r="M64" i="42" s="1"/>
  <c r="M5" i="41"/>
  <c r="Y306" i="37"/>
  <c r="Z306" i="37" s="1"/>
  <c r="V140" i="35"/>
  <c r="W140" i="35"/>
  <c r="Q309" i="48"/>
  <c r="Q307" i="48"/>
  <c r="E50" i="2"/>
  <c r="Q49" i="2"/>
  <c r="Q50" i="2" s="1"/>
  <c r="S288" i="49"/>
  <c r="G283" i="49"/>
  <c r="Y251" i="37"/>
  <c r="Z251" i="37" s="1"/>
  <c r="U279" i="49"/>
  <c r="Y279" i="49"/>
  <c r="S184" i="35"/>
  <c r="H183" i="35"/>
  <c r="T184" i="35"/>
  <c r="X185" i="35"/>
  <c r="V185" i="35"/>
  <c r="W185" i="35"/>
  <c r="S240" i="49"/>
  <c r="U240" i="49" s="1"/>
  <c r="G232" i="49"/>
  <c r="N293" i="49"/>
  <c r="E81" i="41"/>
  <c r="K341" i="49"/>
  <c r="K340" i="49" s="1"/>
  <c r="K339" i="49" s="1"/>
  <c r="V277" i="48"/>
  <c r="W277" i="48"/>
  <c r="AA277" i="48"/>
  <c r="G404" i="37"/>
  <c r="P404" i="37" s="1"/>
  <c r="Q404" i="37" s="1"/>
  <c r="P402" i="37"/>
  <c r="Q402" i="37" s="1"/>
  <c r="N355" i="49"/>
  <c r="S356" i="49"/>
  <c r="Y207" i="37"/>
  <c r="Z207" i="37" s="1"/>
  <c r="W376" i="48"/>
  <c r="V376" i="48"/>
  <c r="AA376" i="48"/>
  <c r="H5" i="41"/>
  <c r="H55" i="42"/>
  <c r="H54" i="42" s="1"/>
  <c r="H53" i="42" s="1"/>
  <c r="N281" i="48"/>
  <c r="U287" i="48"/>
  <c r="S287" i="48"/>
  <c r="W379" i="48"/>
  <c r="AA379" i="48"/>
  <c r="V379" i="48"/>
  <c r="U215" i="35"/>
  <c r="Y99" i="37"/>
  <c r="Z99" i="37" s="1"/>
  <c r="N291" i="48"/>
  <c r="U292" i="48"/>
  <c r="L55" i="42"/>
  <c r="L54" i="42" s="1"/>
  <c r="L5" i="41"/>
  <c r="L86" i="42"/>
  <c r="L85" i="42" s="1"/>
  <c r="L65" i="42" s="1"/>
  <c r="Q89" i="42"/>
  <c r="U89" i="42" s="1"/>
  <c r="T89" i="42"/>
  <c r="T9" i="42"/>
  <c r="R9" i="42"/>
  <c r="E8" i="42"/>
  <c r="Q9" i="42"/>
  <c r="U9" i="42" s="1"/>
  <c r="S9" i="42"/>
  <c r="X138" i="35"/>
  <c r="W138" i="35"/>
  <c r="V138" i="35"/>
  <c r="S377" i="49"/>
  <c r="H248" i="35"/>
  <c r="H257" i="35" s="1"/>
  <c r="R245" i="35"/>
  <c r="R248" i="35" s="1"/>
  <c r="R257" i="35" s="1"/>
  <c r="G230" i="48"/>
  <c r="S238" i="48"/>
  <c r="Y291" i="49"/>
  <c r="U291" i="49"/>
  <c r="V362" i="48"/>
  <c r="W362" i="48"/>
  <c r="AA362" i="48"/>
  <c r="Q20" i="41"/>
  <c r="E8" i="41"/>
  <c r="E19" i="41"/>
  <c r="Q19" i="41" s="1"/>
  <c r="T282" i="49"/>
  <c r="T281" i="49" s="1"/>
  <c r="T313" i="49"/>
  <c r="T315" i="49"/>
  <c r="T314" i="49"/>
  <c r="L28" i="42"/>
  <c r="T36" i="42"/>
  <c r="Q36" i="42"/>
  <c r="U36" i="42" s="1"/>
  <c r="Y98" i="45"/>
  <c r="Z98" i="45" s="1"/>
  <c r="S98" i="45"/>
  <c r="T98" i="45" s="1"/>
  <c r="U98" i="45" s="1"/>
  <c r="V98" i="45" s="1"/>
  <c r="W98" i="45" s="1"/>
  <c r="X98" i="45" s="1"/>
  <c r="U249" i="49"/>
  <c r="T249" i="49"/>
  <c r="X322" i="37"/>
  <c r="R377" i="49"/>
  <c r="R339" i="49" s="1"/>
  <c r="S378" i="49"/>
  <c r="O55" i="42"/>
  <c r="O54" i="42" s="1"/>
  <c r="O53" i="42" s="1"/>
  <c r="O64" i="42" s="1"/>
  <c r="O102" i="42" s="1"/>
  <c r="O5" i="41"/>
  <c r="F8" i="42"/>
  <c r="S12" i="42"/>
  <c r="T12" i="42"/>
  <c r="R12" i="42"/>
  <c r="Q12" i="42"/>
  <c r="U12" i="42" s="1"/>
  <c r="T374" i="48"/>
  <c r="U374" i="48"/>
  <c r="S321" i="45"/>
  <c r="R25" i="45"/>
  <c r="N354" i="48"/>
  <c r="S358" i="48"/>
  <c r="AA358" i="48" s="1"/>
  <c r="W289" i="48"/>
  <c r="V289" i="48"/>
  <c r="AA289" i="48"/>
  <c r="M97" i="41"/>
  <c r="O334" i="48"/>
  <c r="O336" i="49"/>
  <c r="O335" i="49" s="1"/>
  <c r="O317" i="49" s="1"/>
  <c r="N179" i="35"/>
  <c r="AB6" i="21"/>
  <c r="S294" i="48"/>
  <c r="R292" i="48"/>
  <c r="R291" i="48" s="1"/>
  <c r="R280" i="48" s="1"/>
  <c r="R279" i="48" s="1"/>
  <c r="R137" i="35"/>
  <c r="X134" i="35"/>
  <c r="W134" i="35"/>
  <c r="V134" i="35"/>
  <c r="AA288" i="48"/>
  <c r="V288" i="48"/>
  <c r="W288" i="48"/>
  <c r="W8" i="35"/>
  <c r="Y1" i="35"/>
  <c r="Z8" i="35"/>
  <c r="X8" i="35"/>
  <c r="V8" i="35"/>
  <c r="W381" i="48"/>
  <c r="Y381" i="48"/>
  <c r="X381" i="48"/>
  <c r="AA381" i="48"/>
  <c r="V381" i="48"/>
  <c r="J116" i="35"/>
  <c r="R120" i="35"/>
  <c r="T120" i="35"/>
  <c r="U120" i="35"/>
  <c r="Y224" i="45"/>
  <c r="Z224" i="45" s="1"/>
  <c r="J5" i="41"/>
  <c r="J55" i="42"/>
  <c r="J54" i="42" s="1"/>
  <c r="J53" i="42" s="1"/>
  <c r="J64" i="42" s="1"/>
  <c r="J102" i="42" s="1"/>
  <c r="W135" i="35"/>
  <c r="V135" i="35"/>
  <c r="N312" i="48"/>
  <c r="N313" i="48"/>
  <c r="N311" i="48"/>
  <c r="N4" i="48"/>
  <c r="P60" i="42"/>
  <c r="P59" i="42" s="1"/>
  <c r="P47" i="41"/>
  <c r="W316" i="48"/>
  <c r="AA316" i="48"/>
  <c r="V316" i="48"/>
  <c r="X316" i="48"/>
  <c r="Y316" i="48"/>
  <c r="T348" i="48"/>
  <c r="K339" i="48"/>
  <c r="K338" i="48" s="1"/>
  <c r="K337" i="48" s="1"/>
  <c r="P282" i="49"/>
  <c r="P281" i="49" s="1"/>
  <c r="P315" i="49"/>
  <c r="P314" i="49"/>
  <c r="P313" i="49"/>
  <c r="L48" i="41"/>
  <c r="Q49" i="41"/>
  <c r="N53" i="42"/>
  <c r="N64" i="42" s="1"/>
  <c r="N102" i="42" s="1"/>
  <c r="U132" i="35"/>
  <c r="F127" i="35"/>
  <c r="T132" i="35"/>
  <c r="S132" i="35"/>
  <c r="R132" i="35"/>
  <c r="P55" i="42"/>
  <c r="P54" i="42" s="1"/>
  <c r="P53" i="42" s="1"/>
  <c r="P64" i="42" s="1"/>
  <c r="P102" i="42" s="1"/>
  <c r="P5" i="41"/>
  <c r="Y210" i="37"/>
  <c r="Z210" i="37" s="1"/>
  <c r="W341" i="48"/>
  <c r="S340" i="48"/>
  <c r="AA341" i="48"/>
  <c r="V341" i="48"/>
  <c r="U379" i="49"/>
  <c r="Y379" i="49"/>
  <c r="R93" i="42"/>
  <c r="S93" i="42"/>
  <c r="E86" i="42"/>
  <c r="V318" i="49"/>
  <c r="U318" i="49"/>
  <c r="W318" i="49"/>
  <c r="Y318" i="49"/>
  <c r="Y342" i="49"/>
  <c r="U342" i="49"/>
  <c r="Y302" i="45"/>
  <c r="Z302" i="45" s="1"/>
  <c r="M184" i="35"/>
  <c r="M183" i="35" s="1"/>
  <c r="M182" i="35" s="1"/>
  <c r="U193" i="35"/>
  <c r="R193" i="35"/>
  <c r="L309" i="48"/>
  <c r="L307" i="48"/>
  <c r="P280" i="48"/>
  <c r="P279" i="48" s="1"/>
  <c r="P313" i="48"/>
  <c r="P312" i="48"/>
  <c r="P311" i="48"/>
  <c r="I339" i="49"/>
  <c r="N93" i="42"/>
  <c r="N86" i="42" s="1"/>
  <c r="N85" i="42" s="1"/>
  <c r="N65" i="42" s="1"/>
  <c r="N90" i="41"/>
  <c r="N89" i="41"/>
  <c r="N81" i="41" s="1"/>
  <c r="E13" i="45"/>
  <c r="E11" i="45"/>
  <c r="E10" i="45" s="1"/>
  <c r="P14" i="45"/>
  <c r="M127" i="35"/>
  <c r="M126" i="35" s="1"/>
  <c r="M125" i="35" s="1"/>
  <c r="R133" i="35"/>
  <c r="U133" i="35"/>
  <c r="T215" i="35"/>
  <c r="S215" i="35"/>
  <c r="W293" i="48"/>
  <c r="V293" i="48"/>
  <c r="AA293" i="48"/>
  <c r="L363" i="16"/>
  <c r="Q365" i="16"/>
  <c r="F386" i="48"/>
  <c r="F387" i="48" s="1"/>
  <c r="V216" i="35"/>
  <c r="W216" i="35"/>
  <c r="X216" i="35"/>
  <c r="J6" i="49"/>
  <c r="J314" i="49"/>
  <c r="J313" i="49"/>
  <c r="J315" i="49"/>
  <c r="V217" i="35"/>
  <c r="X217" i="35"/>
  <c r="W217" i="35"/>
  <c r="Q6" i="39"/>
  <c r="H64" i="42"/>
  <c r="H102" i="42" s="1"/>
  <c r="O3" i="49"/>
  <c r="U290" i="49"/>
  <c r="Y290" i="49"/>
  <c r="I5" i="41"/>
  <c r="I55" i="42"/>
  <c r="I54" i="42" s="1"/>
  <c r="I53" i="42" s="1"/>
  <c r="I64" i="42" s="1"/>
  <c r="I102" i="42" s="1"/>
  <c r="Y215" i="37"/>
  <c r="Z215" i="37" s="1"/>
  <c r="G281" i="48"/>
  <c r="S286" i="48"/>
  <c r="U286" i="48"/>
  <c r="T286" i="48"/>
  <c r="Y206" i="37"/>
  <c r="Z206" i="37" s="1"/>
  <c r="V220" i="35"/>
  <c r="X220" i="35"/>
  <c r="W220" i="35"/>
  <c r="H338" i="48"/>
  <c r="H337" i="48" s="1"/>
  <c r="T339" i="48"/>
  <c r="K273" i="49"/>
  <c r="S277" i="49"/>
  <c r="U295" i="49"/>
  <c r="Y295" i="49"/>
  <c r="R294" i="49"/>
  <c r="R293" i="49" s="1"/>
  <c r="R282" i="49" s="1"/>
  <c r="R281" i="49" s="1"/>
  <c r="S296" i="49"/>
  <c r="Y309" i="45"/>
  <c r="Z309" i="45" s="1"/>
  <c r="K271" i="48"/>
  <c r="U275" i="48"/>
  <c r="S275" i="48"/>
  <c r="T275" i="48"/>
  <c r="AB26" i="37"/>
  <c r="Q26" i="37"/>
  <c r="V199" i="35"/>
  <c r="W199" i="35"/>
  <c r="U365" i="49"/>
  <c r="Y365" i="49"/>
  <c r="R374" i="48"/>
  <c r="R337" i="48" s="1"/>
  <c r="S375" i="48"/>
  <c r="Y236" i="37"/>
  <c r="Z236" i="37" s="1"/>
  <c r="S95" i="48"/>
  <c r="AA95" i="48" s="1"/>
  <c r="J94" i="48"/>
  <c r="J5" i="48" s="1"/>
  <c r="G55" i="42"/>
  <c r="G54" i="42" s="1"/>
  <c r="G53" i="42" s="1"/>
  <c r="G5" i="41"/>
  <c r="X122" i="35"/>
  <c r="W122" i="35"/>
  <c r="V122" i="35"/>
  <c r="S94" i="42"/>
  <c r="Q94" i="42"/>
  <c r="U94" i="42" s="1"/>
  <c r="R94" i="42"/>
  <c r="T94" i="42"/>
  <c r="T129" i="37"/>
  <c r="S26" i="37"/>
  <c r="T315" i="48"/>
  <c r="G157" i="35"/>
  <c r="G6" i="35"/>
  <c r="G158" i="35"/>
  <c r="G156" i="35"/>
  <c r="Q158" i="35"/>
  <c r="Q156" i="35"/>
  <c r="Q6" i="35"/>
  <c r="Q157" i="35"/>
  <c r="R311" i="49"/>
  <c r="R309" i="49"/>
  <c r="E5" i="39"/>
  <c r="S8" i="49"/>
  <c r="S6" i="48"/>
  <c r="U6" i="48"/>
  <c r="T6" i="48"/>
  <c r="P156" i="35"/>
  <c r="P157" i="35"/>
  <c r="P6" i="35"/>
  <c r="P158" i="35"/>
  <c r="M311" i="49"/>
  <c r="M309" i="49"/>
  <c r="L310" i="49"/>
  <c r="L337" i="49"/>
  <c r="K7" i="42"/>
  <c r="K51" i="42" s="1"/>
  <c r="K64" i="42" s="1"/>
  <c r="K102" i="42" s="1"/>
  <c r="Q18" i="42"/>
  <c r="U18" i="42" s="1"/>
  <c r="T18" i="42"/>
  <c r="F381" i="16"/>
  <c r="F329" i="16"/>
  <c r="N158" i="35"/>
  <c r="N6" i="35"/>
  <c r="N156" i="35"/>
  <c r="N157" i="35"/>
  <c r="M158" i="35"/>
  <c r="M6" i="35"/>
  <c r="M156" i="35"/>
  <c r="K6" i="35"/>
  <c r="K156" i="35"/>
  <c r="K157" i="35"/>
  <c r="K158" i="35"/>
  <c r="O309" i="48"/>
  <c r="O307" i="48"/>
  <c r="M309" i="48"/>
  <c r="M307" i="48"/>
  <c r="E329" i="16"/>
  <c r="Q104" i="16"/>
  <c r="E381" i="16"/>
  <c r="O311" i="49"/>
  <c r="O309" i="49"/>
  <c r="G381" i="16"/>
  <c r="G329" i="16"/>
  <c r="H6" i="49"/>
  <c r="H314" i="49"/>
  <c r="H315" i="49"/>
  <c r="H313" i="49"/>
  <c r="E22" i="42"/>
  <c r="W9" i="49"/>
  <c r="Y9" i="49"/>
  <c r="U9" i="49"/>
  <c r="V9" i="49"/>
  <c r="AA7" i="48"/>
  <c r="X7" i="48"/>
  <c r="Y7" i="48"/>
  <c r="W7" i="48"/>
  <c r="V7" i="48"/>
  <c r="Q311" i="49"/>
  <c r="Q309" i="49"/>
  <c r="I337" i="49"/>
  <c r="I310" i="49"/>
  <c r="I158" i="35"/>
  <c r="I157" i="35"/>
  <c r="I6" i="35"/>
  <c r="I156" i="35"/>
  <c r="H311" i="48"/>
  <c r="H313" i="48"/>
  <c r="H312" i="48"/>
  <c r="H4" i="48"/>
  <c r="S23" i="42"/>
  <c r="R23" i="42"/>
  <c r="Q23" i="42"/>
  <c r="U23" i="42" s="1"/>
  <c r="T23" i="42"/>
  <c r="H99" i="35"/>
  <c r="R100" i="35"/>
  <c r="U88" i="35"/>
  <c r="T88" i="35"/>
  <c r="S88" i="35"/>
  <c r="R88" i="35"/>
  <c r="G66" i="39"/>
  <c r="Q69" i="39"/>
  <c r="Y8" i="48"/>
  <c r="AA8" i="48"/>
  <c r="I386" i="48"/>
  <c r="I397" i="45"/>
  <c r="V84" i="35"/>
  <c r="W84" i="35"/>
  <c r="L156" i="35"/>
  <c r="L157" i="35"/>
  <c r="L6" i="35"/>
  <c r="L158" i="35"/>
  <c r="O155" i="35"/>
  <c r="O153" i="35"/>
  <c r="Y97" i="49"/>
  <c r="U97" i="49"/>
  <c r="U85" i="35"/>
  <c r="S85" i="35"/>
  <c r="F83" i="35"/>
  <c r="T85" i="35"/>
  <c r="F87" i="35"/>
  <c r="R85" i="35"/>
  <c r="J158" i="35"/>
  <c r="J156" i="35"/>
  <c r="J6" i="35"/>
  <c r="J157" i="35"/>
  <c r="F66" i="39"/>
  <c r="Q68" i="39"/>
  <c r="T337" i="48" l="1"/>
  <c r="J312" i="48"/>
  <c r="J311" i="48"/>
  <c r="J4" i="48"/>
  <c r="J313" i="48"/>
  <c r="V275" i="48"/>
  <c r="W275" i="48"/>
  <c r="AA275" i="48"/>
  <c r="W286" i="48"/>
  <c r="V286" i="48"/>
  <c r="AA286" i="48"/>
  <c r="J311" i="49"/>
  <c r="J309" i="49"/>
  <c r="L335" i="48"/>
  <c r="L386" i="48" s="1"/>
  <c r="L387" i="48" s="1"/>
  <c r="L308" i="48"/>
  <c r="X132" i="35"/>
  <c r="W132" i="35"/>
  <c r="V132" i="35"/>
  <c r="R116" i="35"/>
  <c r="T116" i="35"/>
  <c r="U116" i="35"/>
  <c r="S334" i="48"/>
  <c r="S336" i="49"/>
  <c r="M89" i="41"/>
  <c r="M93" i="42"/>
  <c r="M90" i="41"/>
  <c r="Q90" i="41" s="1"/>
  <c r="Q97" i="41"/>
  <c r="T321" i="45"/>
  <c r="S25" i="45"/>
  <c r="Y378" i="49"/>
  <c r="U378" i="49"/>
  <c r="E7" i="41"/>
  <c r="Q8" i="41"/>
  <c r="G94" i="48"/>
  <c r="S230" i="48"/>
  <c r="AA230" i="48" s="1"/>
  <c r="S292" i="48"/>
  <c r="S294" i="49"/>
  <c r="R184" i="35"/>
  <c r="U288" i="49"/>
  <c r="Y288" i="49"/>
  <c r="U289" i="49"/>
  <c r="Y289" i="49"/>
  <c r="Y296" i="49"/>
  <c r="U296" i="49"/>
  <c r="U277" i="49"/>
  <c r="Y277" i="49"/>
  <c r="T338" i="48"/>
  <c r="G280" i="48"/>
  <c r="S281" i="48"/>
  <c r="T281" i="48"/>
  <c r="U281" i="48"/>
  <c r="Q14" i="45"/>
  <c r="P13" i="45"/>
  <c r="P11" i="45"/>
  <c r="Q11" i="45" s="1"/>
  <c r="V137" i="35"/>
  <c r="Z140" i="35"/>
  <c r="W137" i="35"/>
  <c r="X137" i="35"/>
  <c r="N178" i="35"/>
  <c r="R179" i="35"/>
  <c r="U179" i="35"/>
  <c r="N348" i="48"/>
  <c r="S354" i="48"/>
  <c r="U354" i="48"/>
  <c r="S374" i="48"/>
  <c r="S291" i="48"/>
  <c r="U291" i="48"/>
  <c r="N280" i="48"/>
  <c r="N279" i="48" s="1"/>
  <c r="N309" i="48" s="1"/>
  <c r="U356" i="49"/>
  <c r="Y356" i="49"/>
  <c r="S293" i="49"/>
  <c r="R183" i="35"/>
  <c r="H182" i="35"/>
  <c r="U183" i="35"/>
  <c r="S183" i="35"/>
  <c r="T183" i="35"/>
  <c r="N282" i="49"/>
  <c r="N281" i="49" s="1"/>
  <c r="N315" i="49"/>
  <c r="N313" i="49"/>
  <c r="N314" i="49"/>
  <c r="Q329" i="16"/>
  <c r="W349" i="16" s="1"/>
  <c r="M157" i="35"/>
  <c r="U129" i="37"/>
  <c r="T26" i="37"/>
  <c r="U271" i="48"/>
  <c r="T271" i="48"/>
  <c r="S271" i="48"/>
  <c r="K4" i="48"/>
  <c r="S273" i="49"/>
  <c r="K6" i="49"/>
  <c r="X133" i="35"/>
  <c r="V133" i="35"/>
  <c r="W133" i="35"/>
  <c r="E9" i="45"/>
  <c r="E395" i="45" s="1"/>
  <c r="P10" i="45"/>
  <c r="W193" i="35"/>
  <c r="V193" i="35"/>
  <c r="X193" i="35"/>
  <c r="S86" i="42"/>
  <c r="E85" i="42"/>
  <c r="R86" i="42"/>
  <c r="R307" i="48"/>
  <c r="R309" i="48"/>
  <c r="T28" i="42"/>
  <c r="Q28" i="42"/>
  <c r="U28" i="42" s="1"/>
  <c r="L51" i="42"/>
  <c r="T311" i="49"/>
  <c r="T309" i="49"/>
  <c r="N350" i="49"/>
  <c r="S355" i="49"/>
  <c r="S232" i="49"/>
  <c r="G96" i="49"/>
  <c r="U184" i="35"/>
  <c r="V375" i="48"/>
  <c r="W375" i="48"/>
  <c r="AA375" i="48"/>
  <c r="Q363" i="16"/>
  <c r="L381" i="16"/>
  <c r="P309" i="48"/>
  <c r="P307" i="48"/>
  <c r="W340" i="48"/>
  <c r="AA340" i="48"/>
  <c r="V340" i="48"/>
  <c r="F126" i="35"/>
  <c r="T127" i="35"/>
  <c r="R127" i="35"/>
  <c r="S127" i="35"/>
  <c r="U127" i="35"/>
  <c r="L47" i="41"/>
  <c r="Q47" i="41" s="1"/>
  <c r="L60" i="42"/>
  <c r="Q48" i="41"/>
  <c r="P309" i="49"/>
  <c r="P311" i="49"/>
  <c r="V120" i="35"/>
  <c r="W120" i="35"/>
  <c r="X120" i="35"/>
  <c r="AA294" i="48"/>
  <c r="W294" i="48"/>
  <c r="V294" i="48"/>
  <c r="O333" i="48"/>
  <c r="O315" i="48" s="1"/>
  <c r="U315" i="48" s="1"/>
  <c r="U334" i="48"/>
  <c r="Y377" i="49"/>
  <c r="U377" i="49"/>
  <c r="V377" i="49"/>
  <c r="W377" i="49"/>
  <c r="S8" i="42"/>
  <c r="Q8" i="42"/>
  <c r="U8" i="42" s="1"/>
  <c r="R8" i="42"/>
  <c r="T8" i="42"/>
  <c r="AA287" i="48"/>
  <c r="V287" i="48"/>
  <c r="W287" i="48"/>
  <c r="S283" i="49"/>
  <c r="G282" i="49"/>
  <c r="Q308" i="48"/>
  <c r="Q335" i="48"/>
  <c r="Q386" i="48" s="1"/>
  <c r="P230" i="35" s="1"/>
  <c r="Y322" i="37"/>
  <c r="F24" i="42"/>
  <c r="Q66" i="39"/>
  <c r="F59" i="39"/>
  <c r="T87" i="35"/>
  <c r="R87" i="35"/>
  <c r="U87" i="35"/>
  <c r="S87" i="35"/>
  <c r="H230" i="35"/>
  <c r="W85" i="35"/>
  <c r="V85" i="35"/>
  <c r="X85" i="35"/>
  <c r="O180" i="35"/>
  <c r="O154" i="35"/>
  <c r="X88" i="35"/>
  <c r="W88" i="35"/>
  <c r="V88" i="35"/>
  <c r="I153" i="35"/>
  <c r="I155" i="35"/>
  <c r="I389" i="49"/>
  <c r="I390" i="49" s="1"/>
  <c r="E7" i="42"/>
  <c r="M308" i="48"/>
  <c r="M335" i="48"/>
  <c r="O335" i="48"/>
  <c r="O308" i="48"/>
  <c r="K155" i="35"/>
  <c r="K153" i="35"/>
  <c r="M155" i="35"/>
  <c r="M153" i="35"/>
  <c r="L389" i="49"/>
  <c r="L390" i="49" s="1"/>
  <c r="M337" i="49"/>
  <c r="M310" i="49"/>
  <c r="Q155" i="35"/>
  <c r="Q153" i="35"/>
  <c r="Q387" i="48"/>
  <c r="I387" i="48"/>
  <c r="J155" i="35"/>
  <c r="J153" i="35"/>
  <c r="F7" i="35"/>
  <c r="L153" i="35"/>
  <c r="L155" i="35"/>
  <c r="G24" i="42"/>
  <c r="G22" i="42" s="1"/>
  <c r="G7" i="42" s="1"/>
  <c r="G51" i="42" s="1"/>
  <c r="G64" i="42" s="1"/>
  <c r="G102" i="42" s="1"/>
  <c r="G59" i="39"/>
  <c r="G5" i="39" s="1"/>
  <c r="U99" i="35"/>
  <c r="T99" i="35"/>
  <c r="H83" i="35"/>
  <c r="H7" i="35" s="1"/>
  <c r="S99" i="35"/>
  <c r="R99" i="35"/>
  <c r="H307" i="48"/>
  <c r="H309" i="48"/>
  <c r="Q310" i="49"/>
  <c r="Q337" i="49"/>
  <c r="H311" i="49"/>
  <c r="H309" i="49"/>
  <c r="O310" i="49"/>
  <c r="O337" i="49"/>
  <c r="K230" i="35"/>
  <c r="N153" i="35"/>
  <c r="N155" i="35"/>
  <c r="P155" i="35"/>
  <c r="P153" i="35"/>
  <c r="Y6" i="48"/>
  <c r="W6" i="48"/>
  <c r="AA6" i="48"/>
  <c r="X6" i="48"/>
  <c r="V6" i="48"/>
  <c r="Y8" i="49"/>
  <c r="W8" i="49"/>
  <c r="V8" i="49"/>
  <c r="U8" i="49"/>
  <c r="R337" i="49"/>
  <c r="R310" i="49"/>
  <c r="G153" i="35"/>
  <c r="G155" i="35"/>
  <c r="Q381" i="16"/>
  <c r="S282" i="49" l="1"/>
  <c r="G281" i="49"/>
  <c r="S281" i="49" s="1"/>
  <c r="P308" i="48"/>
  <c r="P335" i="48"/>
  <c r="P386" i="48" s="1"/>
  <c r="S96" i="49"/>
  <c r="G7" i="49"/>
  <c r="U273" i="49"/>
  <c r="Y273" i="49"/>
  <c r="W273" i="49"/>
  <c r="V273" i="49"/>
  <c r="V183" i="35"/>
  <c r="X183" i="35"/>
  <c r="W183" i="35"/>
  <c r="V179" i="35"/>
  <c r="W179" i="35"/>
  <c r="Q13" i="45"/>
  <c r="Z14" i="45"/>
  <c r="G279" i="48"/>
  <c r="T280" i="48"/>
  <c r="S280" i="48"/>
  <c r="U280" i="48"/>
  <c r="V294" i="49"/>
  <c r="Y294" i="49"/>
  <c r="W294" i="49"/>
  <c r="U294" i="49"/>
  <c r="M86" i="42"/>
  <c r="Q93" i="42"/>
  <c r="U93" i="42" s="1"/>
  <c r="T93" i="42"/>
  <c r="N307" i="48"/>
  <c r="Z322" i="37"/>
  <c r="Y283" i="49"/>
  <c r="V283" i="49"/>
  <c r="W283" i="49"/>
  <c r="U283" i="49"/>
  <c r="L59" i="42"/>
  <c r="T60" i="42"/>
  <c r="Q60" i="42"/>
  <c r="U60" i="42" s="1"/>
  <c r="V127" i="35"/>
  <c r="X127" i="35"/>
  <c r="W127" i="35"/>
  <c r="U232" i="49"/>
  <c r="Y232" i="49"/>
  <c r="T337" i="49"/>
  <c r="T310" i="49"/>
  <c r="R308" i="48"/>
  <c r="R335" i="48"/>
  <c r="E65" i="42"/>
  <c r="R85" i="42"/>
  <c r="S85" i="42"/>
  <c r="K307" i="48"/>
  <c r="K309" i="48"/>
  <c r="U293" i="49"/>
  <c r="Y293" i="49"/>
  <c r="V293" i="49"/>
  <c r="W293" i="49"/>
  <c r="AA354" i="48"/>
  <c r="W354" i="48"/>
  <c r="V354" i="48"/>
  <c r="N160" i="35"/>
  <c r="R178" i="35"/>
  <c r="W178" i="35" s="1"/>
  <c r="V292" i="48"/>
  <c r="W292" i="48"/>
  <c r="AA292" i="48"/>
  <c r="X292" i="48"/>
  <c r="Y292" i="48"/>
  <c r="Q7" i="41"/>
  <c r="E5" i="41"/>
  <c r="Q5" i="41" s="1"/>
  <c r="E55" i="42"/>
  <c r="U321" i="45"/>
  <c r="T25" i="45"/>
  <c r="Q89" i="41"/>
  <c r="M81" i="41"/>
  <c r="Q81" i="41" s="1"/>
  <c r="U355" i="49"/>
  <c r="Y355" i="49"/>
  <c r="P9" i="45"/>
  <c r="Q9" i="45" s="1"/>
  <c r="Z9" i="45" s="1"/>
  <c r="Q10" i="45"/>
  <c r="Z10" i="45" s="1"/>
  <c r="AA271" i="48"/>
  <c r="W271" i="48"/>
  <c r="X271" i="48"/>
  <c r="V271" i="48"/>
  <c r="Y271" i="48"/>
  <c r="N309" i="49"/>
  <c r="N311" i="49"/>
  <c r="W291" i="48"/>
  <c r="AA291" i="48"/>
  <c r="Y291" i="48"/>
  <c r="V291" i="48"/>
  <c r="X291" i="48"/>
  <c r="N339" i="48"/>
  <c r="S348" i="48"/>
  <c r="U348" i="48"/>
  <c r="U336" i="49"/>
  <c r="S335" i="49"/>
  <c r="Y336" i="49"/>
  <c r="V116" i="35"/>
  <c r="X116" i="35"/>
  <c r="W116" i="35"/>
  <c r="R49" i="39"/>
  <c r="J337" i="49"/>
  <c r="J389" i="49" s="1"/>
  <c r="J390" i="49" s="1"/>
  <c r="J310" i="49"/>
  <c r="P310" i="49"/>
  <c r="P337" i="49"/>
  <c r="F125" i="35"/>
  <c r="R126" i="35"/>
  <c r="T126" i="35"/>
  <c r="S126" i="35"/>
  <c r="U126" i="35"/>
  <c r="N341" i="49"/>
  <c r="N340" i="49" s="1"/>
  <c r="N339" i="49" s="1"/>
  <c r="S350" i="49"/>
  <c r="E397" i="45"/>
  <c r="P397" i="45" s="1"/>
  <c r="P395" i="45"/>
  <c r="K311" i="49"/>
  <c r="K309" i="49"/>
  <c r="V129" i="37"/>
  <c r="U26" i="37"/>
  <c r="U182" i="35"/>
  <c r="S182" i="35"/>
  <c r="R182" i="35"/>
  <c r="T182" i="35"/>
  <c r="W374" i="48"/>
  <c r="X374" i="48"/>
  <c r="AA374" i="48"/>
  <c r="Y374" i="48"/>
  <c r="V374" i="48"/>
  <c r="W281" i="48"/>
  <c r="AA281" i="48"/>
  <c r="Y281" i="48"/>
  <c r="X281" i="48"/>
  <c r="V281" i="48"/>
  <c r="V184" i="35"/>
  <c r="X184" i="35"/>
  <c r="W184" i="35"/>
  <c r="S94" i="48"/>
  <c r="AA94" i="48" s="1"/>
  <c r="G5" i="48"/>
  <c r="V334" i="48"/>
  <c r="S333" i="48"/>
  <c r="W334" i="48"/>
  <c r="AA334" i="48"/>
  <c r="J307" i="48"/>
  <c r="J309" i="48"/>
  <c r="N154" i="35"/>
  <c r="N180" i="35"/>
  <c r="Q389" i="49"/>
  <c r="Q390" i="49" s="1"/>
  <c r="G180" i="35"/>
  <c r="G154" i="35"/>
  <c r="R389" i="49"/>
  <c r="R390" i="49"/>
  <c r="P154" i="35"/>
  <c r="P180" i="35"/>
  <c r="O389" i="49"/>
  <c r="O390" i="49"/>
  <c r="H310" i="49"/>
  <c r="H337" i="49"/>
  <c r="H308" i="48"/>
  <c r="H335" i="48"/>
  <c r="Q154" i="35"/>
  <c r="Q180" i="35"/>
  <c r="M389" i="49"/>
  <c r="M390" i="49"/>
  <c r="N3" i="35"/>
  <c r="O386" i="48"/>
  <c r="O387" i="48" s="1"/>
  <c r="O227" i="35"/>
  <c r="O228" i="35" s="1"/>
  <c r="W87" i="35"/>
  <c r="V87" i="35"/>
  <c r="X87" i="35"/>
  <c r="F5" i="39"/>
  <c r="Q5" i="39" s="1"/>
  <c r="Q59" i="39"/>
  <c r="R5" i="39" s="1"/>
  <c r="S24" i="42"/>
  <c r="T24" i="42"/>
  <c r="Q24" i="42"/>
  <c r="U24" i="42" s="1"/>
  <c r="R24" i="42"/>
  <c r="F22" i="42"/>
  <c r="U83" i="35"/>
  <c r="R83" i="35"/>
  <c r="S83" i="35"/>
  <c r="X99" i="35"/>
  <c r="V99" i="35"/>
  <c r="W99" i="35"/>
  <c r="H157" i="35"/>
  <c r="H158" i="35"/>
  <c r="H6" i="35"/>
  <c r="H156" i="35"/>
  <c r="L154" i="35"/>
  <c r="L180" i="35"/>
  <c r="F157" i="35"/>
  <c r="S7" i="35"/>
  <c r="F156" i="35"/>
  <c r="F6" i="35"/>
  <c r="F158" i="35"/>
  <c r="T7" i="35"/>
  <c r="R7" i="35"/>
  <c r="U7" i="35"/>
  <c r="J154" i="35"/>
  <c r="J180" i="35"/>
  <c r="M154" i="35"/>
  <c r="M180" i="35"/>
  <c r="K154" i="35"/>
  <c r="K180" i="35"/>
  <c r="M386" i="48"/>
  <c r="M387" i="48"/>
  <c r="E51" i="42"/>
  <c r="I154" i="35"/>
  <c r="I180" i="35"/>
  <c r="T83" i="35"/>
  <c r="W333" i="48" l="1"/>
  <c r="AA333" i="48"/>
  <c r="Y333" i="48"/>
  <c r="S315" i="48"/>
  <c r="U350" i="49"/>
  <c r="Y350" i="49"/>
  <c r="S341" i="49"/>
  <c r="U335" i="49"/>
  <c r="Y335" i="49"/>
  <c r="W335" i="49"/>
  <c r="S317" i="49"/>
  <c r="N338" i="48"/>
  <c r="U339" i="48"/>
  <c r="V321" i="45"/>
  <c r="U25" i="45"/>
  <c r="R65" i="42"/>
  <c r="S65" i="42"/>
  <c r="T389" i="49"/>
  <c r="T390" i="49"/>
  <c r="Q59" i="42"/>
  <c r="U59" i="42" s="1"/>
  <c r="T59" i="42"/>
  <c r="L53" i="42"/>
  <c r="L64" i="42" s="1"/>
  <c r="L102" i="42" s="1"/>
  <c r="AA280" i="48"/>
  <c r="V280" i="48"/>
  <c r="W280" i="48"/>
  <c r="P387" i="48"/>
  <c r="O230" i="35"/>
  <c r="J308" i="48"/>
  <c r="J335" i="48"/>
  <c r="V126" i="35"/>
  <c r="W126" i="35"/>
  <c r="X126" i="35"/>
  <c r="T55" i="42"/>
  <c r="Q55" i="42"/>
  <c r="U55" i="42" s="1"/>
  <c r="S55" i="42"/>
  <c r="E54" i="42"/>
  <c r="R55" i="42"/>
  <c r="R386" i="48"/>
  <c r="Q230" i="35" s="1"/>
  <c r="G312" i="48"/>
  <c r="T5" i="48"/>
  <c r="T312" i="48" s="1"/>
  <c r="S5" i="48"/>
  <c r="U5" i="48"/>
  <c r="U312" i="48" s="1"/>
  <c r="G313" i="48"/>
  <c r="G4" i="48"/>
  <c r="G311" i="48"/>
  <c r="R229" i="35"/>
  <c r="V229" i="35" s="1"/>
  <c r="W182" i="35"/>
  <c r="X182" i="35"/>
  <c r="V182" i="35"/>
  <c r="W129" i="37"/>
  <c r="V26" i="37"/>
  <c r="T125" i="35"/>
  <c r="R125" i="35"/>
  <c r="U125" i="35"/>
  <c r="S125" i="35"/>
  <c r="U160" i="35"/>
  <c r="R160" i="35"/>
  <c r="M85" i="42"/>
  <c r="T86" i="42"/>
  <c r="Q86" i="42"/>
  <c r="U86" i="42" s="1"/>
  <c r="T279" i="48"/>
  <c r="U279" i="48"/>
  <c r="S279" i="48"/>
  <c r="G315" i="49"/>
  <c r="S7" i="49"/>
  <c r="G6" i="49"/>
  <c r="G313" i="49"/>
  <c r="G314" i="49"/>
  <c r="U281" i="49"/>
  <c r="R3" i="49"/>
  <c r="V281" i="49"/>
  <c r="Y281" i="49"/>
  <c r="W281" i="49"/>
  <c r="K310" i="49"/>
  <c r="K337" i="49"/>
  <c r="P389" i="49"/>
  <c r="P392" i="49" s="1"/>
  <c r="V348" i="48"/>
  <c r="AA348" i="48"/>
  <c r="W348" i="48"/>
  <c r="S339" i="48"/>
  <c r="N310" i="49"/>
  <c r="N337" i="49"/>
  <c r="N389" i="49" s="1"/>
  <c r="N390" i="49" s="1"/>
  <c r="K308" i="48"/>
  <c r="K335" i="48"/>
  <c r="N308" i="48"/>
  <c r="N335" i="48"/>
  <c r="Y96" i="49"/>
  <c r="U96" i="49"/>
  <c r="Y282" i="49"/>
  <c r="U282" i="49"/>
  <c r="I227" i="35"/>
  <c r="I228" i="35"/>
  <c r="L230" i="35"/>
  <c r="X7" i="35"/>
  <c r="W7" i="35"/>
  <c r="V7" i="35"/>
  <c r="S236" i="35"/>
  <c r="T158" i="35"/>
  <c r="S158" i="35"/>
  <c r="U158" i="35"/>
  <c r="R158" i="35"/>
  <c r="S156" i="35"/>
  <c r="U156" i="35"/>
  <c r="T156" i="35"/>
  <c r="R156" i="35"/>
  <c r="R157" i="35"/>
  <c r="T157" i="35"/>
  <c r="S157" i="35"/>
  <c r="U157" i="35"/>
  <c r="H155" i="35"/>
  <c r="H153" i="35"/>
  <c r="F7" i="42"/>
  <c r="Q22" i="42"/>
  <c r="U22" i="42" s="1"/>
  <c r="S22" i="42"/>
  <c r="T22" i="42"/>
  <c r="R22" i="42"/>
  <c r="G227" i="35"/>
  <c r="G228" i="35"/>
  <c r="K227" i="35"/>
  <c r="K228" i="35" s="1"/>
  <c r="M227" i="35"/>
  <c r="M228" i="35" s="1"/>
  <c r="J227" i="35"/>
  <c r="J228" i="35"/>
  <c r="F153" i="35"/>
  <c r="S6" i="35"/>
  <c r="U6" i="35"/>
  <c r="F155" i="35"/>
  <c r="R6" i="35"/>
  <c r="T6" i="35"/>
  <c r="L227" i="35"/>
  <c r="L231" i="35" s="1"/>
  <c r="L228" i="35"/>
  <c r="X83" i="35"/>
  <c r="V83" i="35"/>
  <c r="W83" i="35"/>
  <c r="O231" i="35"/>
  <c r="P389" i="48"/>
  <c r="N230" i="35"/>
  <c r="Q227" i="35"/>
  <c r="Q228" i="35" s="1"/>
  <c r="H386" i="48"/>
  <c r="H387" i="48" s="1"/>
  <c r="H389" i="49"/>
  <c r="H392" i="49" s="1"/>
  <c r="P227" i="35"/>
  <c r="Q392" i="49" s="1"/>
  <c r="N227" i="35"/>
  <c r="N231" i="35" l="1"/>
  <c r="G309" i="49"/>
  <c r="G311" i="49"/>
  <c r="S311" i="49" s="1"/>
  <c r="S6" i="49"/>
  <c r="M65" i="42"/>
  <c r="T85" i="42"/>
  <c r="Q85" i="42"/>
  <c r="U85" i="42" s="1"/>
  <c r="G309" i="48"/>
  <c r="T4" i="48"/>
  <c r="U4" i="48"/>
  <c r="G307" i="48"/>
  <c r="S4" i="48"/>
  <c r="J386" i="48"/>
  <c r="I230" i="35" s="1"/>
  <c r="N337" i="48"/>
  <c r="U337" i="48" s="1"/>
  <c r="U338" i="48"/>
  <c r="X315" i="48"/>
  <c r="Y315" i="48"/>
  <c r="V315" i="48"/>
  <c r="AA315" i="48"/>
  <c r="W315" i="48"/>
  <c r="W7" i="49"/>
  <c r="Y7" i="49"/>
  <c r="V7" i="49"/>
  <c r="V314" i="49" s="1"/>
  <c r="S313" i="49"/>
  <c r="U7" i="49"/>
  <c r="S315" i="49"/>
  <c r="T313" i="48"/>
  <c r="U313" i="48"/>
  <c r="E53" i="42"/>
  <c r="S54" i="42"/>
  <c r="T54" i="42"/>
  <c r="Q54" i="42"/>
  <c r="U54" i="42" s="1"/>
  <c r="R54" i="42"/>
  <c r="V317" i="49"/>
  <c r="Y317" i="49"/>
  <c r="W317" i="49"/>
  <c r="U317" i="49"/>
  <c r="S340" i="49"/>
  <c r="Y341" i="49"/>
  <c r="U341" i="49"/>
  <c r="P390" i="49"/>
  <c r="V160" i="35"/>
  <c r="W160" i="35"/>
  <c r="X160" i="35"/>
  <c r="V125" i="35"/>
  <c r="W125" i="35"/>
  <c r="X125" i="35"/>
  <c r="X129" i="37"/>
  <c r="W26" i="37"/>
  <c r="V25" i="45"/>
  <c r="W321" i="45"/>
  <c r="K386" i="48"/>
  <c r="J230" i="35" s="1"/>
  <c r="V339" i="48"/>
  <c r="W339" i="48"/>
  <c r="S338" i="48"/>
  <c r="AA339" i="48"/>
  <c r="H390" i="49"/>
  <c r="O389" i="48"/>
  <c r="N228" i="35"/>
  <c r="N386" i="48"/>
  <c r="M230" i="35" s="1"/>
  <c r="K389" i="49"/>
  <c r="K390" i="49" s="1"/>
  <c r="V279" i="48"/>
  <c r="W279" i="48"/>
  <c r="AA279" i="48"/>
  <c r="X279" i="48"/>
  <c r="Y279" i="48"/>
  <c r="T311" i="48"/>
  <c r="U311" i="48"/>
  <c r="W5" i="48"/>
  <c r="W312" i="48" s="1"/>
  <c r="S310" i="48"/>
  <c r="AA310" i="48" s="1"/>
  <c r="Y5" i="48"/>
  <c r="X5" i="48"/>
  <c r="X312" i="48" s="1"/>
  <c r="S311" i="48"/>
  <c r="S313" i="48"/>
  <c r="V5" i="48"/>
  <c r="V312" i="48" s="1"/>
  <c r="AA5" i="48"/>
  <c r="R387" i="48"/>
  <c r="P231" i="35"/>
  <c r="Q389" i="48"/>
  <c r="G230" i="35"/>
  <c r="H389" i="48"/>
  <c r="Q231" i="35"/>
  <c r="R389" i="48"/>
  <c r="W6" i="35"/>
  <c r="V6" i="35"/>
  <c r="X6" i="35"/>
  <c r="F180" i="35"/>
  <c r="R153" i="35"/>
  <c r="U153" i="35"/>
  <c r="F154" i="35"/>
  <c r="S153" i="35"/>
  <c r="T153" i="35"/>
  <c r="J231" i="35"/>
  <c r="K389" i="48"/>
  <c r="K392" i="49"/>
  <c r="K231" i="35"/>
  <c r="L389" i="48"/>
  <c r="L392" i="49"/>
  <c r="H154" i="35"/>
  <c r="H180" i="35"/>
  <c r="W156" i="35"/>
  <c r="V156" i="35"/>
  <c r="X156" i="35"/>
  <c r="V158" i="35"/>
  <c r="W158" i="35"/>
  <c r="I231" i="35"/>
  <c r="J389" i="48"/>
  <c r="J392" i="49"/>
  <c r="P228" i="35"/>
  <c r="O391" i="48"/>
  <c r="M392" i="49"/>
  <c r="G231" i="35"/>
  <c r="O392" i="49"/>
  <c r="R155" i="35"/>
  <c r="S155" i="35"/>
  <c r="U155" i="35"/>
  <c r="T155" i="35"/>
  <c r="M231" i="35"/>
  <c r="N389" i="48"/>
  <c r="N392" i="49"/>
  <c r="F51" i="42"/>
  <c r="Q7" i="42"/>
  <c r="U7" i="42" s="1"/>
  <c r="R7" i="42"/>
  <c r="T7" i="42"/>
  <c r="S7" i="42"/>
  <c r="W157" i="35"/>
  <c r="V157" i="35"/>
  <c r="X157" i="35"/>
  <c r="N232" i="35"/>
  <c r="R392" i="49"/>
  <c r="O394" i="49"/>
  <c r="M389" i="48"/>
  <c r="AA311" i="48" l="1"/>
  <c r="S312" i="48"/>
  <c r="Y311" i="48"/>
  <c r="X311" i="48"/>
  <c r="W311" i="48"/>
  <c r="V311" i="48"/>
  <c r="S337" i="48"/>
  <c r="W338" i="48"/>
  <c r="AA338" i="48"/>
  <c r="Y338" i="48"/>
  <c r="X338" i="48"/>
  <c r="V338" i="48"/>
  <c r="X26" i="37"/>
  <c r="Y129" i="37"/>
  <c r="Y313" i="49"/>
  <c r="U313" i="49"/>
  <c r="W313" i="49"/>
  <c r="S314" i="49"/>
  <c r="V313" i="49"/>
  <c r="M102" i="42"/>
  <c r="T65" i="42"/>
  <c r="Q65" i="42"/>
  <c r="U65" i="42" s="1"/>
  <c r="X321" i="45"/>
  <c r="X25" i="45" s="1"/>
  <c r="W25" i="45"/>
  <c r="Y4" i="48"/>
  <c r="AA4" i="48"/>
  <c r="V4" i="48"/>
  <c r="S307" i="48"/>
  <c r="W4" i="48"/>
  <c r="X4" i="48"/>
  <c r="U309" i="48"/>
  <c r="S309" i="48"/>
  <c r="T309" i="48"/>
  <c r="W6" i="49"/>
  <c r="U6" i="49"/>
  <c r="Y6" i="49"/>
  <c r="V6" i="49"/>
  <c r="Y340" i="49"/>
  <c r="W340" i="49"/>
  <c r="U340" i="49"/>
  <c r="V340" i="49"/>
  <c r="S339" i="49"/>
  <c r="W315" i="49"/>
  <c r="Y315" i="49"/>
  <c r="U315" i="49"/>
  <c r="U307" i="48"/>
  <c r="G308" i="48"/>
  <c r="T307" i="48"/>
  <c r="G335" i="48"/>
  <c r="V311" i="49"/>
  <c r="Y311" i="49"/>
  <c r="W311" i="49"/>
  <c r="U311" i="49"/>
  <c r="AA313" i="48"/>
  <c r="W313" i="48"/>
  <c r="V313" i="48"/>
  <c r="Y313" i="48"/>
  <c r="N387" i="48"/>
  <c r="K387" i="48"/>
  <c r="Q53" i="42"/>
  <c r="U53" i="42" s="1"/>
  <c r="R53" i="42"/>
  <c r="T53" i="42"/>
  <c r="S53" i="42"/>
  <c r="E64" i="42"/>
  <c r="E102" i="42" s="1"/>
  <c r="J387" i="48"/>
  <c r="S309" i="49"/>
  <c r="G310" i="49"/>
  <c r="S310" i="49" s="1"/>
  <c r="G337" i="49"/>
  <c r="G389" i="49" s="1"/>
  <c r="S389" i="49"/>
  <c r="F64" i="42"/>
  <c r="T51" i="42"/>
  <c r="R51" i="42"/>
  <c r="S51" i="42"/>
  <c r="Q51" i="42"/>
  <c r="U51" i="42" s="1"/>
  <c r="X155" i="35"/>
  <c r="V155" i="35"/>
  <c r="W155" i="35"/>
  <c r="H227" i="35"/>
  <c r="H228" i="35" s="1"/>
  <c r="S154" i="35"/>
  <c r="T154" i="35"/>
  <c r="R154" i="35"/>
  <c r="U154" i="35"/>
  <c r="X153" i="35"/>
  <c r="R9" i="16"/>
  <c r="V153" i="35"/>
  <c r="W153" i="35"/>
  <c r="G390" i="49"/>
  <c r="S390" i="49" s="1"/>
  <c r="F227" i="35"/>
  <c r="G393" i="49" s="1"/>
  <c r="T180" i="35"/>
  <c r="R180" i="35"/>
  <c r="S180" i="35"/>
  <c r="F228" i="35"/>
  <c r="U180" i="35"/>
  <c r="W309" i="49" l="1"/>
  <c r="S337" i="49"/>
  <c r="Y309" i="49"/>
  <c r="V309" i="49"/>
  <c r="U309" i="49"/>
  <c r="U339" i="49"/>
  <c r="W339" i="49"/>
  <c r="V339" i="49"/>
  <c r="Y339" i="49"/>
  <c r="T335" i="48"/>
  <c r="G387" i="48"/>
  <c r="U335" i="48"/>
  <c r="G386" i="48"/>
  <c r="AA337" i="48"/>
  <c r="X337" i="48"/>
  <c r="Y337" i="48"/>
  <c r="V337" i="48"/>
  <c r="W337" i="48"/>
  <c r="U314" i="49"/>
  <c r="Y314" i="49"/>
  <c r="W314" i="49"/>
  <c r="Z129" i="37"/>
  <c r="Z26" i="37" s="1"/>
  <c r="Y26" i="37"/>
  <c r="AA312" i="48"/>
  <c r="Y312" i="48"/>
  <c r="V310" i="49"/>
  <c r="W310" i="49"/>
  <c r="Y310" i="49"/>
  <c r="U310" i="49"/>
  <c r="T308" i="48"/>
  <c r="S308" i="48"/>
  <c r="U308" i="48"/>
  <c r="Q3" i="49"/>
  <c r="AA309" i="48"/>
  <c r="W309" i="48"/>
  <c r="V309" i="48"/>
  <c r="Y309" i="48"/>
  <c r="X309" i="48"/>
  <c r="Y307" i="48"/>
  <c r="AA307" i="48"/>
  <c r="V307" i="48"/>
  <c r="X307" i="48"/>
  <c r="S335" i="48"/>
  <c r="W307" i="48"/>
  <c r="Y321" i="45"/>
  <c r="Y389" i="49"/>
  <c r="W389" i="49"/>
  <c r="V389" i="49"/>
  <c r="U389" i="49"/>
  <c r="S228" i="35"/>
  <c r="R228" i="35"/>
  <c r="U228" i="35"/>
  <c r="T228" i="35"/>
  <c r="V180" i="35"/>
  <c r="X180" i="35"/>
  <c r="S181" i="35"/>
  <c r="W180" i="35"/>
  <c r="R227" i="35"/>
  <c r="S227" i="35"/>
  <c r="U227" i="35"/>
  <c r="T227" i="35"/>
  <c r="W390" i="49"/>
  <c r="U390" i="49"/>
  <c r="V390" i="49"/>
  <c r="Y390" i="49"/>
  <c r="X154" i="35"/>
  <c r="V154" i="35"/>
  <c r="W154" i="35"/>
  <c r="R7" i="16"/>
  <c r="H231" i="35"/>
  <c r="I389" i="48"/>
  <c r="I392" i="49"/>
  <c r="F102" i="42"/>
  <c r="R64" i="42"/>
  <c r="Q64" i="42"/>
  <c r="U64" i="42" s="1"/>
  <c r="S64" i="42"/>
  <c r="T64" i="42"/>
  <c r="G392" i="49"/>
  <c r="Y335" i="48" l="1"/>
  <c r="V335" i="48"/>
  <c r="AA335" i="48"/>
  <c r="W335" i="48"/>
  <c r="X335" i="48"/>
  <c r="AA308" i="48"/>
  <c r="X308" i="48"/>
  <c r="W308" i="48"/>
  <c r="V308" i="48"/>
  <c r="Y308" i="48"/>
  <c r="U387" i="48"/>
  <c r="T387" i="48"/>
  <c r="S387" i="48"/>
  <c r="Y337" i="49"/>
  <c r="V337" i="49"/>
  <c r="W337" i="49"/>
  <c r="U337" i="49"/>
  <c r="Y25" i="45"/>
  <c r="Z321" i="45"/>
  <c r="Z25" i="45" s="1"/>
  <c r="U386" i="48"/>
  <c r="S386" i="48"/>
  <c r="T386" i="48"/>
  <c r="F230" i="35"/>
  <c r="F231" i="35" s="1"/>
  <c r="G390" i="48"/>
  <c r="G389" i="48"/>
  <c r="S102" i="42"/>
  <c r="R102" i="42"/>
  <c r="Q102" i="42"/>
  <c r="U102" i="42" s="1"/>
  <c r="T102" i="42"/>
  <c r="V228" i="35"/>
  <c r="X228" i="35"/>
  <c r="W228" i="35"/>
  <c r="W227" i="35"/>
  <c r="C229" i="35"/>
  <c r="V227" i="35"/>
  <c r="V386" i="48" l="1"/>
  <c r="Y386" i="48"/>
  <c r="X386" i="48"/>
  <c r="W386" i="48"/>
  <c r="R230" i="35"/>
  <c r="AA386" i="48"/>
  <c r="V387" i="48"/>
  <c r="Y387" i="48"/>
  <c r="W387" i="48"/>
  <c r="X387" i="48"/>
  <c r="AA387" i="48"/>
  <c r="R232" i="35" l="1"/>
  <c r="R231" i="35"/>
</calcChain>
</file>

<file path=xl/sharedStrings.xml><?xml version="1.0" encoding="utf-8"?>
<sst xmlns="http://schemas.openxmlformats.org/spreadsheetml/2006/main" count="5878" uniqueCount="3516">
  <si>
    <t>(Em 1000 Cfa)</t>
  </si>
  <si>
    <t>03 01 12</t>
  </si>
  <si>
    <t xml:space="preserve">      - Serviço Agricola e Pecuária</t>
  </si>
  <si>
    <t xml:space="preserve">           . Rendimento de Veterinária</t>
  </si>
  <si>
    <t xml:space="preserve">           . Outros Rendimentos</t>
  </si>
  <si>
    <t xml:space="preserve">      - Taxas e Multas Diversas</t>
  </si>
  <si>
    <t xml:space="preserve">      - Juros de Mora</t>
  </si>
  <si>
    <t xml:space="preserve">      - Taxas Diversas</t>
  </si>
  <si>
    <t xml:space="preserve">      - Multas Diversas</t>
  </si>
  <si>
    <t xml:space="preserve">      - Outros Rendimentos Custas</t>
  </si>
  <si>
    <t xml:space="preserve">      - Multas Codigo de Estrada</t>
  </si>
  <si>
    <t xml:space="preserve">      - Multas Contribuições Impostos</t>
  </si>
  <si>
    <t xml:space="preserve">      - Taxa de Relaxe</t>
  </si>
  <si>
    <t>OUTROS</t>
  </si>
  <si>
    <t>04 00 00</t>
  </si>
  <si>
    <t xml:space="preserve">      - Rendimento de Propriedade</t>
  </si>
  <si>
    <t xml:space="preserve">      - Transferencias</t>
  </si>
  <si>
    <t xml:space="preserve">      - Encargo C/ Assistencia</t>
  </si>
  <si>
    <t>04 01 01</t>
  </si>
  <si>
    <t xml:space="preserve">      - Sector Público</t>
  </si>
  <si>
    <t xml:space="preserve">           . Compensação de Aposentação</t>
  </si>
  <si>
    <t xml:space="preserve">           . Dir. Nac. V. T. Terrestre</t>
  </si>
  <si>
    <t>03 01 11</t>
  </si>
  <si>
    <t xml:space="preserve">           . Serviços de Educação Nacional</t>
  </si>
  <si>
    <t xml:space="preserve">      - Isenções</t>
  </si>
  <si>
    <t>05 02 02</t>
  </si>
  <si>
    <t xml:space="preserve">      - Fundos Autónomos</t>
  </si>
  <si>
    <t xml:space="preserve">              . Fundo Rodoviário</t>
  </si>
  <si>
    <t xml:space="preserve">              . Fundo de Turismo</t>
  </si>
  <si>
    <t xml:space="preserve">              . Fundo Florestal</t>
  </si>
  <si>
    <t>06 04 01</t>
  </si>
  <si>
    <t xml:space="preserve">              . Rendimento de Pesca</t>
  </si>
  <si>
    <t>06 02 00</t>
  </si>
  <si>
    <t xml:space="preserve">      - Venda de Serv. E B. N. Duradouros</t>
  </si>
  <si>
    <t>09 00 00</t>
  </si>
  <si>
    <t>Japao</t>
  </si>
  <si>
    <t>Espanha</t>
  </si>
  <si>
    <t xml:space="preserve">      - Outras Receitas Correntes</t>
  </si>
  <si>
    <t>07 00 00</t>
  </si>
  <si>
    <t xml:space="preserve">      - Vendas de Bens de Investimentos</t>
  </si>
  <si>
    <t xml:space="preserve">      - Participação em Multas</t>
  </si>
  <si>
    <t xml:space="preserve">      - Reposição</t>
  </si>
  <si>
    <t>TOTAL DAS RECEITAS NÃO TRIBUTARIA</t>
  </si>
  <si>
    <t>RECEITAS TOTAL DO MES</t>
  </si>
  <si>
    <t>mobilisations de crédits d'ajustement</t>
  </si>
  <si>
    <t>Décaissem. Janvier</t>
  </si>
  <si>
    <t>Décaissem. Février</t>
  </si>
  <si>
    <t>Décaissem. Mars</t>
  </si>
  <si>
    <t>Décaissem. Avril</t>
  </si>
  <si>
    <t>Décaissem. Mai</t>
  </si>
  <si>
    <t>Décaissem. Juin</t>
  </si>
  <si>
    <t>Décaissem. Juillet</t>
  </si>
  <si>
    <t>Décaissem. Aout</t>
  </si>
  <si>
    <t>Décaissem. Septembre</t>
  </si>
  <si>
    <t>Décaissem. Octobre</t>
  </si>
  <si>
    <t>Décaissem. Novembre</t>
  </si>
  <si>
    <t>Décaissem. Décembre</t>
  </si>
  <si>
    <t>Observations</t>
  </si>
  <si>
    <t>Prêts</t>
  </si>
  <si>
    <t xml:space="preserve">   FCRP</t>
  </si>
  <si>
    <t>Banque Mondiale</t>
  </si>
  <si>
    <t xml:space="preserve">   CASRP</t>
  </si>
  <si>
    <t>BAD/FAD</t>
  </si>
  <si>
    <t>Sous Total hors FMI</t>
  </si>
  <si>
    <t>Dons</t>
  </si>
  <si>
    <t>Union Européenne</t>
  </si>
  <si>
    <t xml:space="preserve">France </t>
  </si>
  <si>
    <t>Japon</t>
  </si>
  <si>
    <t>Pays-Bas</t>
  </si>
  <si>
    <t>Suède</t>
  </si>
  <si>
    <t>Besoins de Fiancements Extérieurs (Gap de</t>
  </si>
  <si>
    <t xml:space="preserve"> Financement du TOFE) y c FMI</t>
  </si>
  <si>
    <t>Besoin de financement résiduel</t>
  </si>
  <si>
    <t>En millions de F/CFA</t>
  </si>
  <si>
    <t xml:space="preserve"> (Situations cumulées)</t>
  </si>
  <si>
    <t>Prévision faite en décembre 2000</t>
  </si>
  <si>
    <t>BIRD</t>
  </si>
  <si>
    <t>France</t>
  </si>
  <si>
    <t>UNICEF</t>
  </si>
  <si>
    <t>Prévisions et réalisations  des aides programmes</t>
  </si>
  <si>
    <t>Prévision Loi de Finances pour l'année 2004</t>
  </si>
  <si>
    <t>Total (DGCOOP+décaissements directs)</t>
  </si>
  <si>
    <t>Bailleurs</t>
  </si>
  <si>
    <t>Code</t>
  </si>
  <si>
    <t>Sigle</t>
  </si>
  <si>
    <t xml:space="preserve">Informations  </t>
  </si>
  <si>
    <t>Prév. Budg Révisé.</t>
  </si>
  <si>
    <t>Total Réalisations Janvier à décembre</t>
  </si>
  <si>
    <t>Taux de réali./Progr</t>
  </si>
  <si>
    <t>SAOUD-FDS</t>
  </si>
  <si>
    <t>Arabie Saoudite - FDS</t>
  </si>
  <si>
    <t>KOWEIT-FK</t>
  </si>
  <si>
    <t>ABU DABY</t>
  </si>
  <si>
    <t>Banque Européenne d'Investissement</t>
  </si>
  <si>
    <t>FRANCE-CFD</t>
  </si>
  <si>
    <t>FRANCE-AFD</t>
  </si>
  <si>
    <t>Espagne</t>
  </si>
  <si>
    <t>Assoc. Internationale de Dével. (IDA)</t>
  </si>
  <si>
    <t>Fonds Africain de Développement</t>
  </si>
  <si>
    <t>CHINE-TAIW</t>
  </si>
  <si>
    <t>Maroc</t>
  </si>
  <si>
    <t>Gouvernement Marocain</t>
  </si>
  <si>
    <t>FAT/BAD</t>
  </si>
  <si>
    <t>AMINA/BAD</t>
  </si>
  <si>
    <t>ACDI</t>
  </si>
  <si>
    <t>CATHWELL</t>
  </si>
  <si>
    <t>Pop, Coun</t>
  </si>
  <si>
    <t>FED</t>
  </si>
  <si>
    <t>Fonds Européen de Développement</t>
  </si>
  <si>
    <t>FRANCE-FAC</t>
  </si>
  <si>
    <t xml:space="preserve">  -  Internos</t>
  </si>
  <si>
    <t>FRANCE-CFD/Sub</t>
  </si>
  <si>
    <t>ITALIE</t>
  </si>
  <si>
    <t>PAYS BAS</t>
  </si>
  <si>
    <t>DANIDA</t>
  </si>
  <si>
    <t>Danemark/DANIDA</t>
  </si>
  <si>
    <t>RFA-KFW</t>
  </si>
  <si>
    <t>RFA-GTZ</t>
  </si>
  <si>
    <t>SUISSE</t>
  </si>
  <si>
    <t>NORVEGE</t>
  </si>
  <si>
    <t>BELGIQUE</t>
  </si>
  <si>
    <t>Autriche</t>
  </si>
  <si>
    <t>PNUD</t>
  </si>
  <si>
    <t>FNUAP</t>
  </si>
  <si>
    <t>PAM</t>
  </si>
  <si>
    <t>ONUSIDA</t>
  </si>
  <si>
    <t>FENU</t>
  </si>
  <si>
    <t>O.M.S.</t>
  </si>
  <si>
    <t>Organisation Mondiale de la Santé</t>
  </si>
  <si>
    <t>F.M.E.</t>
  </si>
  <si>
    <t>Fond de l'Environnement Mondial</t>
  </si>
  <si>
    <t>FAO</t>
  </si>
  <si>
    <t>SUEDE</t>
  </si>
  <si>
    <t xml:space="preserve">CHINE   </t>
  </si>
  <si>
    <t>Gambia</t>
  </si>
  <si>
    <t>Angola</t>
  </si>
  <si>
    <t>Portugal</t>
  </si>
  <si>
    <t>Ghana</t>
  </si>
  <si>
    <t>Encours des instances de paiements de l'Etat
Toutes dépenses confondues
en millions de FCFA</t>
  </si>
  <si>
    <t>Variations des Arrieres de l'Etat
en millions de FCFA</t>
  </si>
  <si>
    <t xml:space="preserve">                - Multilatérale</t>
  </si>
  <si>
    <t>Fundo Activ.Petrolífera</t>
  </si>
  <si>
    <t>Total Licença Telemoveis</t>
  </si>
  <si>
    <t xml:space="preserve">                - Bilatérale reéchelonnée</t>
  </si>
  <si>
    <t xml:space="preserve">                            Club de Paris</t>
  </si>
  <si>
    <t xml:space="preserve">                            Autres</t>
  </si>
  <si>
    <t>Arrirérés Tofe</t>
  </si>
  <si>
    <t>Arriérés intérieur de dépenses (hors dépenses non mandatées)</t>
  </si>
  <si>
    <t>Variations</t>
  </si>
  <si>
    <t>dont réchelonnée</t>
  </si>
  <si>
    <t xml:space="preserve">            intérets</t>
  </si>
  <si>
    <t xml:space="preserve">            principal</t>
  </si>
  <si>
    <t>dont réchelonnable</t>
  </si>
  <si>
    <t>Variations cumulées des instances de paiements
 de la dette (en millions de F/CFA)</t>
  </si>
  <si>
    <t>%PIB</t>
  </si>
  <si>
    <t>Venda de bens duradouros</t>
  </si>
  <si>
    <t>TOTAL DES CREANCES</t>
  </si>
  <si>
    <t xml:space="preserve">   a - Salaires et traitement</t>
  </si>
  <si>
    <t xml:space="preserve">   b - Biens et Services</t>
  </si>
  <si>
    <t xml:space="preserve">   c - Transferts courants</t>
  </si>
  <si>
    <t xml:space="preserve">  d - Arriérés sur les intérêts de la dette</t>
  </si>
  <si>
    <t xml:space="preserve">       d1 - Dette publique interieure</t>
  </si>
  <si>
    <t xml:space="preserve">       d2 - Dette publique exterieure</t>
  </si>
  <si>
    <t xml:space="preserve">   e - Arrieres sur depenses d'investissement</t>
  </si>
  <si>
    <t xml:space="preserve">     f1 - Arrierés sur principal de la dette intérieure (DDP)</t>
  </si>
  <si>
    <t xml:space="preserve">                - Bilatérale </t>
  </si>
  <si>
    <t xml:space="preserve">Total arriérés </t>
  </si>
  <si>
    <t>Arieres internes</t>
  </si>
  <si>
    <t>Emprunts</t>
  </si>
  <si>
    <t>UE/FED</t>
  </si>
  <si>
    <t>COGB</t>
  </si>
  <si>
    <t>cooperation francaise</t>
  </si>
  <si>
    <t>Rep. Chine</t>
  </si>
  <si>
    <t>Solidarite UEMOA</t>
  </si>
  <si>
    <t>Arrieres sur exercices 2003</t>
  </si>
  <si>
    <t>Arrieres sur exercices anterieurs(2000, 2001, et 2002)</t>
  </si>
  <si>
    <t xml:space="preserve">   f - Arrieres principal dette publique </t>
  </si>
  <si>
    <t xml:space="preserve">     f1 - Arrierés sur principal de la dette intérieure </t>
  </si>
  <si>
    <t xml:space="preserve">     f2 - Arrieres principal dette ext. </t>
  </si>
  <si>
    <t xml:space="preserve">                - Bilatérale non reéchelonnée</t>
  </si>
  <si>
    <t xml:space="preserve">I - Arriérés sur année courante </t>
  </si>
  <si>
    <t xml:space="preserve">                - Bilatérale non reéchelonnée </t>
  </si>
  <si>
    <t>Ajustamentos base caixa</t>
  </si>
  <si>
    <t>Saldo global (base caixa)</t>
  </si>
  <si>
    <t>Financiamento</t>
  </si>
  <si>
    <t>Sobre financiamento interno</t>
  </si>
  <si>
    <t>Receitas e donativos</t>
  </si>
  <si>
    <t>Donativos</t>
  </si>
  <si>
    <t>Projectos</t>
  </si>
  <si>
    <t>Despesas correntes</t>
  </si>
  <si>
    <t>Despesas de capital</t>
  </si>
  <si>
    <t>Abono de familia(-)</t>
  </si>
  <si>
    <t>Variation</t>
  </si>
  <si>
    <t>Arrieres sur exercices  2001</t>
  </si>
  <si>
    <t>Arrieres sur exercices  2004</t>
  </si>
  <si>
    <t>Arrieres sur exercices  2005</t>
  </si>
  <si>
    <t>Janvier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</si>
  <si>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</si>
  <si>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</si>
  <si>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</si>
  <si>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</si>
  <si>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</si>
  <si>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</si>
  <si>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</si>
  <si>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</si>
  <si>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</si>
  <si>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</si>
  <si>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Programme</t>
  </si>
  <si>
    <t>Total</t>
  </si>
  <si>
    <t>CEDEAO</t>
  </si>
  <si>
    <t>Transferts courants</t>
  </si>
  <si>
    <t>Charges de la dette publique</t>
  </si>
  <si>
    <t xml:space="preserve">     Intérieur</t>
  </si>
  <si>
    <t xml:space="preserve">     Extérieur</t>
  </si>
  <si>
    <t>Dépenses de personnel</t>
  </si>
  <si>
    <t xml:space="preserve">        Dette intérieure</t>
  </si>
  <si>
    <t xml:space="preserve">        Dette extérieure (hors FMI)</t>
  </si>
  <si>
    <t>Equipement, transferts en capital</t>
  </si>
  <si>
    <t>Total hors projets sur financement extérieur</t>
  </si>
  <si>
    <t>Rubriques</t>
  </si>
  <si>
    <t>Dota. budget</t>
  </si>
  <si>
    <t>Février</t>
  </si>
  <si>
    <t>Aout</t>
  </si>
  <si>
    <t>Créanciers</t>
  </si>
  <si>
    <t>FMI</t>
  </si>
  <si>
    <t>Prêts Extérieurs (Hors FMI)</t>
  </si>
  <si>
    <t>Prêts Multilatéraux</t>
  </si>
  <si>
    <t>AID</t>
  </si>
  <si>
    <t>FIDA</t>
  </si>
  <si>
    <t>BOAD</t>
  </si>
  <si>
    <t>BID</t>
  </si>
  <si>
    <t>OPEP</t>
  </si>
  <si>
    <t>BADEA</t>
  </si>
  <si>
    <t>FEGECE</t>
  </si>
  <si>
    <t>Fonds CEDEAO</t>
  </si>
  <si>
    <t>Fonds Fiduciaire</t>
  </si>
  <si>
    <t>Fonds Pétrolier Arabe</t>
  </si>
  <si>
    <t xml:space="preserve">Prévisions </t>
  </si>
  <si>
    <t>2eme trimestre</t>
  </si>
  <si>
    <t>3eme trimestre</t>
  </si>
  <si>
    <t>4eme trimestre</t>
  </si>
  <si>
    <t>FAD</t>
  </si>
  <si>
    <t>BAD</t>
  </si>
  <si>
    <t>BEI</t>
  </si>
  <si>
    <t>Prêts Bilatéraux</t>
  </si>
  <si>
    <t>Non reéchelonnés</t>
  </si>
  <si>
    <t xml:space="preserve">       Arabie Saoudite</t>
  </si>
  <si>
    <t xml:space="preserve">       Koweit</t>
  </si>
  <si>
    <t xml:space="preserve">       Algérie</t>
  </si>
  <si>
    <t>Reéchelonnés</t>
  </si>
  <si>
    <t>Club de Paris</t>
  </si>
  <si>
    <t>Autres</t>
  </si>
  <si>
    <t xml:space="preserve">   Arabie Saoudite</t>
  </si>
  <si>
    <t xml:space="preserve">   Algérie</t>
  </si>
  <si>
    <t xml:space="preserve">   Libye</t>
  </si>
  <si>
    <t xml:space="preserve">   Russie</t>
  </si>
  <si>
    <t xml:space="preserve">PRINCIPAL DE LA DETTE EXTERIEURE </t>
  </si>
  <si>
    <t>Janv</t>
  </si>
  <si>
    <t>Févr</t>
  </si>
  <si>
    <t>Intérêts dus</t>
  </si>
  <si>
    <t>Amortissement du</t>
  </si>
  <si>
    <t>Jan</t>
  </si>
  <si>
    <t>Feb</t>
  </si>
  <si>
    <t>Mar</t>
  </si>
  <si>
    <t>Apr</t>
  </si>
  <si>
    <t>Arrieres sur exercices  2006</t>
  </si>
  <si>
    <t>May</t>
  </si>
  <si>
    <t>Jun</t>
  </si>
  <si>
    <t>Jul</t>
  </si>
  <si>
    <t>Aug</t>
  </si>
  <si>
    <t>Sep</t>
  </si>
  <si>
    <t>Oct</t>
  </si>
  <si>
    <t>Nov</t>
  </si>
  <si>
    <t>Dec</t>
  </si>
  <si>
    <t>I</t>
  </si>
  <si>
    <t>Outros</t>
  </si>
  <si>
    <t>Imposto profissional</t>
  </si>
  <si>
    <t>Imposto complementar</t>
  </si>
  <si>
    <t>Outros impostos directos</t>
  </si>
  <si>
    <t>Imposto extraordinario/castanha caju</t>
  </si>
  <si>
    <t>Bens importados</t>
  </si>
  <si>
    <t>Outros impostos indirectos</t>
  </si>
  <si>
    <t>Imposto para a democracia</t>
  </si>
  <si>
    <t>II</t>
  </si>
  <si>
    <t>Taxas</t>
  </si>
  <si>
    <t>BCEAO</t>
  </si>
  <si>
    <t>Transferencias</t>
  </si>
  <si>
    <t>ORÇAMENTO GERAL DO ESTADO PARA 2010</t>
  </si>
  <si>
    <t>Fundos autonomos</t>
  </si>
  <si>
    <t>Exterior</t>
  </si>
  <si>
    <t>RUBR.DE COBRANÇA</t>
  </si>
  <si>
    <t>Soma</t>
  </si>
  <si>
    <t>Observação</t>
  </si>
  <si>
    <t>Taxa de Execu</t>
  </si>
  <si>
    <t>DESIGNAÇÃO</t>
  </si>
  <si>
    <t>Acumulada</t>
  </si>
  <si>
    <t>ção em %</t>
  </si>
  <si>
    <t>...s/Combust.</t>
  </si>
  <si>
    <t>...s/Arroz</t>
  </si>
  <si>
    <t>...s/Outras</t>
  </si>
  <si>
    <t>Export. Cajú</t>
  </si>
  <si>
    <t>I.G.V.:</t>
  </si>
  <si>
    <t>I.E.Consumo:</t>
  </si>
  <si>
    <t>Direito Importação</t>
  </si>
  <si>
    <t>I.E.Consumo</t>
  </si>
  <si>
    <t>IGV</t>
  </si>
  <si>
    <t>Multa (Estado)</t>
  </si>
  <si>
    <t>Venda Impressos</t>
  </si>
  <si>
    <t>Armazenagem</t>
  </si>
  <si>
    <t>Taxa Forfaitaire</t>
  </si>
  <si>
    <t>T.Tráfego</t>
  </si>
  <si>
    <t>T.Selagem</t>
  </si>
  <si>
    <t>DI</t>
  </si>
  <si>
    <t>IC(IEC)</t>
  </si>
  <si>
    <t>3% ACI</t>
  </si>
  <si>
    <t>Taxa Informática</t>
  </si>
  <si>
    <t>Emol.Pessoais</t>
  </si>
  <si>
    <t>Deslocações</t>
  </si>
  <si>
    <t>TOTAL GERAL</t>
  </si>
  <si>
    <t xml:space="preserve"> </t>
  </si>
  <si>
    <t>DIRECÇÃO GERAL DAS CONTRIBUIÇÕES E IMPOSTOS</t>
  </si>
  <si>
    <t>CLASSIFICAÇÃO</t>
  </si>
  <si>
    <t>TOTAL</t>
  </si>
  <si>
    <t>Prog.</t>
  </si>
  <si>
    <t>01 01 00</t>
  </si>
  <si>
    <t>IMPOSTO SOBRE O RENDIMENTO</t>
  </si>
  <si>
    <t>01 01 01</t>
  </si>
  <si>
    <t xml:space="preserve">       Contribuição Industrial</t>
  </si>
  <si>
    <t xml:space="preserve">               - Grupo A</t>
  </si>
  <si>
    <t xml:space="preserve">               - Grupo B</t>
  </si>
  <si>
    <t xml:space="preserve">               - Transporte</t>
  </si>
  <si>
    <t xml:space="preserve">               - (3%) Retidos na DGA</t>
  </si>
  <si>
    <t>01 01 02</t>
  </si>
  <si>
    <t xml:space="preserve">       Contribuição Predial</t>
  </si>
  <si>
    <t xml:space="preserve">               - Urbana</t>
  </si>
  <si>
    <t xml:space="preserve">               - Rústica</t>
  </si>
  <si>
    <t>01 01 03</t>
  </si>
  <si>
    <t xml:space="preserve">       Imposto Profissional</t>
  </si>
  <si>
    <t xml:space="preserve">               - Sector Público</t>
  </si>
  <si>
    <t xml:space="preserve">               - Sector Privado</t>
  </si>
  <si>
    <t>01 01 04</t>
  </si>
  <si>
    <t>01 02 01</t>
  </si>
  <si>
    <t xml:space="preserve">       Imposto de Capital</t>
  </si>
  <si>
    <t>01 02 02</t>
  </si>
  <si>
    <t>IMPOSTO SOBRE PROPRIEDADE</t>
  </si>
  <si>
    <t xml:space="preserve">       Sisa</t>
  </si>
  <si>
    <t xml:space="preserve">       Sucessões e Doações</t>
  </si>
  <si>
    <t xml:space="preserve">       Transações</t>
  </si>
  <si>
    <t>02 02 00</t>
  </si>
  <si>
    <t>IMPOSTO GERAL S/VENDA IGV</t>
  </si>
  <si>
    <t>02 02 03</t>
  </si>
  <si>
    <t xml:space="preserve">       Produção Local</t>
  </si>
  <si>
    <t>02 02 05</t>
  </si>
  <si>
    <t xml:space="preserve">               - Cerveja e Refrigerantes</t>
  </si>
  <si>
    <t>02 02 04</t>
  </si>
  <si>
    <t xml:space="preserve">               - Aguardente</t>
  </si>
  <si>
    <t xml:space="preserve">               - Cerâmica</t>
  </si>
  <si>
    <t xml:space="preserve">               - Outros</t>
  </si>
  <si>
    <t xml:space="preserve">      Combustíveis</t>
  </si>
  <si>
    <t xml:space="preserve">               - Gasolina</t>
  </si>
  <si>
    <t xml:space="preserve">               - Gasóleo</t>
  </si>
  <si>
    <t xml:space="preserve">     Arroz</t>
  </si>
  <si>
    <t xml:space="preserve">     Outros</t>
  </si>
  <si>
    <t>Paiement des Frais</t>
  </si>
  <si>
    <t>Paiement des commissions</t>
  </si>
  <si>
    <t>IMPOS.ESPECI. S/CONSUMO IEC</t>
  </si>
  <si>
    <t xml:space="preserve">              - Cervejas e Refrigerantes</t>
  </si>
  <si>
    <t xml:space="preserve">              - Aguardentes</t>
  </si>
  <si>
    <t>02 03 00</t>
  </si>
  <si>
    <t>OUTRAS RECEIT. TRIBUTARIAS</t>
  </si>
  <si>
    <t>02 03 01</t>
  </si>
  <si>
    <t xml:space="preserve">      Selo e Estampilhas</t>
  </si>
  <si>
    <t xml:space="preserve">               - Selo de Assistência</t>
  </si>
  <si>
    <t xml:space="preserve">               - Papel Selado</t>
  </si>
  <si>
    <t xml:space="preserve">               - Estampilhas Fiscais</t>
  </si>
  <si>
    <t xml:space="preserve">               - Letras Seladas e Impressão</t>
  </si>
  <si>
    <t xml:space="preserve">               - Selo de Verba</t>
  </si>
  <si>
    <t xml:space="preserve">               - Selos Diversos</t>
  </si>
  <si>
    <t xml:space="preserve">               - Selo de Cheque</t>
  </si>
  <si>
    <t xml:space="preserve">               - Selo de Reconstrução Nacional</t>
  </si>
  <si>
    <t xml:space="preserve">               - Selo Recibo</t>
  </si>
  <si>
    <t>TOTAL DAS RECEIT. TRIBUTAR.</t>
  </si>
  <si>
    <t>03 00 00</t>
  </si>
  <si>
    <t>MULTAS E OUTRAS PENALIDADES</t>
  </si>
  <si>
    <t xml:space="preserve">      - Serviços Judiciais e dos Registos</t>
  </si>
  <si>
    <t xml:space="preserve">           . Rendimento dos Serv. Civil</t>
  </si>
  <si>
    <t>TOTAL Rend Diversos-juros BCEAO</t>
  </si>
  <si>
    <t xml:space="preserve">           . Imposto de Justiça</t>
  </si>
  <si>
    <t xml:space="preserve">           . Emolumento dos Registos</t>
  </si>
  <si>
    <t xml:space="preserve">           . Serviços de Identificação Civil</t>
  </si>
  <si>
    <t xml:space="preserve">           . Concervatoria do Registo Predial</t>
  </si>
  <si>
    <t xml:space="preserve">           . Outros Serviços</t>
  </si>
  <si>
    <t>REPÚBLICA DA GUINÉ-BISSAU</t>
  </si>
  <si>
    <t>Unidade, Luta e Progresso</t>
  </si>
  <si>
    <t xml:space="preserve">P.I.B  &gt;   </t>
  </si>
  <si>
    <t>N.º Ordem</t>
  </si>
  <si>
    <t>Designação</t>
  </si>
  <si>
    <t>Désignation</t>
  </si>
  <si>
    <t xml:space="preserve">TOFE </t>
  </si>
  <si>
    <t xml:space="preserve">Grau de Execução Em % </t>
  </si>
  <si>
    <t>Em % do PIB</t>
  </si>
  <si>
    <t>Previsional</t>
  </si>
  <si>
    <t>1</t>
  </si>
  <si>
    <t>Recettes et dons</t>
  </si>
  <si>
    <t>1.1</t>
  </si>
  <si>
    <t>Receitas ordinárias</t>
  </si>
  <si>
    <t>Recettes ordinaires</t>
  </si>
  <si>
    <t>1.1.1</t>
  </si>
  <si>
    <t>Receitas tributárias</t>
  </si>
  <si>
    <t>Recettes fiscales</t>
  </si>
  <si>
    <t>1.1.1.1</t>
  </si>
  <si>
    <t xml:space="preserve">    Imposto sobre o rendimento</t>
  </si>
  <si>
    <t xml:space="preserve">   Impôt sur les revenus</t>
  </si>
  <si>
    <t>+</t>
  </si>
  <si>
    <t>1.1.1.2</t>
  </si>
  <si>
    <t xml:space="preserve">    Imposto sobre a propriedade</t>
  </si>
  <si>
    <t xml:space="preserve">   Impôt sur la propriété</t>
  </si>
  <si>
    <t>1.1.1.3</t>
  </si>
  <si>
    <t xml:space="preserve">    Imposto sobre o consumo</t>
  </si>
  <si>
    <t xml:space="preserve">   Impôt sur la consommation</t>
  </si>
  <si>
    <t>1.1.1.4</t>
  </si>
  <si>
    <t xml:space="preserve">    Imposto sobre o comércio internacional</t>
  </si>
  <si>
    <t xml:space="preserve">   Impôt sur le commerce international</t>
  </si>
  <si>
    <t>1.1.1.5</t>
  </si>
  <si>
    <t xml:space="preserve">    Outras receitas tributárias</t>
  </si>
  <si>
    <t xml:space="preserve">   Autres recettes fiscales</t>
  </si>
  <si>
    <t>1.1.2</t>
  </si>
  <si>
    <t>Receitas não tributárias</t>
  </si>
  <si>
    <t>Recettes non fiscales</t>
  </si>
  <si>
    <t>1.1.2.1</t>
  </si>
  <si>
    <t xml:space="preserve">    Rendimentos da propriedade</t>
  </si>
  <si>
    <t xml:space="preserve">   Revenus du patrimoine</t>
  </si>
  <si>
    <t>1.1.2.2</t>
  </si>
  <si>
    <t xml:space="preserve">    Taxas</t>
  </si>
  <si>
    <t xml:space="preserve">   Taxes</t>
  </si>
  <si>
    <t xml:space="preserve">      - sector das pescas</t>
  </si>
  <si>
    <t xml:space="preserve">      - secteur des pêches</t>
  </si>
  <si>
    <t xml:space="preserve">      - outras taxas</t>
  </si>
  <si>
    <t xml:space="preserve">      - autres taxes</t>
  </si>
  <si>
    <t>1.1.2.3</t>
  </si>
  <si>
    <t xml:space="preserve">    Transferências </t>
  </si>
  <si>
    <t xml:space="preserve">   Transferts (fonds autonomes inclus)</t>
  </si>
  <si>
    <t>1.1.2.4</t>
  </si>
  <si>
    <t xml:space="preserve">   Venda de bens e serviços</t>
  </si>
  <si>
    <t xml:space="preserve">   Vente de biens et de services</t>
  </si>
  <si>
    <t>1.1.2.5</t>
  </si>
  <si>
    <t>Fundo Mineração</t>
  </si>
  <si>
    <t xml:space="preserve">   Outras receitas não tributárias</t>
  </si>
  <si>
    <t xml:space="preserve">   Autres recettes non fiscales</t>
  </si>
  <si>
    <t>1.1.4</t>
  </si>
  <si>
    <t>Receitas das contas especiais</t>
  </si>
  <si>
    <t>Recettes des comptes spéciaux du Trésor</t>
  </si>
  <si>
    <t>1.1.5</t>
  </si>
  <si>
    <t>Receitas dos organismos autónomos (fundos, serviços, etc)</t>
  </si>
  <si>
    <t>Recettes des organismes autonomes</t>
  </si>
  <si>
    <t>1.1.6</t>
  </si>
  <si>
    <t>Outras receitas não classificadas</t>
  </si>
  <si>
    <t>Autres recettes non classées</t>
  </si>
  <si>
    <t>1.1.7</t>
  </si>
  <si>
    <t>Receitas Extraordinárias</t>
  </si>
  <si>
    <t>Recettes à imputer</t>
  </si>
  <si>
    <t>1.2</t>
  </si>
  <si>
    <t>1.2.1</t>
  </si>
  <si>
    <t>Donativos internos</t>
  </si>
  <si>
    <t>1.2.1.1</t>
  </si>
  <si>
    <t xml:space="preserve">   Donativos a projectos</t>
  </si>
  <si>
    <t>1.2.1.2</t>
  </si>
  <si>
    <t xml:space="preserve">   Donativos a programas</t>
  </si>
  <si>
    <t>1.2.2</t>
  </si>
  <si>
    <t>Donativos externos</t>
  </si>
  <si>
    <t>1.2.2.1</t>
  </si>
  <si>
    <t xml:space="preserve">   Dons à projets</t>
  </si>
  <si>
    <t>1.2.2.2</t>
  </si>
  <si>
    <t xml:space="preserve">   Donativos a balança de pagamentos (Orçamento)</t>
  </si>
  <si>
    <t xml:space="preserve">   Dons à la balance des paiements</t>
  </si>
  <si>
    <t>1.2.2.3</t>
  </si>
  <si>
    <t xml:space="preserve">   Ajuda alimentar</t>
  </si>
  <si>
    <t xml:space="preserve">   Aide alimentaire</t>
  </si>
  <si>
    <t>2</t>
  </si>
  <si>
    <t>Despesas e empréstimos líquidos</t>
  </si>
  <si>
    <t>Dépenses et prêts nets</t>
  </si>
  <si>
    <t>2.1</t>
  </si>
  <si>
    <t>Despesas totais</t>
  </si>
  <si>
    <t xml:space="preserve">                 </t>
  </si>
  <si>
    <t>CBAO</t>
  </si>
  <si>
    <t>Dakar/UBS</t>
  </si>
  <si>
    <t>Dépenses totales</t>
  </si>
  <si>
    <t>2.1.1</t>
  </si>
  <si>
    <t>Dépenses ordinaires</t>
  </si>
  <si>
    <t>2.1.1.1</t>
  </si>
  <si>
    <t>BCEAO/UEMOA</t>
  </si>
  <si>
    <t>Crédito Consol. Ex-BCG</t>
  </si>
  <si>
    <t xml:space="preserve">   Salários e ordenados</t>
  </si>
  <si>
    <t xml:space="preserve">   Traitements et indemnités</t>
  </si>
  <si>
    <t>2.1.1.2</t>
  </si>
  <si>
    <t xml:space="preserve">   Outras despesas de funcionamento (Bens e serviços)</t>
  </si>
  <si>
    <t xml:space="preserve">    Biens e services</t>
  </si>
  <si>
    <t>2.1.1.3</t>
  </si>
  <si>
    <t xml:space="preserve">   Transferências</t>
  </si>
  <si>
    <t xml:space="preserve">    Transferts</t>
  </si>
  <si>
    <t xml:space="preserve">     -  Licenciamentos</t>
  </si>
  <si>
    <t xml:space="preserve">      - dont licenciements</t>
  </si>
  <si>
    <t>2.1.1.4</t>
  </si>
  <si>
    <t xml:space="preserve">   Outras despesas correntes</t>
  </si>
  <si>
    <t xml:space="preserve">    Autres dépenses ordinaires</t>
  </si>
  <si>
    <t>2.1.1.5</t>
  </si>
  <si>
    <t xml:space="preserve">   Juros correntes</t>
  </si>
  <si>
    <t xml:space="preserve">   Intérêts courants</t>
  </si>
  <si>
    <t xml:space="preserve">     -  Externos </t>
  </si>
  <si>
    <t>Autres(japao)</t>
  </si>
  <si>
    <t xml:space="preserve">      - sur dette externe (avant rééchelonnement)</t>
  </si>
  <si>
    <t xml:space="preserve">     -  Internos</t>
  </si>
  <si>
    <t xml:space="preserve">      - sur dette interne</t>
  </si>
  <si>
    <t>2.1.2</t>
  </si>
  <si>
    <t>Dépenses de capital</t>
  </si>
  <si>
    <t>2.1.2.1</t>
  </si>
  <si>
    <t xml:space="preserve">    - sobre financiamento externo</t>
  </si>
  <si>
    <t xml:space="preserve">      - sur financements externes</t>
  </si>
  <si>
    <t>2.1.2.2</t>
  </si>
  <si>
    <t xml:space="preserve">    - sobre financiamento interno</t>
  </si>
  <si>
    <t xml:space="preserve">      - sur financement interne</t>
  </si>
  <si>
    <t>2.1.3</t>
  </si>
  <si>
    <t>Despesas das contas especiais</t>
  </si>
  <si>
    <t xml:space="preserve">Dépenses des comptes spéciaux </t>
  </si>
  <si>
    <t>2.1.4</t>
  </si>
  <si>
    <t>Despesas dos organismos autónomos</t>
  </si>
  <si>
    <t>Dépenses des organismes autonomes</t>
  </si>
  <si>
    <t>2.1.5</t>
  </si>
  <si>
    <t>Despesas não tituladas</t>
  </si>
  <si>
    <t>Dépenses à régulariser</t>
  </si>
  <si>
    <t>2.2</t>
  </si>
  <si>
    <t>Empréstimos líquidos</t>
  </si>
  <si>
    <t>Prêts nets</t>
  </si>
  <si>
    <t>2.2.1</t>
  </si>
  <si>
    <t xml:space="preserve">   - Desembolsos de empréstimos </t>
  </si>
  <si>
    <t xml:space="preserve">   - prêts rétrocédés</t>
  </si>
  <si>
    <t>2.2.2</t>
  </si>
  <si>
    <t xml:space="preserve">    - fonds en route</t>
  </si>
  <si>
    <t xml:space="preserve">    - ano 2006</t>
  </si>
  <si>
    <t xml:space="preserve">    - ano 2007</t>
  </si>
  <si>
    <t xml:space="preserve">   - Amortizações dos empréstimos</t>
  </si>
  <si>
    <t xml:space="preserve">   - récupération sur prêts rétrocédés</t>
  </si>
  <si>
    <t>-</t>
  </si>
  <si>
    <t>2.2.3</t>
  </si>
  <si>
    <t xml:space="preserve">   - Amortizações dos créd. banc. (liquidação do ex-BCGB)</t>
  </si>
  <si>
    <t xml:space="preserve">   - récup. des crédits bancaires (liquidat° ex BCGB)</t>
  </si>
  <si>
    <t>2.2.4</t>
  </si>
  <si>
    <t xml:space="preserve">   - indemnizações dos trabalhadores do ex-BCGB</t>
  </si>
  <si>
    <t xml:space="preserve">   - indemnisat° des travailleurs de l'ex-BCGB</t>
  </si>
  <si>
    <t>2.2.5</t>
  </si>
  <si>
    <t xml:space="preserve">   - produto das privatizações</t>
  </si>
  <si>
    <t xml:space="preserve">   - dont produit des privatisations</t>
  </si>
  <si>
    <t>3</t>
  </si>
  <si>
    <t>Saldo global (base autorizações) - compromissos</t>
  </si>
  <si>
    <t>Solde global (base ordonnancements)</t>
  </si>
  <si>
    <t>Venda de bens nao duradouros</t>
  </si>
  <si>
    <t>Solde global (secteur des pêches exclu)</t>
  </si>
  <si>
    <t>4</t>
  </si>
  <si>
    <t>Ajustements base caisse</t>
  </si>
  <si>
    <t>4.1</t>
  </si>
  <si>
    <t>Variação dos atrasados</t>
  </si>
  <si>
    <t>Variation des arriérés</t>
  </si>
  <si>
    <t>4.1.1</t>
  </si>
  <si>
    <t>Dívida interna</t>
  </si>
  <si>
    <t xml:space="preserve"> - sur la dette interne</t>
  </si>
  <si>
    <t>4.1.1.1</t>
  </si>
  <si>
    <t xml:space="preserve">   Juros</t>
  </si>
  <si>
    <t xml:space="preserve">   Intérêts</t>
  </si>
  <si>
    <t xml:space="preserve">     - acumulação</t>
  </si>
  <si>
    <t xml:space="preserve">      - accumulation</t>
  </si>
  <si>
    <t xml:space="preserve">     - redução</t>
  </si>
  <si>
    <t xml:space="preserve">      - réduction</t>
  </si>
  <si>
    <t>4.1.1.2</t>
  </si>
  <si>
    <t xml:space="preserve">   Despesas autorizadas e não pagas</t>
  </si>
  <si>
    <t xml:space="preserve">   Dépenses ordonnancées non payées</t>
  </si>
  <si>
    <t xml:space="preserve">        Cerâmica</t>
  </si>
  <si>
    <t xml:space="preserve">      -Participação Lucros Empr. Públicas</t>
  </si>
  <si>
    <t xml:space="preserve">      - atrasados internos</t>
  </si>
  <si>
    <t xml:space="preserve">      - arriérés internes</t>
  </si>
  <si>
    <t xml:space="preserve">      - fundos em trânsito</t>
  </si>
  <si>
    <t xml:space="preserve">      - fonds en route</t>
  </si>
  <si>
    <t>4.1.2</t>
  </si>
  <si>
    <t>Juros da dívida externa</t>
  </si>
  <si>
    <t xml:space="preserve"> - sur les intérêts de la dette externe</t>
  </si>
  <si>
    <t xml:space="preserve">   - acumulação</t>
  </si>
  <si>
    <t xml:space="preserve">   - reducção</t>
  </si>
  <si>
    <t>5</t>
  </si>
  <si>
    <t>Solde global (base caisse)</t>
  </si>
  <si>
    <t>6</t>
  </si>
  <si>
    <t>Financement</t>
  </si>
  <si>
    <t>6.1</t>
  </si>
  <si>
    <t>Financiamento interno líquido</t>
  </si>
  <si>
    <t>Financement interne net</t>
  </si>
  <si>
    <t>6.1.1</t>
  </si>
  <si>
    <t>Financiamento bancário líquido</t>
  </si>
  <si>
    <t xml:space="preserve">       Imposto Complementar Recont. Nacional</t>
  </si>
  <si>
    <t xml:space="preserve">    - ano 2009</t>
  </si>
  <si>
    <t>Arrieres sur exercices 2009</t>
  </si>
  <si>
    <t>Solidarite UEMOA/BCEAO/BOAD</t>
  </si>
  <si>
    <t>BM/GEF/BADEA</t>
  </si>
  <si>
    <t>Union Europeenne/UEMOA</t>
  </si>
  <si>
    <t>SIST. Nu/sos/EU</t>
  </si>
  <si>
    <t xml:space="preserve">Segurança social </t>
  </si>
  <si>
    <t>PORTUGAL</t>
  </si>
  <si>
    <t>UEMOA</t>
  </si>
  <si>
    <t>Financement bancaire net</t>
  </si>
  <si>
    <t>6.1.1.1</t>
  </si>
  <si>
    <t>B.C.E.A.O.</t>
  </si>
  <si>
    <t>B.C.E.A.O</t>
  </si>
  <si>
    <t>BM/IDA</t>
  </si>
  <si>
    <t xml:space="preserve">   Contrapartidas do FMI</t>
  </si>
  <si>
    <t xml:space="preserve">   Concours du FMI</t>
  </si>
  <si>
    <t>+/-</t>
  </si>
  <si>
    <t xml:space="preserve">   Adiantamentos estatuários</t>
  </si>
  <si>
    <t xml:space="preserve">   Avances statutaires</t>
  </si>
  <si>
    <t xml:space="preserve">   Acordos de consolidação</t>
  </si>
  <si>
    <t xml:space="preserve">   Créances consolidées</t>
  </si>
  <si>
    <t xml:space="preserve">   Obrigações caucionadas</t>
  </si>
  <si>
    <t xml:space="preserve">   Obligations cautionnées</t>
  </si>
  <si>
    <t xml:space="preserve">   Outros títulos redescontados</t>
  </si>
  <si>
    <t xml:space="preserve">   Autres tutres réescomptés</t>
  </si>
  <si>
    <t xml:space="preserve">   Depósitos do Estado</t>
  </si>
  <si>
    <t xml:space="preserve">   Dépôts et encaisse de l'Etat</t>
  </si>
  <si>
    <t>6.1.1.2</t>
  </si>
  <si>
    <t>Bancos comerciais</t>
  </si>
  <si>
    <t>Banques commerciales</t>
  </si>
  <si>
    <t xml:space="preserve">   Crédito liquido ao Estado</t>
  </si>
  <si>
    <t xml:space="preserve">   Crédit net à l'Etat</t>
  </si>
  <si>
    <t xml:space="preserve">      - Titrisação e operaçoes assimiladas</t>
  </si>
  <si>
    <t xml:space="preserve">      - Titrisation et opérations assimilées</t>
  </si>
  <si>
    <t xml:space="preserve">      - Desembolsos sobre empréstimos</t>
  </si>
  <si>
    <t xml:space="preserve">      - Tirages</t>
  </si>
  <si>
    <t xml:space="preserve">      - Amortizaçõos exigiveis</t>
  </si>
  <si>
    <t xml:space="preserve">      - Amortissements exigibles</t>
  </si>
  <si>
    <t xml:space="preserve">      - Variaçao líquida dos atrasados de amortizações</t>
  </si>
  <si>
    <t xml:space="preserve">      - Variation nette des arriérés d'amortissement</t>
  </si>
  <si>
    <t xml:space="preserve">   Dépôts de l'Etat</t>
  </si>
  <si>
    <t>6.1.2</t>
  </si>
  <si>
    <t>Financiamento não bancário líquido</t>
  </si>
  <si>
    <t>Financement non bancaire net</t>
  </si>
  <si>
    <t>6.1.2.1</t>
  </si>
  <si>
    <t xml:space="preserve">   Empréstimos</t>
  </si>
  <si>
    <t xml:space="preserve">   Emprunts</t>
  </si>
  <si>
    <t xml:space="preserve">      - dont titrisation et opérations assimilées</t>
  </si>
  <si>
    <t>6.1.2.2</t>
  </si>
  <si>
    <t xml:space="preserve">   Desembolsos sobre empréstimos</t>
  </si>
  <si>
    <t xml:space="preserve">   Tirages</t>
  </si>
  <si>
    <t>6.1.2.3</t>
  </si>
  <si>
    <t xml:space="preserve">   Dívida interna (amortizações exigiveis)</t>
  </si>
  <si>
    <t>Appuis budgetaires</t>
  </si>
  <si>
    <t xml:space="preserve">TOTAL </t>
  </si>
  <si>
    <t>MULTAS E PENALIDADES</t>
  </si>
  <si>
    <t>Apreensao de Barcos</t>
  </si>
  <si>
    <t>RENDIMENTOS DIVERSOS</t>
  </si>
  <si>
    <t>Juros - Sector Publico BCEAO</t>
  </si>
  <si>
    <t xml:space="preserve">   Dette interne recensée (amortissements exigibles)</t>
  </si>
  <si>
    <t>Fevrier</t>
  </si>
  <si>
    <t xml:space="preserve">Taxa de </t>
  </si>
  <si>
    <t>% PIB</t>
  </si>
  <si>
    <t>Réalisations</t>
  </si>
  <si>
    <t>1er trimestre</t>
  </si>
  <si>
    <t>Execução %</t>
  </si>
  <si>
    <t>1. Recettes totales et dons</t>
  </si>
  <si>
    <t>Receitas ordinarias</t>
  </si>
  <si>
    <t>Receitas tributarias</t>
  </si>
  <si>
    <t>Imposto sobre o rendimento</t>
  </si>
  <si>
    <t>Imposto sobre o consumo</t>
  </si>
  <si>
    <t>Imposto sobre o comercio international</t>
  </si>
  <si>
    <t>Receitas nao tributarias</t>
  </si>
  <si>
    <t>Dons Intérieurs</t>
  </si>
  <si>
    <t xml:space="preserve">   Dons  projets</t>
  </si>
  <si>
    <t xml:space="preserve">   Dons programmes</t>
  </si>
  <si>
    <t>Dons extérieurs</t>
  </si>
  <si>
    <t>Dépenses courantes</t>
  </si>
  <si>
    <t>Dons projet</t>
  </si>
  <si>
    <t>Emprunts  projet</t>
  </si>
  <si>
    <t>Saldo global (base autorizacoes)</t>
  </si>
  <si>
    <t>3. Solde global (base engagement)</t>
  </si>
  <si>
    <t>Saldo global  (excluindo sector das pescas)</t>
  </si>
  <si>
    <t>Solde global hors dons (base engagement)</t>
  </si>
  <si>
    <t>Solde primaire</t>
  </si>
  <si>
    <t>Solde budgetaire de base</t>
  </si>
  <si>
    <t>Ajustement base caisse</t>
  </si>
  <si>
    <t>Variation interna</t>
  </si>
  <si>
    <t>Variation interne</t>
  </si>
  <si>
    <t xml:space="preserve">5. Solde global base caisse </t>
  </si>
  <si>
    <t>Solde global base caisse hors dons</t>
  </si>
  <si>
    <t>6. Financement</t>
  </si>
  <si>
    <t>Financiamento interno liquido</t>
  </si>
  <si>
    <t>6.1. Financement interieur</t>
  </si>
  <si>
    <t>Financemento bancaria liquido</t>
  </si>
  <si>
    <t>Financement bancaire</t>
  </si>
  <si>
    <t>Banque Centrale</t>
  </si>
  <si>
    <t xml:space="preserve">  FMI</t>
  </si>
  <si>
    <t xml:space="preserve">FMI </t>
  </si>
  <si>
    <t>Décaissement</t>
  </si>
  <si>
    <t xml:space="preserve">   Amortizacoes </t>
  </si>
  <si>
    <t>Remboursement</t>
  </si>
  <si>
    <t xml:space="preserve">   Credit Consolides</t>
  </si>
  <si>
    <t>Ttotal</t>
  </si>
  <si>
    <t xml:space="preserve">   Variation sur dépôts Etat</t>
  </si>
  <si>
    <t xml:space="preserve">              Outros títulos redescontados</t>
  </si>
  <si>
    <t>Autres titres en reescomptes</t>
  </si>
  <si>
    <t xml:space="preserve">      Banques commerciales</t>
  </si>
  <si>
    <t>Amortissement des banques</t>
  </si>
  <si>
    <t xml:space="preserve">    emissão</t>
  </si>
  <si>
    <t xml:space="preserve">    reembolso</t>
  </si>
  <si>
    <t>Dépots en CCP</t>
  </si>
  <si>
    <t xml:space="preserve">       Depósitos do Estado</t>
  </si>
  <si>
    <t>Financiamento nao bancario liquido</t>
  </si>
  <si>
    <t>Financement non bancaire</t>
  </si>
  <si>
    <t>Titrisação e operaçoes assimiladas</t>
  </si>
  <si>
    <t>Donativos a projectos</t>
  </si>
  <si>
    <t>Emprestimos a projectos</t>
  </si>
  <si>
    <t xml:space="preserve"> Titrisation et opérations assimilées</t>
  </si>
  <si>
    <t xml:space="preserve"> Dívida interna (amortizações exigiveis)</t>
  </si>
  <si>
    <t>Variaçao atrasados</t>
  </si>
  <si>
    <t>Abandono dos créditos sobre o Estado</t>
  </si>
  <si>
    <t>dette auprès des opérateurs économiques</t>
  </si>
  <si>
    <t>Titulos do Tesouro</t>
  </si>
  <si>
    <t xml:space="preserve">Bons du Trésor </t>
  </si>
  <si>
    <t>emissão</t>
  </si>
  <si>
    <t xml:space="preserve">Emission </t>
  </si>
  <si>
    <t>reembolso</t>
  </si>
  <si>
    <t xml:space="preserve">  Remboursement</t>
  </si>
  <si>
    <t>Financiamento externo liquido</t>
  </si>
  <si>
    <t xml:space="preserve">   Reducção (arrieres amortissements anterieurs)</t>
  </si>
  <si>
    <t>Erreurs et Omissions(-=besion de financement)</t>
  </si>
  <si>
    <t>Erreurs et omissions(-=besoin de financement)</t>
  </si>
  <si>
    <t>Turquia</t>
  </si>
  <si>
    <t>Gap financiamento</t>
  </si>
  <si>
    <t>Gap de financement</t>
  </si>
  <si>
    <t>6.1.2.4</t>
  </si>
  <si>
    <t xml:space="preserve">   Variaçao atrasados</t>
  </si>
  <si>
    <t xml:space="preserve">      - dette auprès des opérateurs économiques</t>
  </si>
  <si>
    <t xml:space="preserve">      - atrasados de pagamento</t>
  </si>
  <si>
    <t xml:space="preserve">   Variation nette des arriérés d'amortissement</t>
  </si>
  <si>
    <t>6.1.2.5</t>
  </si>
  <si>
    <t xml:space="preserve">   Abandono dos créditos sobre o Estado</t>
  </si>
  <si>
    <t>6.1.3</t>
  </si>
  <si>
    <t>Correspondentes do Tesouro (variações líquidas)</t>
  </si>
  <si>
    <t>Corrspondants du Trésor (variations nettes)</t>
  </si>
  <si>
    <t>6.1.4</t>
  </si>
  <si>
    <t>Produto das privatizações</t>
  </si>
  <si>
    <t>Produit des privatisations</t>
  </si>
  <si>
    <t>6.2</t>
  </si>
  <si>
    <t>Financiamento externo líquido</t>
  </si>
  <si>
    <t>Financement externe net</t>
  </si>
  <si>
    <t>6.2.1</t>
  </si>
  <si>
    <t>Desembolsos sobre empréstimos</t>
  </si>
  <si>
    <t>Tirages sur prêts</t>
  </si>
  <si>
    <t>6.2.1.1</t>
  </si>
  <si>
    <t xml:space="preserve">   Projectos</t>
  </si>
  <si>
    <t xml:space="preserve">   Projets</t>
  </si>
  <si>
    <t>6.2.1.2</t>
  </si>
  <si>
    <t xml:space="preserve">   Programas</t>
  </si>
  <si>
    <t xml:space="preserve">   Programmes</t>
  </si>
  <si>
    <t>6.2.1.3</t>
  </si>
  <si>
    <t xml:space="preserve">   Empréstimos retrocedidos</t>
  </si>
  <si>
    <t xml:space="preserve">   Prêts rétrocédés</t>
  </si>
  <si>
    <t>6.2.1.4</t>
  </si>
  <si>
    <t xml:space="preserve">   Balança de pagamento</t>
  </si>
  <si>
    <t xml:space="preserve">   Balance de paiement</t>
  </si>
  <si>
    <t>6.2.1.5</t>
  </si>
  <si>
    <t xml:space="preserve">   Engajamentos do BCEAO</t>
  </si>
  <si>
    <t xml:space="preserve">   Engagements de la BCEAO</t>
  </si>
  <si>
    <t>6.2.2</t>
  </si>
  <si>
    <t>Amortização corrente exigivel</t>
  </si>
  <si>
    <t>Amortissements courants exigibles</t>
  </si>
  <si>
    <t>6.2.3</t>
  </si>
  <si>
    <t>Alívio da dívida</t>
  </si>
  <si>
    <t>Allègement potentiel de la dette</t>
  </si>
  <si>
    <t>6.2.4</t>
  </si>
  <si>
    <t>Em 1.000 FCFA</t>
  </si>
  <si>
    <t>Arriérés Fin 2008</t>
  </si>
  <si>
    <t>Cód. Orgânico</t>
  </si>
  <si>
    <t>EXECUÇÃO</t>
  </si>
  <si>
    <t>RECEITAS TRIBUTARIAS (rec. fiscal)</t>
  </si>
  <si>
    <t>01 00 00</t>
  </si>
  <si>
    <t>IMPOSTOS DIRECTOS</t>
  </si>
  <si>
    <t>Impostos sobre o rendimento</t>
  </si>
  <si>
    <t>01 00</t>
  </si>
  <si>
    <t>Contribuiçao industrial</t>
  </si>
  <si>
    <t>Contribuiçao predial</t>
  </si>
  <si>
    <t>02 01</t>
  </si>
  <si>
    <t xml:space="preserve">               Urbana</t>
  </si>
  <si>
    <t xml:space="preserve">               Rustica</t>
  </si>
  <si>
    <t>03 01</t>
  </si>
  <si>
    <t xml:space="preserve">               Funçao Publica</t>
  </si>
  <si>
    <t>03 02</t>
  </si>
  <si>
    <t xml:space="preserve">               Outros</t>
  </si>
  <si>
    <t>04 00</t>
  </si>
  <si>
    <t>01 01 05</t>
  </si>
  <si>
    <t>Imposto de Reconstruçao Nacional</t>
  </si>
  <si>
    <t>05 01</t>
  </si>
  <si>
    <t xml:space="preserve">               50% para a area</t>
  </si>
  <si>
    <t>05 02</t>
  </si>
  <si>
    <t>Dividendos BCEAO</t>
  </si>
  <si>
    <t xml:space="preserve">               40% para as Regioes</t>
  </si>
  <si>
    <t>05 03</t>
  </si>
  <si>
    <t xml:space="preserve">               10% para INSPS</t>
  </si>
  <si>
    <t>05 04</t>
  </si>
  <si>
    <t xml:space="preserve">               para o Tesouro Publico</t>
  </si>
  <si>
    <t>01 02 00</t>
  </si>
  <si>
    <t>07 00</t>
  </si>
  <si>
    <t>Imposto de capitais</t>
  </si>
  <si>
    <t>Imposto sobre a propriedade</t>
  </si>
  <si>
    <t>08 00</t>
  </si>
  <si>
    <t>09 00</t>
  </si>
  <si>
    <t>01 02 99</t>
  </si>
  <si>
    <t>Diversos</t>
  </si>
  <si>
    <t>06 01</t>
  </si>
  <si>
    <t xml:space="preserve">              Imp./Hidroc /Produçao</t>
  </si>
  <si>
    <t>06 02</t>
  </si>
  <si>
    <t xml:space="preserve">              Imp./Hidroc /Rendimento</t>
  </si>
  <si>
    <t>06 03</t>
  </si>
  <si>
    <t xml:space="preserve">              Imp./Hidroc. Suplementar</t>
  </si>
  <si>
    <t>10 00</t>
  </si>
  <si>
    <t xml:space="preserve">              Imp./circul veiculos auto</t>
  </si>
  <si>
    <t>11 00</t>
  </si>
  <si>
    <t xml:space="preserve">              Imp. Directos Extintos</t>
  </si>
  <si>
    <t>IMPOSTOS INDIRECTOS</t>
  </si>
  <si>
    <t>02 01 00</t>
  </si>
  <si>
    <t>Impostos s/Transacçoes Intern.</t>
  </si>
  <si>
    <t>02 01 01</t>
  </si>
  <si>
    <t>Direitos de importaçao</t>
  </si>
  <si>
    <t>12 01</t>
  </si>
  <si>
    <t xml:space="preserve">             s/Combustivel</t>
  </si>
  <si>
    <t>02 01 01 B</t>
  </si>
  <si>
    <t xml:space="preserve">             s/Arroz</t>
  </si>
  <si>
    <t>12 02</t>
  </si>
  <si>
    <t xml:space="preserve">            s/Outras importaçoes</t>
  </si>
  <si>
    <t>13 00</t>
  </si>
  <si>
    <t>02 01 01 D</t>
  </si>
  <si>
    <t>14 00</t>
  </si>
  <si>
    <t>02 01 02</t>
  </si>
  <si>
    <t>Direitos de exportaçao</t>
  </si>
  <si>
    <t>14 02</t>
  </si>
  <si>
    <t>02 01 03</t>
  </si>
  <si>
    <t>02 01 04</t>
  </si>
  <si>
    <t>Serviços aduaneiros</t>
  </si>
  <si>
    <t>20 01</t>
  </si>
  <si>
    <t xml:space="preserve">           Arroz</t>
  </si>
  <si>
    <t>20 02</t>
  </si>
  <si>
    <t xml:space="preserve">          Combustivel</t>
  </si>
  <si>
    <t>20 03</t>
  </si>
  <si>
    <t xml:space="preserve">          Exportaçao</t>
  </si>
  <si>
    <t>20 04</t>
  </si>
  <si>
    <t>14 03</t>
  </si>
  <si>
    <t>02 01 05</t>
  </si>
  <si>
    <t>Isençoes aduaneiras</t>
  </si>
  <si>
    <t>02 01 99</t>
  </si>
  <si>
    <t xml:space="preserve">Outros </t>
  </si>
  <si>
    <t>15 00</t>
  </si>
  <si>
    <t xml:space="preserve">                Imposto Comunitario de Solidariede (PCS)</t>
  </si>
  <si>
    <t xml:space="preserve">               Taxa Informatica (RS)</t>
  </si>
  <si>
    <t xml:space="preserve">               Imposto Comunitario (PC-CDEAO)</t>
  </si>
  <si>
    <t>Impostos sobre o consumo (IEC)</t>
  </si>
  <si>
    <t>16 01</t>
  </si>
  <si>
    <t>02 02 01</t>
  </si>
  <si>
    <t>16 05</t>
  </si>
  <si>
    <t xml:space="preserve">       Combustivel</t>
  </si>
  <si>
    <t>16 07</t>
  </si>
  <si>
    <t xml:space="preserve">       Outros  produtos</t>
  </si>
  <si>
    <t>16 02</t>
  </si>
  <si>
    <t>02 02 02</t>
  </si>
  <si>
    <t>Produçao local/DGCI</t>
  </si>
  <si>
    <t>16 04</t>
  </si>
  <si>
    <t>ECOBANK</t>
  </si>
  <si>
    <t xml:space="preserve">         Aguardente - Produçao local</t>
  </si>
  <si>
    <t>16 03</t>
  </si>
  <si>
    <t xml:space="preserve">         Cerveja e Refrig.- Produçao local</t>
  </si>
  <si>
    <t xml:space="preserve">         Madeiras- Produçao local</t>
  </si>
  <si>
    <t>16 06</t>
  </si>
  <si>
    <t xml:space="preserve">         Outros</t>
  </si>
  <si>
    <t>Imposto Geral s/Vendas</t>
  </si>
  <si>
    <t>Bens Importados</t>
  </si>
  <si>
    <t xml:space="preserve">          Arroz</t>
  </si>
  <si>
    <t xml:space="preserve">          Outros</t>
  </si>
  <si>
    <t xml:space="preserve">02 03 02 </t>
  </si>
  <si>
    <t>Produção Local e Vendas/DGCI</t>
  </si>
  <si>
    <t xml:space="preserve">         Cerveja e Refrigerante-Produção Local</t>
  </si>
  <si>
    <t xml:space="preserve">        Aguardente</t>
  </si>
  <si>
    <t>02 04 00</t>
  </si>
  <si>
    <t>17 01</t>
  </si>
  <si>
    <t>02 0401</t>
  </si>
  <si>
    <t>Impostos de selo e estampilhas</t>
  </si>
  <si>
    <t>17 02</t>
  </si>
  <si>
    <t xml:space="preserve">         Selo de assistência</t>
  </si>
  <si>
    <t>17 03</t>
  </si>
  <si>
    <t xml:space="preserve">          Papel Selado</t>
  </si>
  <si>
    <t>17 04</t>
  </si>
  <si>
    <t xml:space="preserve">          Estampilhas fiscais</t>
  </si>
  <si>
    <t>17 05</t>
  </si>
  <si>
    <t>en milliers de FCFA</t>
  </si>
  <si>
    <t>Allègement de dettes</t>
  </si>
  <si>
    <t>BDU</t>
  </si>
  <si>
    <t xml:space="preserve">          Letras Seladas e Impress</t>
  </si>
  <si>
    <t>17 06</t>
  </si>
  <si>
    <t xml:space="preserve">          Selo de Verba</t>
  </si>
  <si>
    <t>17 07</t>
  </si>
  <si>
    <t xml:space="preserve">          Selo Conhec. de Cobrança</t>
  </si>
  <si>
    <t>17 08</t>
  </si>
  <si>
    <t xml:space="preserve">          Selos diversos</t>
  </si>
  <si>
    <t>17 09</t>
  </si>
  <si>
    <t xml:space="preserve">          Selo de Cheques</t>
  </si>
  <si>
    <t>17 10</t>
  </si>
  <si>
    <t xml:space="preserve">          Selo Reconstr. Nacional</t>
  </si>
  <si>
    <t>17 11</t>
  </si>
  <si>
    <t xml:space="preserve">           Estamp. Espec. Farmac.</t>
  </si>
  <si>
    <t xml:space="preserve">           Selo de Recibo</t>
  </si>
  <si>
    <t>02 04 02</t>
  </si>
  <si>
    <t>02 04 99</t>
  </si>
  <si>
    <t xml:space="preserve">           Imposto Tonelagem</t>
  </si>
  <si>
    <t xml:space="preserve">           Imposto comercio maritim</t>
  </si>
  <si>
    <t>RECEITAS NAO TRIBUTARIAS</t>
  </si>
  <si>
    <t>TAXAS, MULTAS E PENALIDADES</t>
  </si>
  <si>
    <t>39 00</t>
  </si>
  <si>
    <t>03 01 00</t>
  </si>
  <si>
    <t>40 00</t>
  </si>
  <si>
    <t>03 01 01</t>
  </si>
  <si>
    <t>Licenças de Pesca</t>
  </si>
  <si>
    <t xml:space="preserve">          Licenças de Pesca</t>
  </si>
  <si>
    <t xml:space="preserve">         Transbordo de Pescado</t>
  </si>
  <si>
    <t xml:space="preserve">         Fundo de Gestão de Rec. Halieuticos</t>
  </si>
  <si>
    <t>03 01 02</t>
  </si>
  <si>
    <t>03 01 03</t>
  </si>
  <si>
    <t>Taxa fundiaria</t>
  </si>
  <si>
    <t>Acumulado Dezembro</t>
  </si>
  <si>
    <t>25 00</t>
  </si>
  <si>
    <t>Emolumentos do Tribunal de Contas</t>
  </si>
  <si>
    <t>26 00</t>
  </si>
  <si>
    <t>03 01 05</t>
  </si>
  <si>
    <t>Serviços florestais</t>
  </si>
  <si>
    <t>27 00</t>
  </si>
  <si>
    <t>03 01 06</t>
  </si>
  <si>
    <t>Serviços de turismo</t>
  </si>
  <si>
    <t>28 00</t>
  </si>
  <si>
    <t>03 01 07</t>
  </si>
  <si>
    <t>Serviços rodoviarios</t>
  </si>
  <si>
    <t>29 00</t>
  </si>
  <si>
    <t>03 01 08</t>
  </si>
  <si>
    <t>37 00</t>
  </si>
  <si>
    <t>Serviços de passaporte</t>
  </si>
  <si>
    <t>Serviços migratorios</t>
  </si>
  <si>
    <t>21 00</t>
  </si>
  <si>
    <t>Serviços de Educaçao</t>
  </si>
  <si>
    <t>22 00</t>
  </si>
  <si>
    <t>Emolu. portos e capitanias</t>
  </si>
  <si>
    <t>23 01</t>
  </si>
  <si>
    <t>03 01 13</t>
  </si>
  <si>
    <t>Rend. pontes cais</t>
  </si>
  <si>
    <t xml:space="preserve">      Taxas de Atracagem de Navios</t>
  </si>
  <si>
    <t xml:space="preserve">     Taxas de Estacionamento de Navios</t>
  </si>
  <si>
    <t>23 02</t>
  </si>
  <si>
    <t>03 01 99</t>
  </si>
  <si>
    <t>Outras taxas</t>
  </si>
  <si>
    <t>23 03</t>
  </si>
  <si>
    <t xml:space="preserve">       Taxa militar</t>
  </si>
  <si>
    <t>23 04</t>
  </si>
  <si>
    <t xml:space="preserve">      Taxa de selagem (aduan.)</t>
  </si>
  <si>
    <t>23 05</t>
  </si>
  <si>
    <t xml:space="preserve">      Registo civil</t>
  </si>
  <si>
    <t>23 06</t>
  </si>
  <si>
    <t xml:space="preserve">       I mposto de Justiça</t>
  </si>
  <si>
    <t>23 07</t>
  </si>
  <si>
    <t xml:space="preserve">       Emolum. dos Registos</t>
  </si>
  <si>
    <t>24 00</t>
  </si>
  <si>
    <t xml:space="preserve">      Emol Trib Contencioso CI</t>
  </si>
  <si>
    <t>30 00</t>
  </si>
  <si>
    <t xml:space="preserve">     Serv. Identificaçao Civil</t>
  </si>
  <si>
    <t>31 00</t>
  </si>
  <si>
    <t>41 00</t>
  </si>
  <si>
    <t xml:space="preserve">      Taxas de trafego</t>
  </si>
  <si>
    <t>32 01</t>
  </si>
  <si>
    <t xml:space="preserve">      Rend. Serv do Notariado</t>
  </si>
  <si>
    <t>32 02</t>
  </si>
  <si>
    <t xml:space="preserve">       Emolum. de Secretaria</t>
  </si>
  <si>
    <t>33 00</t>
  </si>
  <si>
    <t xml:space="preserve">      Taxas aparelhos e recept.</t>
  </si>
  <si>
    <t>34 00</t>
  </si>
  <si>
    <t xml:space="preserve">      Taxas aparel fabric aguard</t>
  </si>
  <si>
    <t>35 01</t>
  </si>
  <si>
    <t xml:space="preserve">      Serv agric- Rend Veterin</t>
  </si>
  <si>
    <t>35 02</t>
  </si>
  <si>
    <t xml:space="preserve">      Serv agric - Inspecçao</t>
  </si>
  <si>
    <t>35 03</t>
  </si>
  <si>
    <t xml:space="preserve">       Imposto de Pilotagem</t>
  </si>
  <si>
    <t>35 04</t>
  </si>
  <si>
    <t xml:space="preserve">       I mposto de Farolagem</t>
  </si>
  <si>
    <t>36 01</t>
  </si>
  <si>
    <t xml:space="preserve">       Aerop.- T. ateragem, desc</t>
  </si>
  <si>
    <t>36 02</t>
  </si>
  <si>
    <t xml:space="preserve">       Aerop.- T do aeroporto</t>
  </si>
  <si>
    <t>38 01</t>
  </si>
  <si>
    <t xml:space="preserve">       Aerop.- T de embarque</t>
  </si>
  <si>
    <t>38 02</t>
  </si>
  <si>
    <t xml:space="preserve">       Aerop.- Outras taxas</t>
  </si>
  <si>
    <t>38 03</t>
  </si>
  <si>
    <t xml:space="preserve">      Taxa Nox de Cola (Estado)</t>
  </si>
  <si>
    <t xml:space="preserve">      Taxa Nox de Cola (Comite)</t>
  </si>
  <si>
    <t>42 00</t>
  </si>
  <si>
    <t xml:space="preserve">      Viaçao- Imp. de Gasoleo</t>
  </si>
  <si>
    <t xml:space="preserve">      Viaçao- Imp profissional</t>
  </si>
  <si>
    <t xml:space="preserve">      Viaçao- Outros rendiment</t>
  </si>
  <si>
    <t>030200</t>
  </si>
  <si>
    <t>Multas e penalidades</t>
  </si>
  <si>
    <t>43 00</t>
  </si>
  <si>
    <t>03 00</t>
  </si>
  <si>
    <t>03 02 01</t>
  </si>
  <si>
    <t>Apreensao de barcos</t>
  </si>
  <si>
    <t>44 00</t>
  </si>
  <si>
    <t>03 02 02</t>
  </si>
  <si>
    <t>Infraccoes ao cod/estr. e demais leg.</t>
  </si>
  <si>
    <t>45 01</t>
  </si>
  <si>
    <t>03 02 99</t>
  </si>
  <si>
    <t>Multas e penalidades diversas</t>
  </si>
  <si>
    <t>45 02</t>
  </si>
  <si>
    <t xml:space="preserve">        Juros de mora</t>
  </si>
  <si>
    <t xml:space="preserve">        Taxa de relaxe</t>
  </si>
  <si>
    <t xml:space="preserve">        Infrac Codigo Contr Impost</t>
  </si>
  <si>
    <t xml:space="preserve">        Outras multas</t>
  </si>
  <si>
    <t>RENDIMENTO DA PROPRIEDADE</t>
  </si>
  <si>
    <t>48 00</t>
  </si>
  <si>
    <t>04 01 00</t>
  </si>
  <si>
    <t xml:space="preserve">Dividendo e Participação nos Lucros de Sociedades / Quasi-Sociedade Não Financeira </t>
  </si>
  <si>
    <t>Empresas publicas ou equiparadas</t>
  </si>
  <si>
    <t>48 01</t>
  </si>
  <si>
    <t>04 02 00</t>
  </si>
  <si>
    <t>Dividendo e Participação nos Lucros de Institutos de Crédito</t>
  </si>
  <si>
    <t>04 02 01</t>
  </si>
  <si>
    <t>04 02 02</t>
  </si>
  <si>
    <t>Banco Internacional da G-Bissau</t>
  </si>
  <si>
    <t>48 03</t>
  </si>
  <si>
    <t>04 03 00</t>
  </si>
  <si>
    <t>Dividendo e Participação nos Lucros de Empresas de Seguros</t>
  </si>
  <si>
    <t>46 01</t>
  </si>
  <si>
    <t>04 03 01</t>
  </si>
  <si>
    <t>I.N.S.P.S.</t>
  </si>
  <si>
    <t>46 02</t>
  </si>
  <si>
    <t>04 04 00</t>
  </si>
  <si>
    <t>Rendimentos diversos</t>
  </si>
  <si>
    <t>04 04 01</t>
  </si>
  <si>
    <t>Juros - Sector Publico -BCEAO</t>
  </si>
  <si>
    <t>04 04 02</t>
  </si>
  <si>
    <t>Juros - Sector Publico - Outros</t>
  </si>
  <si>
    <t>49 00</t>
  </si>
  <si>
    <t>04 05 00</t>
  </si>
  <si>
    <t>BDU+BRS</t>
  </si>
  <si>
    <t xml:space="preserve"> Fonds Africain de Développement</t>
  </si>
  <si>
    <t>Rendas de terrenos</t>
  </si>
  <si>
    <t>04 05 01</t>
  </si>
  <si>
    <t>Soc. e quasi-soc. nao financeiras</t>
  </si>
  <si>
    <t>04 05 02</t>
  </si>
  <si>
    <t xml:space="preserve">Programa </t>
  </si>
  <si>
    <t>Administraçoes publicas</t>
  </si>
  <si>
    <t>04 05 03</t>
  </si>
  <si>
    <t>Administraçoes privadas</t>
  </si>
  <si>
    <t>04 05 04</t>
  </si>
  <si>
    <t>57 00</t>
  </si>
  <si>
    <t>04 05 99</t>
  </si>
  <si>
    <t>58 00</t>
  </si>
  <si>
    <t>04 06 00</t>
  </si>
  <si>
    <t>Rendas de construçoes</t>
  </si>
  <si>
    <t>04 06 01</t>
  </si>
  <si>
    <t>Habitaçoes</t>
  </si>
  <si>
    <t>04 06 02</t>
  </si>
  <si>
    <t>Edificios</t>
  </si>
  <si>
    <t>04 06 03</t>
  </si>
  <si>
    <t xml:space="preserve">         M. Defesa</t>
  </si>
  <si>
    <t xml:space="preserve">          M. Recursos Naturais</t>
  </si>
  <si>
    <t xml:space="preserve">          M. Obras Publicas</t>
  </si>
  <si>
    <t xml:space="preserve">          M. Finanças</t>
  </si>
  <si>
    <t>04 07 00</t>
  </si>
  <si>
    <t>Rendas diversas</t>
  </si>
  <si>
    <t>04 07 01</t>
  </si>
  <si>
    <t>Material de transporte</t>
  </si>
  <si>
    <t>04 07 99</t>
  </si>
  <si>
    <t>05 00 00</t>
  </si>
  <si>
    <t>TRANSFERENCIAS</t>
  </si>
  <si>
    <t>BAO</t>
  </si>
  <si>
    <t>05 01 00</t>
  </si>
  <si>
    <t>Soc. e quais-soc. nao financeiras</t>
  </si>
  <si>
    <t>05 01 01</t>
  </si>
  <si>
    <t>Empresas publicas, mistas ou equip</t>
  </si>
  <si>
    <t>05 02 00</t>
  </si>
  <si>
    <t>05 02 01</t>
  </si>
  <si>
    <t>-           Fundo  de Turismo</t>
  </si>
  <si>
    <t>-           Fundo florestal</t>
  </si>
  <si>
    <t>-         Fundo Rodoviario</t>
  </si>
  <si>
    <t>50 01</t>
  </si>
  <si>
    <t>Abril</t>
  </si>
  <si>
    <t>Serviços autonomos</t>
  </si>
  <si>
    <t>50 02</t>
  </si>
  <si>
    <t>05 02 03</t>
  </si>
  <si>
    <t>Administraçao local</t>
  </si>
  <si>
    <t>51 01</t>
  </si>
  <si>
    <t>05 02 04</t>
  </si>
  <si>
    <t>Segurança social</t>
  </si>
  <si>
    <t>51 02</t>
  </si>
  <si>
    <t xml:space="preserve">          Compens. Aposentaçao</t>
  </si>
  <si>
    <t>52 00</t>
  </si>
  <si>
    <t xml:space="preserve">         Comp Aposent/Atrasados</t>
  </si>
  <si>
    <t>53 00</t>
  </si>
  <si>
    <t xml:space="preserve">         Compens. Sobrevivência</t>
  </si>
  <si>
    <t xml:space="preserve">         Comp Sobreviv/Atrasados</t>
  </si>
  <si>
    <t xml:space="preserve">         Assistência Func. Tuberc</t>
  </si>
  <si>
    <t xml:space="preserve">        Assist Trab F.P. no Exter</t>
  </si>
  <si>
    <t>05 03 00</t>
  </si>
  <si>
    <t>05 03 01</t>
  </si>
  <si>
    <t>Prévision 2007
Programme</t>
  </si>
  <si>
    <t>Instituiçoes particulares</t>
  </si>
  <si>
    <t>05 04 00</t>
  </si>
  <si>
    <t>Instituiçoes de credito</t>
  </si>
  <si>
    <t>05 04 01</t>
  </si>
  <si>
    <t>Instit. publicas, equip. ou particip.</t>
  </si>
  <si>
    <t>05 04 99</t>
  </si>
  <si>
    <t>Outras instituiçoes</t>
  </si>
  <si>
    <t>05 05 00</t>
  </si>
  <si>
    <t>Empresas de seguros</t>
  </si>
  <si>
    <t>05 05 01</t>
  </si>
  <si>
    <t>Instit. publicas, equip. ou partipad.</t>
  </si>
  <si>
    <t>05 06 00</t>
  </si>
  <si>
    <t>Familias</t>
  </si>
  <si>
    <t>54 00</t>
  </si>
  <si>
    <t>05 06 01</t>
  </si>
  <si>
    <t>Particulares</t>
  </si>
  <si>
    <t>55 01</t>
  </si>
  <si>
    <t>05 07 00</t>
  </si>
  <si>
    <t>55 02</t>
  </si>
  <si>
    <t>05 07 01</t>
  </si>
  <si>
    <t>Serviços Consulares</t>
  </si>
  <si>
    <t>05 07 02</t>
  </si>
  <si>
    <t>Diversos serviços</t>
  </si>
  <si>
    <t>56 01</t>
  </si>
  <si>
    <t>05 07 03</t>
  </si>
  <si>
    <t>C.E.E.</t>
  </si>
  <si>
    <t>-       Compensaçao financeira</t>
  </si>
  <si>
    <t>05 07 04</t>
  </si>
  <si>
    <t>Diversas</t>
  </si>
  <si>
    <t>61 00</t>
  </si>
  <si>
    <t>06 00 00</t>
  </si>
  <si>
    <t xml:space="preserve">VENDA DE BENS E SERVICOS </t>
  </si>
  <si>
    <t>06 01 00</t>
  </si>
  <si>
    <t>06 01 99</t>
  </si>
  <si>
    <t>Outros sectores</t>
  </si>
  <si>
    <t>06 02 01</t>
  </si>
  <si>
    <t>Publicaçoes e impressos</t>
  </si>
  <si>
    <t xml:space="preserve">           Serviços da Cultura</t>
  </si>
  <si>
    <t xml:space="preserve">           Serviços Militares</t>
  </si>
  <si>
    <t>Arrieres sur exercices 2008</t>
  </si>
  <si>
    <t xml:space="preserve">           Serviços da Agricultura e Pecuaria</t>
  </si>
  <si>
    <t xml:space="preserve">            Serviços de Energia</t>
  </si>
  <si>
    <t xml:space="preserve">            Serviços de Educaçao</t>
  </si>
  <si>
    <t>62 01</t>
  </si>
  <si>
    <t xml:space="preserve">             Serviços de Protecçao Vegetal</t>
  </si>
  <si>
    <t>62 02</t>
  </si>
  <si>
    <t xml:space="preserve">            Serviços de Recursos Naturais</t>
  </si>
  <si>
    <t>62 03</t>
  </si>
  <si>
    <t xml:space="preserve">            Publ.Impr.-Estatisticas</t>
  </si>
  <si>
    <t>59 00</t>
  </si>
  <si>
    <t xml:space="preserve">            Publ.Impr. - Serv Aduan.</t>
  </si>
  <si>
    <t xml:space="preserve">            Publ.Impr.- Serv. diversos</t>
  </si>
  <si>
    <t xml:space="preserve">            Serviços diversos</t>
  </si>
  <si>
    <t>06 02 02</t>
  </si>
  <si>
    <t>Serviços gerais</t>
  </si>
  <si>
    <t>60 01</t>
  </si>
  <si>
    <t>60 02</t>
  </si>
  <si>
    <t>06 03 00</t>
  </si>
  <si>
    <t>Serviços</t>
  </si>
  <si>
    <t>60 05</t>
  </si>
  <si>
    <t>06 03 01</t>
  </si>
  <si>
    <t>60 03</t>
  </si>
  <si>
    <t xml:space="preserve">            Emol Pess. Admin. Int.</t>
  </si>
  <si>
    <t>60 08</t>
  </si>
  <si>
    <t xml:space="preserve">            Emol Pess. Aduaneiro</t>
  </si>
  <si>
    <t xml:space="preserve">            Emol Pess. Admin Financ.</t>
  </si>
  <si>
    <t>60 04</t>
  </si>
  <si>
    <t xml:space="preserve">            Particip em multas</t>
  </si>
  <si>
    <t>60 06</t>
  </si>
  <si>
    <t xml:space="preserve">            Desloc., Aj. custo, Transp</t>
  </si>
  <si>
    <t>60 07</t>
  </si>
  <si>
    <t>06 03 99</t>
  </si>
  <si>
    <t>61 01</t>
  </si>
  <si>
    <t xml:space="preserve">           Emol Pess. Serv. Portuar</t>
  </si>
  <si>
    <t>61 02</t>
  </si>
  <si>
    <t xml:space="preserve">           Transgress Regul Industr</t>
  </si>
  <si>
    <t>61 03</t>
  </si>
  <si>
    <t xml:space="preserve">            Emol Pess Medical</t>
  </si>
  <si>
    <t>61 04</t>
  </si>
  <si>
    <t xml:space="preserve">            Vistorias-Serv Comercio</t>
  </si>
  <si>
    <t>63 01</t>
  </si>
  <si>
    <t xml:space="preserve">            Vistorias-Serv Maritimos</t>
  </si>
  <si>
    <t>63 02</t>
  </si>
  <si>
    <t xml:space="preserve">            Vistorias-Serv de Viaçao</t>
  </si>
  <si>
    <t>63 03</t>
  </si>
  <si>
    <t xml:space="preserve">            Vistorias-Serv diversos</t>
  </si>
  <si>
    <t>63 04</t>
  </si>
  <si>
    <t xml:space="preserve">             Serv. Recursos agro-flor.</t>
  </si>
  <si>
    <t>63 05</t>
  </si>
  <si>
    <t xml:space="preserve">             Serv. Aduan. - Armazen.</t>
  </si>
  <si>
    <t>63 06</t>
  </si>
  <si>
    <t xml:space="preserve">             Serv Aduan. - Imp. tonelag</t>
  </si>
  <si>
    <t>63 07</t>
  </si>
  <si>
    <t xml:space="preserve">             Serv. de Farmacia</t>
  </si>
  <si>
    <t>63 08</t>
  </si>
  <si>
    <t xml:space="preserve">             Serv. médico-hospitalares</t>
  </si>
  <si>
    <t>63 09</t>
  </si>
  <si>
    <t xml:space="preserve">             Serv. de Laboratorios</t>
  </si>
  <si>
    <t>63 10</t>
  </si>
  <si>
    <t xml:space="preserve">             Serv. Radiol. Fisioter.</t>
  </si>
  <si>
    <t>63 11</t>
  </si>
  <si>
    <t xml:space="preserve">             Serv. de Jornais</t>
  </si>
  <si>
    <t>63 12</t>
  </si>
  <si>
    <t xml:space="preserve">             Serv. de Radiodifusao</t>
  </si>
  <si>
    <t>63 13</t>
  </si>
  <si>
    <t xml:space="preserve">             Serv. Activ. Desp./Cultur</t>
  </si>
  <si>
    <t xml:space="preserve">             Serv. Rec. Natur Captaçao</t>
  </si>
  <si>
    <t xml:space="preserve">             Serv. Rec. Natur Conserv.</t>
  </si>
  <si>
    <t>63 14</t>
  </si>
  <si>
    <t xml:space="preserve">             Serv. Constr Obras Hidr.</t>
  </si>
  <si>
    <t>63 15</t>
  </si>
  <si>
    <t>06 04 00</t>
  </si>
  <si>
    <t>Venda do pescado</t>
  </si>
  <si>
    <t>- Mercado interno</t>
  </si>
  <si>
    <t>06 04 02</t>
  </si>
  <si>
    <t>- Mercado externo</t>
  </si>
  <si>
    <t>65 00</t>
  </si>
  <si>
    <t>VENDA DE BENS DE INVESTIMENTO</t>
  </si>
  <si>
    <t>66 00</t>
  </si>
  <si>
    <t>07 01 00</t>
  </si>
  <si>
    <t>Terrenos e edificios</t>
  </si>
  <si>
    <t>67 00</t>
  </si>
  <si>
    <t>07 02 00</t>
  </si>
  <si>
    <t>68 00</t>
  </si>
  <si>
    <t>07 03 00</t>
  </si>
  <si>
    <t>Maquinaria e equipamentos</t>
  </si>
  <si>
    <t>07 04 00</t>
  </si>
  <si>
    <t>Animais e outros investimentos</t>
  </si>
  <si>
    <t>69 01</t>
  </si>
  <si>
    <t>08 00 00</t>
  </si>
  <si>
    <t>TRANSFERENCIAS DE CAPITAL</t>
  </si>
  <si>
    <t>69 02</t>
  </si>
  <si>
    <t>69 03</t>
  </si>
  <si>
    <t>08 01 00</t>
  </si>
  <si>
    <t>Sector publico</t>
  </si>
  <si>
    <t>08 01 01</t>
  </si>
  <si>
    <t>Fundo Florestal</t>
  </si>
  <si>
    <t>70 00</t>
  </si>
  <si>
    <t>08 01 02</t>
  </si>
  <si>
    <t>Fundo de Turismo</t>
  </si>
  <si>
    <t>71 00</t>
  </si>
  <si>
    <t>08 01 03</t>
  </si>
  <si>
    <t>Outros fundos</t>
  </si>
  <si>
    <t>08 01 04</t>
  </si>
  <si>
    <t xml:space="preserve">        - Numerario</t>
  </si>
  <si>
    <t>72 00</t>
  </si>
  <si>
    <t xml:space="preserve">        - Especie</t>
  </si>
  <si>
    <t>73 00</t>
  </si>
  <si>
    <t>74 00</t>
  </si>
  <si>
    <t>08 02 00</t>
  </si>
  <si>
    <t>08 02 01</t>
  </si>
  <si>
    <t>Heranças jacentes</t>
  </si>
  <si>
    <t>80 00</t>
  </si>
  <si>
    <t>08 02 02</t>
  </si>
  <si>
    <t>Tr./Cons. Ponte cais</t>
  </si>
  <si>
    <t>IºSem.</t>
  </si>
  <si>
    <t>08 02 03</t>
  </si>
  <si>
    <t>Serviços Gerais - Cauçoes</t>
  </si>
  <si>
    <t>08 03 00</t>
  </si>
  <si>
    <t>Reposiçoes de fundos</t>
  </si>
  <si>
    <t>64 00</t>
  </si>
  <si>
    <t>OUTRAS RECEITAS CORRENTES</t>
  </si>
  <si>
    <t>09 00 01</t>
  </si>
  <si>
    <t>Excessos de vencimentos</t>
  </si>
  <si>
    <t>09 00 02</t>
  </si>
  <si>
    <t>Premios e compensaçoes</t>
  </si>
  <si>
    <t>09 00 99</t>
  </si>
  <si>
    <t>TOTAL DAS RECEITAS ORÇAMENTAIS</t>
  </si>
  <si>
    <t>94 01</t>
  </si>
  <si>
    <t>10 00 00</t>
  </si>
  <si>
    <t>RECEITAS EXTRAORDINARIAS</t>
  </si>
  <si>
    <t>10 01 00</t>
  </si>
  <si>
    <t>Privatizaçoes</t>
  </si>
  <si>
    <t>10 01 01</t>
  </si>
  <si>
    <t>Empresas publicas, equip. ou part.</t>
  </si>
  <si>
    <t>96 01</t>
  </si>
  <si>
    <t>10 01 99</t>
  </si>
  <si>
    <t>Outras</t>
  </si>
  <si>
    <t>10 02 00</t>
  </si>
  <si>
    <t>Receitas extraordinarias - Diversas</t>
  </si>
  <si>
    <t>10 02 01</t>
  </si>
  <si>
    <t>Outras receitas extraordinarias</t>
  </si>
  <si>
    <t>11 00 00</t>
  </si>
  <si>
    <t>TRANSFERENCIAS EXTRAORDIN.</t>
  </si>
  <si>
    <t>95 02</t>
  </si>
  <si>
    <t>11 01 00</t>
  </si>
  <si>
    <t>11 01 01</t>
  </si>
  <si>
    <t>Ajuda alimentar</t>
  </si>
  <si>
    <t>11 01 02</t>
  </si>
  <si>
    <t>Ajuda a projectos</t>
  </si>
  <si>
    <t>11 01 03</t>
  </si>
  <si>
    <t>Ajuda a balança de pagamento</t>
  </si>
  <si>
    <t>11 01 04</t>
  </si>
  <si>
    <t>Ajuda ao Orçamento</t>
  </si>
  <si>
    <t>75 00</t>
  </si>
  <si>
    <t>11 02 00</t>
  </si>
  <si>
    <t>Conta Especial do Tesouro</t>
  </si>
  <si>
    <t>76 00</t>
  </si>
  <si>
    <t>11 02 01</t>
  </si>
  <si>
    <t>Ajuda a Integracao Regional</t>
  </si>
  <si>
    <t>12 00 00</t>
  </si>
  <si>
    <t>ACTIVOS FINANCEIROS</t>
  </si>
  <si>
    <t>12 01 00</t>
  </si>
  <si>
    <t>12 02 00</t>
  </si>
  <si>
    <t>Serviços Gerais - TAP</t>
  </si>
  <si>
    <t>13 00 00</t>
  </si>
  <si>
    <t>PASSIVOS FINANCEIROS</t>
  </si>
  <si>
    <t>77 00</t>
  </si>
  <si>
    <t>13 01 00</t>
  </si>
  <si>
    <t>Emprestimos a medio/longo prazo</t>
  </si>
  <si>
    <t>78 00</t>
  </si>
  <si>
    <t>13 01 01</t>
  </si>
  <si>
    <t>13 01 02</t>
  </si>
  <si>
    <t>Balança de pagamento</t>
  </si>
  <si>
    <t>13 02 00</t>
  </si>
  <si>
    <t>Outros passivos financeiros</t>
  </si>
  <si>
    <t>13 02 01</t>
  </si>
  <si>
    <t>Refinanciamento da divida</t>
  </si>
  <si>
    <t>13 02 02</t>
  </si>
  <si>
    <t>B.N.G.</t>
  </si>
  <si>
    <t>13 02 03</t>
  </si>
  <si>
    <t>Empresas exteriores</t>
  </si>
  <si>
    <t>79 00</t>
  </si>
  <si>
    <t>13 02 99</t>
  </si>
  <si>
    <t>14 00 00</t>
  </si>
  <si>
    <t>OUTRAS RECEITAS DE CAPITAL</t>
  </si>
  <si>
    <t>14 01 00</t>
  </si>
  <si>
    <t>Saldos de gerência anteriores</t>
  </si>
  <si>
    <t>14 02 00</t>
  </si>
  <si>
    <t>RECEITA TOTAL</t>
  </si>
  <si>
    <t xml:space="preserve">DGCI =                                     </t>
  </si>
  <si>
    <t xml:space="preserve">DGA =                                      </t>
  </si>
  <si>
    <t>DGT(licença de pesca) =</t>
  </si>
  <si>
    <t>Compensação Financeira =</t>
  </si>
  <si>
    <r>
      <t xml:space="preserve">01 01 02 </t>
    </r>
    <r>
      <rPr>
        <b/>
        <i/>
        <sz val="10"/>
        <rFont val="Arial"/>
        <family val="2"/>
      </rPr>
      <t>A</t>
    </r>
  </si>
  <si>
    <r>
      <t xml:space="preserve">01 01 02 </t>
    </r>
    <r>
      <rPr>
        <b/>
        <i/>
        <sz val="10"/>
        <rFont val="Arial"/>
        <family val="2"/>
      </rPr>
      <t>B</t>
    </r>
  </si>
  <si>
    <r>
      <t>01 01 03</t>
    </r>
    <r>
      <rPr>
        <b/>
        <i/>
        <sz val="10"/>
        <rFont val="Arial"/>
        <family val="2"/>
      </rPr>
      <t xml:space="preserve"> A</t>
    </r>
  </si>
  <si>
    <r>
      <t>01 01 03</t>
    </r>
    <r>
      <rPr>
        <b/>
        <i/>
        <sz val="10"/>
        <rFont val="Arial"/>
        <family val="2"/>
      </rPr>
      <t xml:space="preserve"> B</t>
    </r>
  </si>
  <si>
    <r>
      <t xml:space="preserve">01 01 05 </t>
    </r>
    <r>
      <rPr>
        <b/>
        <i/>
        <sz val="10"/>
        <rFont val="Arial"/>
        <family val="2"/>
      </rPr>
      <t>A</t>
    </r>
  </si>
  <si>
    <r>
      <t xml:space="preserve">01 01 05 </t>
    </r>
    <r>
      <rPr>
        <b/>
        <i/>
        <sz val="10"/>
        <rFont val="Arial"/>
        <family val="2"/>
      </rPr>
      <t>B</t>
    </r>
  </si>
  <si>
    <r>
      <t xml:space="preserve">01 01 05 </t>
    </r>
    <r>
      <rPr>
        <b/>
        <i/>
        <sz val="10"/>
        <rFont val="Arial"/>
        <family val="2"/>
      </rPr>
      <t>C</t>
    </r>
  </si>
  <si>
    <r>
      <t xml:space="preserve">01 01 05 </t>
    </r>
    <r>
      <rPr>
        <b/>
        <i/>
        <sz val="10"/>
        <rFont val="Arial"/>
        <family val="2"/>
      </rPr>
      <t>D</t>
    </r>
  </si>
  <si>
    <r>
      <t xml:space="preserve">01 02 02 </t>
    </r>
    <r>
      <rPr>
        <b/>
        <i/>
        <sz val="10"/>
        <rFont val="Arial"/>
        <family val="2"/>
      </rPr>
      <t>A</t>
    </r>
  </si>
  <si>
    <r>
      <t>01 02 02</t>
    </r>
    <r>
      <rPr>
        <b/>
        <i/>
        <sz val="10"/>
        <rFont val="Arial"/>
        <family val="2"/>
      </rPr>
      <t xml:space="preserve"> B</t>
    </r>
  </si>
  <si>
    <r>
      <t>01 02 99</t>
    </r>
    <r>
      <rPr>
        <b/>
        <i/>
        <sz val="10"/>
        <rFont val="Arial"/>
        <family val="2"/>
      </rPr>
      <t xml:space="preserve"> A</t>
    </r>
  </si>
  <si>
    <r>
      <t>01 02 99</t>
    </r>
    <r>
      <rPr>
        <b/>
        <i/>
        <sz val="10"/>
        <rFont val="Arial"/>
        <family val="2"/>
      </rPr>
      <t xml:space="preserve"> B</t>
    </r>
  </si>
  <si>
    <r>
      <t xml:space="preserve">01 02 99 </t>
    </r>
    <r>
      <rPr>
        <b/>
        <i/>
        <sz val="10"/>
        <rFont val="Arial"/>
        <family val="2"/>
      </rPr>
      <t>C</t>
    </r>
  </si>
  <si>
    <t>Transpositions Arriérés Intérêt</t>
  </si>
  <si>
    <t>Depositos do tesouro</t>
  </si>
  <si>
    <t>Depositos do Governo nos bancos</t>
  </si>
  <si>
    <t xml:space="preserve">              Outros Depositos do Governo</t>
  </si>
  <si>
    <t>Amortizaçõos exigiveis</t>
  </si>
  <si>
    <t xml:space="preserve">               Descoberto estatutario  Art.16</t>
  </si>
  <si>
    <t xml:space="preserve">               Credito consolidado Consolides</t>
  </si>
  <si>
    <t>Variação dos depositos do Governo</t>
  </si>
  <si>
    <t>Obrigaçoes caucionadas</t>
  </si>
  <si>
    <t>Emprestimos cedidos</t>
  </si>
  <si>
    <t>Transpositions Arriérés Amortissement</t>
  </si>
  <si>
    <t>Allègement</t>
  </si>
  <si>
    <t>Tirages</t>
  </si>
  <si>
    <t>BRS</t>
  </si>
  <si>
    <t>Amortissements</t>
  </si>
  <si>
    <t>Emprunts Intérieurs</t>
  </si>
  <si>
    <t>Bons du Trésor</t>
  </si>
  <si>
    <t>Emissions</t>
  </si>
  <si>
    <t>Banques Guinée-Bissau</t>
  </si>
  <si>
    <t>Banques UEMOA</t>
  </si>
  <si>
    <t>Remboursements</t>
  </si>
  <si>
    <r>
      <t xml:space="preserve">01 02 99 </t>
    </r>
    <r>
      <rPr>
        <b/>
        <i/>
        <sz val="10"/>
        <rFont val="Arial"/>
        <family val="2"/>
      </rPr>
      <t>D</t>
    </r>
  </si>
  <si>
    <r>
      <t xml:space="preserve">01 02 99 </t>
    </r>
    <r>
      <rPr>
        <b/>
        <i/>
        <sz val="10"/>
        <rFont val="Arial"/>
        <family val="2"/>
      </rPr>
      <t>E</t>
    </r>
  </si>
  <si>
    <r>
      <t xml:space="preserve">02 01 01 </t>
    </r>
    <r>
      <rPr>
        <b/>
        <i/>
        <sz val="10"/>
        <rFont val="Arial"/>
        <family val="2"/>
      </rPr>
      <t>A</t>
    </r>
  </si>
  <si>
    <r>
      <t>02 01 01</t>
    </r>
    <r>
      <rPr>
        <b/>
        <i/>
        <sz val="10"/>
        <rFont val="Arial"/>
        <family val="2"/>
      </rPr>
      <t>C</t>
    </r>
  </si>
  <si>
    <r>
      <t xml:space="preserve">02 01 04 </t>
    </r>
    <r>
      <rPr>
        <b/>
        <i/>
        <sz val="10"/>
        <rFont val="Arial"/>
        <family val="2"/>
      </rPr>
      <t>A</t>
    </r>
  </si>
  <si>
    <r>
      <t>02 01 04</t>
    </r>
    <r>
      <rPr>
        <b/>
        <i/>
        <sz val="10"/>
        <rFont val="Arial"/>
        <family val="2"/>
      </rPr>
      <t xml:space="preserve"> B</t>
    </r>
  </si>
  <si>
    <r>
      <t xml:space="preserve">02 01 04 </t>
    </r>
    <r>
      <rPr>
        <b/>
        <i/>
        <sz val="10"/>
        <rFont val="Arial"/>
        <family val="2"/>
      </rPr>
      <t>C</t>
    </r>
  </si>
  <si>
    <r>
      <t xml:space="preserve">02 01 04 </t>
    </r>
    <r>
      <rPr>
        <b/>
        <i/>
        <sz val="10"/>
        <rFont val="Arial"/>
        <family val="2"/>
      </rPr>
      <t>Z</t>
    </r>
  </si>
  <si>
    <r>
      <t xml:space="preserve">02 01 99 </t>
    </r>
    <r>
      <rPr>
        <b/>
        <i/>
        <sz val="10"/>
        <rFont val="Arial"/>
        <family val="2"/>
      </rPr>
      <t>A</t>
    </r>
  </si>
  <si>
    <r>
      <t xml:space="preserve">02 01 99 </t>
    </r>
    <r>
      <rPr>
        <b/>
        <i/>
        <sz val="10"/>
        <rFont val="Arial"/>
        <family val="2"/>
      </rPr>
      <t>B</t>
    </r>
  </si>
  <si>
    <r>
      <t xml:space="preserve">02 01 99 </t>
    </r>
    <r>
      <rPr>
        <b/>
        <i/>
        <sz val="10"/>
        <rFont val="Arial"/>
        <family val="2"/>
      </rPr>
      <t>C</t>
    </r>
  </si>
  <si>
    <r>
      <t xml:space="preserve">02 02 01 </t>
    </r>
    <r>
      <rPr>
        <b/>
        <i/>
        <sz val="10"/>
        <rFont val="Arial"/>
        <family val="2"/>
      </rPr>
      <t>A</t>
    </r>
  </si>
  <si>
    <r>
      <t xml:space="preserve">02 02 01 </t>
    </r>
    <r>
      <rPr>
        <b/>
        <i/>
        <sz val="10"/>
        <rFont val="Arial"/>
        <family val="2"/>
      </rPr>
      <t>Z</t>
    </r>
  </si>
  <si>
    <r>
      <t>02 02 02</t>
    </r>
    <r>
      <rPr>
        <b/>
        <i/>
        <sz val="10"/>
        <rFont val="Arial"/>
        <family val="2"/>
      </rPr>
      <t xml:space="preserve"> A</t>
    </r>
  </si>
  <si>
    <r>
      <t xml:space="preserve">02 02 02 </t>
    </r>
    <r>
      <rPr>
        <b/>
        <i/>
        <sz val="10"/>
        <rFont val="Arial"/>
        <family val="2"/>
      </rPr>
      <t>B</t>
    </r>
  </si>
  <si>
    <r>
      <t xml:space="preserve">02 02 02 </t>
    </r>
    <r>
      <rPr>
        <b/>
        <i/>
        <sz val="10"/>
        <rFont val="Arial"/>
        <family val="2"/>
      </rPr>
      <t>C</t>
    </r>
  </si>
  <si>
    <r>
      <t>02 02 02</t>
    </r>
    <r>
      <rPr>
        <b/>
        <i/>
        <sz val="10"/>
        <rFont val="Arial"/>
        <family val="2"/>
      </rPr>
      <t xml:space="preserve"> Z</t>
    </r>
  </si>
  <si>
    <r>
      <t>02 03 01</t>
    </r>
    <r>
      <rPr>
        <b/>
        <i/>
        <sz val="10"/>
        <rFont val="Arial"/>
        <family val="2"/>
      </rPr>
      <t>A</t>
    </r>
  </si>
  <si>
    <r>
      <t xml:space="preserve">02 03 01 </t>
    </r>
    <r>
      <rPr>
        <b/>
        <i/>
        <sz val="10"/>
        <rFont val="Arial"/>
        <family val="2"/>
      </rPr>
      <t>B</t>
    </r>
  </si>
  <si>
    <t>Depot en CCP</t>
  </si>
  <si>
    <r>
      <t xml:space="preserve">02 03 01  </t>
    </r>
    <r>
      <rPr>
        <b/>
        <i/>
        <sz val="10"/>
        <rFont val="Arial"/>
        <family val="2"/>
      </rPr>
      <t>Z</t>
    </r>
  </si>
  <si>
    <r>
      <t xml:space="preserve">02 03 02 </t>
    </r>
    <r>
      <rPr>
        <b/>
        <sz val="10"/>
        <rFont val="Arial"/>
        <family val="2"/>
      </rPr>
      <t>A</t>
    </r>
  </si>
  <si>
    <r>
      <t xml:space="preserve">02 03 02 </t>
    </r>
    <r>
      <rPr>
        <b/>
        <i/>
        <sz val="10"/>
        <rFont val="Arial"/>
        <family val="2"/>
      </rPr>
      <t>B</t>
    </r>
  </si>
  <si>
    <r>
      <t xml:space="preserve">02 03 02 </t>
    </r>
    <r>
      <rPr>
        <b/>
        <i/>
        <sz val="10"/>
        <rFont val="Arial"/>
        <family val="2"/>
      </rPr>
      <t>C</t>
    </r>
  </si>
  <si>
    <t>Ise. Aduaneiras:</t>
  </si>
  <si>
    <r>
      <t xml:space="preserve">02 03 02 </t>
    </r>
    <r>
      <rPr>
        <b/>
        <i/>
        <sz val="10"/>
        <rFont val="Arial"/>
        <family val="2"/>
      </rPr>
      <t>Z</t>
    </r>
  </si>
  <si>
    <r>
      <t>02 04 01</t>
    </r>
    <r>
      <rPr>
        <b/>
        <i/>
        <sz val="10"/>
        <rFont val="Arial"/>
        <family val="2"/>
      </rPr>
      <t>A</t>
    </r>
  </si>
  <si>
    <r>
      <t xml:space="preserve">02 04 01 </t>
    </r>
    <r>
      <rPr>
        <b/>
        <i/>
        <sz val="10"/>
        <rFont val="Arial"/>
        <family val="2"/>
      </rPr>
      <t>B</t>
    </r>
  </si>
  <si>
    <r>
      <t xml:space="preserve">02 04 01 </t>
    </r>
    <r>
      <rPr>
        <b/>
        <i/>
        <sz val="10"/>
        <rFont val="Arial"/>
        <family val="2"/>
      </rPr>
      <t>C</t>
    </r>
  </si>
  <si>
    <r>
      <t xml:space="preserve">02 04 01 </t>
    </r>
    <r>
      <rPr>
        <b/>
        <i/>
        <sz val="10"/>
        <rFont val="Arial"/>
        <family val="2"/>
      </rPr>
      <t>D</t>
    </r>
  </si>
  <si>
    <r>
      <t xml:space="preserve">02 04 01 </t>
    </r>
    <r>
      <rPr>
        <b/>
        <i/>
        <sz val="10"/>
        <rFont val="Arial"/>
        <family val="2"/>
      </rPr>
      <t>E</t>
    </r>
  </si>
  <si>
    <r>
      <t xml:space="preserve">02 04 01 </t>
    </r>
    <r>
      <rPr>
        <b/>
        <i/>
        <sz val="10"/>
        <rFont val="Arial"/>
        <family val="2"/>
      </rPr>
      <t>F</t>
    </r>
  </si>
  <si>
    <r>
      <t xml:space="preserve">02 04 01 </t>
    </r>
    <r>
      <rPr>
        <b/>
        <i/>
        <sz val="10"/>
        <rFont val="Arial"/>
        <family val="2"/>
      </rPr>
      <t>G</t>
    </r>
  </si>
  <si>
    <r>
      <t xml:space="preserve">02 04 01 </t>
    </r>
    <r>
      <rPr>
        <b/>
        <i/>
        <sz val="10"/>
        <rFont val="Arial"/>
        <family val="2"/>
      </rPr>
      <t>H</t>
    </r>
  </si>
  <si>
    <r>
      <t xml:space="preserve">02 04 01 </t>
    </r>
    <r>
      <rPr>
        <b/>
        <i/>
        <sz val="10"/>
        <rFont val="Arial"/>
        <family val="2"/>
      </rPr>
      <t>I</t>
    </r>
  </si>
  <si>
    <r>
      <t xml:space="preserve">02 04 01 </t>
    </r>
    <r>
      <rPr>
        <b/>
        <i/>
        <sz val="10"/>
        <rFont val="Arial"/>
        <family val="2"/>
      </rPr>
      <t>J</t>
    </r>
  </si>
  <si>
    <r>
      <t xml:space="preserve">02 04 01 </t>
    </r>
    <r>
      <rPr>
        <b/>
        <i/>
        <sz val="10"/>
        <rFont val="Arial"/>
        <family val="2"/>
      </rPr>
      <t>K</t>
    </r>
  </si>
  <si>
    <r>
      <t xml:space="preserve">02 04 99 </t>
    </r>
    <r>
      <rPr>
        <b/>
        <i/>
        <sz val="10"/>
        <rFont val="Arial"/>
        <family val="2"/>
      </rPr>
      <t>A</t>
    </r>
  </si>
  <si>
    <r>
      <t xml:space="preserve">02 04 99 </t>
    </r>
    <r>
      <rPr>
        <b/>
        <i/>
        <sz val="10"/>
        <rFont val="Arial"/>
        <family val="2"/>
      </rPr>
      <t>B</t>
    </r>
  </si>
  <si>
    <r>
      <t xml:space="preserve">03 01 01 </t>
    </r>
    <r>
      <rPr>
        <b/>
        <i/>
        <sz val="10"/>
        <rFont val="Arial"/>
        <family val="2"/>
      </rPr>
      <t>A</t>
    </r>
  </si>
  <si>
    <r>
      <t xml:space="preserve">03 01 01 </t>
    </r>
    <r>
      <rPr>
        <b/>
        <i/>
        <sz val="10"/>
        <rFont val="Arial"/>
        <family val="2"/>
      </rPr>
      <t>B</t>
    </r>
  </si>
  <si>
    <r>
      <t xml:space="preserve">03 01 01 </t>
    </r>
    <r>
      <rPr>
        <b/>
        <i/>
        <sz val="10"/>
        <rFont val="Arial"/>
        <family val="2"/>
      </rPr>
      <t>C</t>
    </r>
  </si>
  <si>
    <r>
      <t>03 01 13</t>
    </r>
    <r>
      <rPr>
        <b/>
        <i/>
        <sz val="10"/>
        <rFont val="Arial"/>
        <family val="2"/>
      </rPr>
      <t xml:space="preserve"> A</t>
    </r>
  </si>
  <si>
    <r>
      <t xml:space="preserve">03 01 13 </t>
    </r>
    <r>
      <rPr>
        <b/>
        <i/>
        <sz val="10"/>
        <rFont val="Arial"/>
        <family val="2"/>
      </rPr>
      <t>B</t>
    </r>
  </si>
  <si>
    <r>
      <t>03 01 99</t>
    </r>
    <r>
      <rPr>
        <b/>
        <i/>
        <sz val="10"/>
        <rFont val="Arial"/>
        <family val="2"/>
      </rPr>
      <t xml:space="preserve"> A</t>
    </r>
  </si>
  <si>
    <r>
      <t xml:space="preserve">03 01 99 </t>
    </r>
    <r>
      <rPr>
        <b/>
        <i/>
        <sz val="10"/>
        <rFont val="Arial"/>
        <family val="2"/>
      </rPr>
      <t>B</t>
    </r>
  </si>
  <si>
    <r>
      <t xml:space="preserve">03 01 99 </t>
    </r>
    <r>
      <rPr>
        <b/>
        <i/>
        <sz val="10"/>
        <rFont val="Arial"/>
        <family val="2"/>
      </rPr>
      <t>C</t>
    </r>
  </si>
  <si>
    <r>
      <t xml:space="preserve">03 01 99 </t>
    </r>
    <r>
      <rPr>
        <b/>
        <i/>
        <sz val="10"/>
        <rFont val="Arial"/>
        <family val="2"/>
      </rPr>
      <t>D</t>
    </r>
  </si>
  <si>
    <r>
      <t xml:space="preserve">03 01 99 </t>
    </r>
    <r>
      <rPr>
        <b/>
        <i/>
        <sz val="10"/>
        <rFont val="Arial"/>
        <family val="2"/>
      </rPr>
      <t>E</t>
    </r>
  </si>
  <si>
    <r>
      <t>03 01 99</t>
    </r>
    <r>
      <rPr>
        <b/>
        <i/>
        <sz val="10"/>
        <rFont val="Arial"/>
        <family val="2"/>
      </rPr>
      <t xml:space="preserve"> F</t>
    </r>
  </si>
  <si>
    <r>
      <t xml:space="preserve">03 01 99 </t>
    </r>
    <r>
      <rPr>
        <b/>
        <i/>
        <sz val="10"/>
        <rFont val="Arial"/>
        <family val="2"/>
      </rPr>
      <t>G</t>
    </r>
  </si>
  <si>
    <r>
      <t xml:space="preserve">03 01 99 </t>
    </r>
    <r>
      <rPr>
        <b/>
        <i/>
        <sz val="10"/>
        <rFont val="Arial"/>
        <family val="2"/>
      </rPr>
      <t>H</t>
    </r>
  </si>
  <si>
    <r>
      <t xml:space="preserve">03 01 99 </t>
    </r>
    <r>
      <rPr>
        <b/>
        <i/>
        <sz val="10"/>
        <rFont val="Arial"/>
        <family val="2"/>
      </rPr>
      <t>I</t>
    </r>
  </si>
  <si>
    <r>
      <t xml:space="preserve">03 01 99 </t>
    </r>
    <r>
      <rPr>
        <b/>
        <i/>
        <sz val="10"/>
        <rFont val="Arial"/>
        <family val="2"/>
      </rPr>
      <t>J</t>
    </r>
  </si>
  <si>
    <r>
      <t xml:space="preserve">03 01 99 </t>
    </r>
    <r>
      <rPr>
        <b/>
        <i/>
        <sz val="10"/>
        <rFont val="Arial"/>
        <family val="2"/>
      </rPr>
      <t>K</t>
    </r>
  </si>
  <si>
    <r>
      <t>03 01 99</t>
    </r>
    <r>
      <rPr>
        <b/>
        <i/>
        <sz val="10"/>
        <rFont val="Arial"/>
        <family val="2"/>
      </rPr>
      <t xml:space="preserve"> L</t>
    </r>
  </si>
  <si>
    <r>
      <t xml:space="preserve">03 01 99 </t>
    </r>
    <r>
      <rPr>
        <b/>
        <i/>
        <sz val="10"/>
        <rFont val="Arial"/>
        <family val="2"/>
      </rPr>
      <t>M</t>
    </r>
  </si>
  <si>
    <r>
      <t xml:space="preserve">03 01 99 </t>
    </r>
    <r>
      <rPr>
        <b/>
        <i/>
        <sz val="10"/>
        <rFont val="Arial"/>
        <family val="2"/>
      </rPr>
      <t>N</t>
    </r>
  </si>
  <si>
    <r>
      <t xml:space="preserve">03 01 99 </t>
    </r>
    <r>
      <rPr>
        <b/>
        <i/>
        <sz val="10"/>
        <rFont val="Arial"/>
        <family val="2"/>
      </rPr>
      <t>O</t>
    </r>
  </si>
  <si>
    <r>
      <t xml:space="preserve">03 01 99 </t>
    </r>
    <r>
      <rPr>
        <b/>
        <i/>
        <sz val="10"/>
        <rFont val="Arial"/>
        <family val="2"/>
      </rPr>
      <t>P</t>
    </r>
  </si>
  <si>
    <r>
      <t xml:space="preserve">03 01 99 </t>
    </r>
    <r>
      <rPr>
        <b/>
        <i/>
        <sz val="10"/>
        <rFont val="Arial"/>
        <family val="2"/>
      </rPr>
      <t>Q</t>
    </r>
  </si>
  <si>
    <r>
      <t>03 01 99</t>
    </r>
    <r>
      <rPr>
        <b/>
        <i/>
        <sz val="10"/>
        <rFont val="Arial"/>
        <family val="2"/>
      </rPr>
      <t xml:space="preserve"> R</t>
    </r>
  </si>
  <si>
    <r>
      <t xml:space="preserve">03 01 99 </t>
    </r>
    <r>
      <rPr>
        <b/>
        <i/>
        <sz val="10"/>
        <rFont val="Arial"/>
        <family val="2"/>
      </rPr>
      <t>S</t>
    </r>
  </si>
  <si>
    <r>
      <t>03 01 99</t>
    </r>
    <r>
      <rPr>
        <b/>
        <i/>
        <sz val="10"/>
        <rFont val="Arial"/>
        <family val="2"/>
      </rPr>
      <t xml:space="preserve"> T</t>
    </r>
  </si>
  <si>
    <r>
      <t xml:space="preserve">03 01 99 </t>
    </r>
    <r>
      <rPr>
        <b/>
        <i/>
        <sz val="10"/>
        <rFont val="Arial"/>
        <family val="2"/>
      </rPr>
      <t>U</t>
    </r>
  </si>
  <si>
    <r>
      <t>03 01 99</t>
    </r>
    <r>
      <rPr>
        <b/>
        <i/>
        <sz val="10"/>
        <rFont val="Arial"/>
        <family val="2"/>
      </rPr>
      <t xml:space="preserve"> V</t>
    </r>
  </si>
  <si>
    <t>BEI/Ex-BCN</t>
  </si>
  <si>
    <t>Ex-BCG/Decouvert Statutaires</t>
  </si>
  <si>
    <t>BEI/Ex-BCN/Avances  Statutaires</t>
  </si>
  <si>
    <r>
      <t xml:space="preserve">03 01 99 </t>
    </r>
    <r>
      <rPr>
        <b/>
        <i/>
        <sz val="10"/>
        <rFont val="Arial"/>
        <family val="2"/>
      </rPr>
      <t>W</t>
    </r>
  </si>
  <si>
    <r>
      <t>03 01 99</t>
    </r>
    <r>
      <rPr>
        <b/>
        <i/>
        <sz val="10"/>
        <rFont val="Arial"/>
        <family val="2"/>
      </rPr>
      <t xml:space="preserve"> X</t>
    </r>
  </si>
  <si>
    <r>
      <t xml:space="preserve">03 01 99 </t>
    </r>
    <r>
      <rPr>
        <b/>
        <i/>
        <sz val="10"/>
        <rFont val="Arial"/>
        <family val="2"/>
      </rPr>
      <t>Y</t>
    </r>
  </si>
  <si>
    <r>
      <t xml:space="preserve">03 01 99 </t>
    </r>
    <r>
      <rPr>
        <b/>
        <i/>
        <sz val="10"/>
        <rFont val="Arial"/>
        <family val="2"/>
      </rPr>
      <t>Z</t>
    </r>
  </si>
  <si>
    <r>
      <t xml:space="preserve">03 02 99 </t>
    </r>
    <r>
      <rPr>
        <b/>
        <i/>
        <sz val="10"/>
        <rFont val="Arial"/>
        <family val="2"/>
      </rPr>
      <t>A</t>
    </r>
  </si>
  <si>
    <t>TOFE - 2010                                                                                                                   Em milhões de FCFA</t>
  </si>
  <si>
    <r>
      <t xml:space="preserve">03 02 99  </t>
    </r>
    <r>
      <rPr>
        <b/>
        <i/>
        <sz val="10"/>
        <rFont val="Arial"/>
        <family val="2"/>
      </rPr>
      <t>B</t>
    </r>
  </si>
  <si>
    <r>
      <t xml:space="preserve">03 02 99  </t>
    </r>
    <r>
      <rPr>
        <b/>
        <i/>
        <sz val="10"/>
        <rFont val="Arial"/>
        <family val="2"/>
      </rPr>
      <t>C</t>
    </r>
  </si>
  <si>
    <r>
      <t xml:space="preserve">03 02 99  </t>
    </r>
    <r>
      <rPr>
        <b/>
        <i/>
        <sz val="10"/>
        <rFont val="Arial"/>
        <family val="2"/>
      </rPr>
      <t>Z</t>
    </r>
  </si>
  <si>
    <r>
      <t xml:space="preserve">04 06 03 </t>
    </r>
    <r>
      <rPr>
        <b/>
        <i/>
        <sz val="10"/>
        <rFont val="Arial"/>
        <family val="2"/>
      </rPr>
      <t>A</t>
    </r>
  </si>
  <si>
    <r>
      <t xml:space="preserve">04 06 03 </t>
    </r>
    <r>
      <rPr>
        <b/>
        <i/>
        <sz val="10"/>
        <rFont val="Arial"/>
        <family val="2"/>
      </rPr>
      <t>B</t>
    </r>
  </si>
  <si>
    <r>
      <t xml:space="preserve">04 06 03 </t>
    </r>
    <r>
      <rPr>
        <b/>
        <i/>
        <sz val="10"/>
        <rFont val="Arial"/>
        <family val="2"/>
      </rPr>
      <t>C</t>
    </r>
  </si>
  <si>
    <r>
      <t xml:space="preserve">04 06 03 </t>
    </r>
    <r>
      <rPr>
        <b/>
        <i/>
        <sz val="10"/>
        <rFont val="Arial"/>
        <family val="2"/>
      </rPr>
      <t>D</t>
    </r>
  </si>
  <si>
    <r>
      <t xml:space="preserve">05 02 01 </t>
    </r>
    <r>
      <rPr>
        <b/>
        <i/>
        <sz val="10"/>
        <rFont val="Arial"/>
        <family val="2"/>
      </rPr>
      <t>A</t>
    </r>
  </si>
  <si>
    <r>
      <t>05 02 01</t>
    </r>
    <r>
      <rPr>
        <b/>
        <i/>
        <sz val="10"/>
        <rFont val="Arial"/>
        <family val="2"/>
      </rPr>
      <t xml:space="preserve"> B</t>
    </r>
  </si>
  <si>
    <r>
      <t xml:space="preserve">05 02 01 </t>
    </r>
    <r>
      <rPr>
        <b/>
        <i/>
        <sz val="10"/>
        <rFont val="Arial"/>
        <family val="2"/>
      </rPr>
      <t>C</t>
    </r>
  </si>
  <si>
    <r>
      <t xml:space="preserve">05 02 04 </t>
    </r>
    <r>
      <rPr>
        <b/>
        <i/>
        <sz val="10"/>
        <rFont val="Arial"/>
        <family val="2"/>
      </rPr>
      <t>A</t>
    </r>
  </si>
  <si>
    <r>
      <t xml:space="preserve">05 02 04 </t>
    </r>
    <r>
      <rPr>
        <b/>
        <i/>
        <sz val="10"/>
        <rFont val="Arial"/>
        <family val="2"/>
      </rPr>
      <t>B</t>
    </r>
  </si>
  <si>
    <r>
      <t xml:space="preserve">05 02 04 </t>
    </r>
    <r>
      <rPr>
        <b/>
        <i/>
        <sz val="10"/>
        <rFont val="Arial"/>
        <family val="2"/>
      </rPr>
      <t>C</t>
    </r>
  </si>
  <si>
    <r>
      <t xml:space="preserve">05 02 04 </t>
    </r>
    <r>
      <rPr>
        <b/>
        <i/>
        <sz val="10"/>
        <rFont val="Arial"/>
        <family val="2"/>
      </rPr>
      <t>D</t>
    </r>
  </si>
  <si>
    <r>
      <t xml:space="preserve">05 02 04 </t>
    </r>
    <r>
      <rPr>
        <b/>
        <i/>
        <sz val="10"/>
        <rFont val="Arial"/>
        <family val="2"/>
      </rPr>
      <t>E</t>
    </r>
  </si>
  <si>
    <r>
      <t xml:space="preserve">05 02 04 </t>
    </r>
    <r>
      <rPr>
        <b/>
        <i/>
        <sz val="10"/>
        <rFont val="Arial"/>
        <family val="2"/>
      </rPr>
      <t>F</t>
    </r>
  </si>
  <si>
    <r>
      <t xml:space="preserve">05 07 03 </t>
    </r>
    <r>
      <rPr>
        <b/>
        <i/>
        <sz val="10"/>
        <rFont val="Arial"/>
        <family val="2"/>
      </rPr>
      <t>A</t>
    </r>
  </si>
  <si>
    <r>
      <t xml:space="preserve">05 07 03 </t>
    </r>
    <r>
      <rPr>
        <b/>
        <i/>
        <sz val="10"/>
        <rFont val="Arial"/>
        <family val="2"/>
      </rPr>
      <t>B</t>
    </r>
  </si>
  <si>
    <r>
      <t>06 02 01</t>
    </r>
    <r>
      <rPr>
        <b/>
        <i/>
        <sz val="10"/>
        <rFont val="Arial"/>
        <family val="2"/>
      </rPr>
      <t xml:space="preserve"> A</t>
    </r>
  </si>
  <si>
    <r>
      <t xml:space="preserve">06 02 01 </t>
    </r>
    <r>
      <rPr>
        <b/>
        <i/>
        <sz val="10"/>
        <rFont val="Arial"/>
        <family val="2"/>
      </rPr>
      <t>B</t>
    </r>
  </si>
  <si>
    <r>
      <t xml:space="preserve">06 02 01 </t>
    </r>
    <r>
      <rPr>
        <b/>
        <i/>
        <sz val="10"/>
        <rFont val="Arial"/>
        <family val="2"/>
      </rPr>
      <t>C</t>
    </r>
  </si>
  <si>
    <r>
      <t xml:space="preserve">06 02 01 </t>
    </r>
    <r>
      <rPr>
        <b/>
        <i/>
        <sz val="10"/>
        <rFont val="Arial"/>
        <family val="2"/>
      </rPr>
      <t>D</t>
    </r>
  </si>
  <si>
    <r>
      <t xml:space="preserve">06 02 01 </t>
    </r>
    <r>
      <rPr>
        <b/>
        <i/>
        <sz val="10"/>
        <rFont val="Arial"/>
        <family val="2"/>
      </rPr>
      <t>E</t>
    </r>
  </si>
  <si>
    <r>
      <t xml:space="preserve">06 02 01 </t>
    </r>
    <r>
      <rPr>
        <b/>
        <i/>
        <sz val="10"/>
        <rFont val="Arial"/>
        <family val="2"/>
      </rPr>
      <t>F</t>
    </r>
  </si>
  <si>
    <r>
      <t xml:space="preserve">06 02 01 </t>
    </r>
    <r>
      <rPr>
        <b/>
        <i/>
        <sz val="10"/>
        <rFont val="Arial"/>
        <family val="2"/>
      </rPr>
      <t>G</t>
    </r>
  </si>
  <si>
    <t xml:space="preserve">   Var du découvert (amortis avance stat.)</t>
  </si>
  <si>
    <r>
      <t xml:space="preserve">06 02 01 </t>
    </r>
    <r>
      <rPr>
        <b/>
        <i/>
        <sz val="10"/>
        <rFont val="Arial"/>
        <family val="2"/>
      </rPr>
      <t>H</t>
    </r>
  </si>
  <si>
    <r>
      <t xml:space="preserve">06 02 01 </t>
    </r>
    <r>
      <rPr>
        <b/>
        <i/>
        <sz val="10"/>
        <rFont val="Arial"/>
        <family val="2"/>
      </rPr>
      <t>I</t>
    </r>
  </si>
  <si>
    <r>
      <t>06 02 01</t>
    </r>
    <r>
      <rPr>
        <b/>
        <i/>
        <sz val="10"/>
        <rFont val="Arial"/>
        <family val="2"/>
      </rPr>
      <t xml:space="preserve"> J</t>
    </r>
  </si>
  <si>
    <r>
      <t xml:space="preserve">06 02 01 </t>
    </r>
    <r>
      <rPr>
        <b/>
        <i/>
        <sz val="10"/>
        <rFont val="Arial"/>
        <family val="2"/>
      </rPr>
      <t>K</t>
    </r>
  </si>
  <si>
    <r>
      <t xml:space="preserve">06 02 01 </t>
    </r>
    <r>
      <rPr>
        <b/>
        <i/>
        <sz val="10"/>
        <rFont val="Arial"/>
        <family val="2"/>
      </rPr>
      <t>Z</t>
    </r>
  </si>
  <si>
    <r>
      <t xml:space="preserve">06 03 01 </t>
    </r>
    <r>
      <rPr>
        <b/>
        <i/>
        <sz val="10"/>
        <rFont val="Arial"/>
        <family val="2"/>
      </rPr>
      <t>A</t>
    </r>
  </si>
  <si>
    <r>
      <t xml:space="preserve">06 03 01 </t>
    </r>
    <r>
      <rPr>
        <b/>
        <i/>
        <sz val="10"/>
        <rFont val="Arial"/>
        <family val="2"/>
      </rPr>
      <t>B</t>
    </r>
  </si>
  <si>
    <r>
      <t xml:space="preserve">06 03 01 </t>
    </r>
    <r>
      <rPr>
        <b/>
        <i/>
        <sz val="10"/>
        <rFont val="Arial"/>
        <family val="2"/>
      </rPr>
      <t>C</t>
    </r>
  </si>
  <si>
    <r>
      <t xml:space="preserve">06 03 01 </t>
    </r>
    <r>
      <rPr>
        <b/>
        <i/>
        <sz val="10"/>
        <rFont val="Arial"/>
        <family val="2"/>
      </rPr>
      <t>D</t>
    </r>
  </si>
  <si>
    <r>
      <t xml:space="preserve">06 03 01 </t>
    </r>
    <r>
      <rPr>
        <b/>
        <i/>
        <sz val="10"/>
        <rFont val="Arial"/>
        <family val="2"/>
      </rPr>
      <t>E</t>
    </r>
  </si>
  <si>
    <r>
      <t xml:space="preserve">06 03 99 </t>
    </r>
    <r>
      <rPr>
        <b/>
        <i/>
        <sz val="10"/>
        <rFont val="Arial"/>
        <family val="2"/>
      </rPr>
      <t>A</t>
    </r>
  </si>
  <si>
    <r>
      <t xml:space="preserve">06 03 99 </t>
    </r>
    <r>
      <rPr>
        <b/>
        <i/>
        <sz val="10"/>
        <rFont val="Arial"/>
        <family val="2"/>
      </rPr>
      <t>B</t>
    </r>
  </si>
  <si>
    <r>
      <t xml:space="preserve">06 03 99 </t>
    </r>
    <r>
      <rPr>
        <b/>
        <i/>
        <sz val="10"/>
        <rFont val="Arial"/>
        <family val="2"/>
      </rPr>
      <t>C</t>
    </r>
  </si>
  <si>
    <r>
      <t xml:space="preserve">06 03 99 </t>
    </r>
    <r>
      <rPr>
        <b/>
        <i/>
        <sz val="10"/>
        <rFont val="Arial"/>
        <family val="2"/>
      </rPr>
      <t>D</t>
    </r>
  </si>
  <si>
    <r>
      <t xml:space="preserve">06 03 99 </t>
    </r>
    <r>
      <rPr>
        <b/>
        <i/>
        <sz val="10"/>
        <rFont val="Arial"/>
        <family val="2"/>
      </rPr>
      <t>E</t>
    </r>
  </si>
  <si>
    <r>
      <t xml:space="preserve">06 03 99 </t>
    </r>
    <r>
      <rPr>
        <b/>
        <i/>
        <sz val="10"/>
        <rFont val="Arial"/>
        <family val="2"/>
      </rPr>
      <t>F</t>
    </r>
  </si>
  <si>
    <r>
      <t xml:space="preserve">06 03 99 </t>
    </r>
    <r>
      <rPr>
        <b/>
        <i/>
        <sz val="10"/>
        <rFont val="Arial"/>
        <family val="2"/>
      </rPr>
      <t>G</t>
    </r>
  </si>
  <si>
    <r>
      <t xml:space="preserve">06 03 99 </t>
    </r>
    <r>
      <rPr>
        <b/>
        <i/>
        <sz val="10"/>
        <rFont val="Arial"/>
        <family val="2"/>
      </rPr>
      <t>H</t>
    </r>
  </si>
  <si>
    <r>
      <t xml:space="preserve">06 03 99 </t>
    </r>
    <r>
      <rPr>
        <b/>
        <i/>
        <sz val="10"/>
        <rFont val="Arial"/>
        <family val="2"/>
      </rPr>
      <t>I</t>
    </r>
  </si>
  <si>
    <r>
      <t xml:space="preserve">06 03 99 </t>
    </r>
    <r>
      <rPr>
        <b/>
        <i/>
        <sz val="10"/>
        <rFont val="Arial"/>
        <family val="2"/>
      </rPr>
      <t>J</t>
    </r>
  </si>
  <si>
    <r>
      <t>06 03 99</t>
    </r>
    <r>
      <rPr>
        <b/>
        <i/>
        <sz val="10"/>
        <rFont val="Arial"/>
        <family val="2"/>
      </rPr>
      <t xml:space="preserve"> K</t>
    </r>
  </si>
  <si>
    <r>
      <t xml:space="preserve">06 03 99 </t>
    </r>
    <r>
      <rPr>
        <b/>
        <i/>
        <sz val="10"/>
        <rFont val="Arial"/>
        <family val="2"/>
      </rPr>
      <t>L</t>
    </r>
  </si>
  <si>
    <r>
      <t xml:space="preserve">06 03 99 </t>
    </r>
    <r>
      <rPr>
        <b/>
        <i/>
        <sz val="10"/>
        <rFont val="Arial"/>
        <family val="2"/>
      </rPr>
      <t>M</t>
    </r>
  </si>
  <si>
    <r>
      <t xml:space="preserve">06 03 99 </t>
    </r>
    <r>
      <rPr>
        <b/>
        <i/>
        <sz val="10"/>
        <rFont val="Arial"/>
        <family val="2"/>
      </rPr>
      <t>N</t>
    </r>
  </si>
  <si>
    <r>
      <t xml:space="preserve">06 03 99 </t>
    </r>
    <r>
      <rPr>
        <b/>
        <i/>
        <sz val="10"/>
        <rFont val="Arial"/>
        <family val="2"/>
      </rPr>
      <t>O</t>
    </r>
  </si>
  <si>
    <r>
      <t xml:space="preserve">06 03 99 </t>
    </r>
    <r>
      <rPr>
        <b/>
        <i/>
        <sz val="10"/>
        <rFont val="Arial"/>
        <family val="2"/>
      </rPr>
      <t>P</t>
    </r>
  </si>
  <si>
    <r>
      <t xml:space="preserve">06 03 99 </t>
    </r>
    <r>
      <rPr>
        <b/>
        <i/>
        <sz val="10"/>
        <rFont val="Arial"/>
        <family val="2"/>
      </rPr>
      <t>Q</t>
    </r>
  </si>
  <si>
    <r>
      <t xml:space="preserve">06 03 99 </t>
    </r>
    <r>
      <rPr>
        <b/>
        <i/>
        <sz val="10"/>
        <rFont val="Arial"/>
        <family val="2"/>
      </rPr>
      <t>R</t>
    </r>
  </si>
  <si>
    <r>
      <t xml:space="preserve">06 03 99 </t>
    </r>
    <r>
      <rPr>
        <b/>
        <i/>
        <sz val="10"/>
        <rFont val="Arial"/>
        <family val="2"/>
      </rPr>
      <t>S</t>
    </r>
  </si>
  <si>
    <r>
      <t xml:space="preserve">06 03 99 </t>
    </r>
    <r>
      <rPr>
        <b/>
        <i/>
        <sz val="10"/>
        <rFont val="Arial"/>
        <family val="2"/>
      </rPr>
      <t>T</t>
    </r>
  </si>
  <si>
    <r>
      <t>08 01 04</t>
    </r>
    <r>
      <rPr>
        <b/>
        <i/>
        <sz val="10"/>
        <rFont val="Arial"/>
        <family val="2"/>
      </rPr>
      <t xml:space="preserve"> A</t>
    </r>
  </si>
  <si>
    <r>
      <t xml:space="preserve">08 01 04 </t>
    </r>
    <r>
      <rPr>
        <b/>
        <i/>
        <sz val="10"/>
        <rFont val="Arial"/>
        <family val="2"/>
      </rPr>
      <t>B</t>
    </r>
  </si>
  <si>
    <t>codigo/rubricas</t>
  </si>
  <si>
    <t>JAN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</si>
  <si>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</si>
  <si>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</si>
  <si>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</si>
  <si>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</si>
  <si>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</si>
  <si>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</si>
  <si>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</si>
  <si>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</si>
  <si>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</si>
  <si>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</si>
  <si>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D.Importaçao</t>
  </si>
  <si>
    <t>020101A</t>
  </si>
  <si>
    <t>020101B</t>
  </si>
  <si>
    <t>020101C</t>
  </si>
  <si>
    <t>020301A</t>
  </si>
  <si>
    <t>020301B</t>
  </si>
  <si>
    <t>020301C</t>
  </si>
  <si>
    <t>020202A</t>
  </si>
  <si>
    <t>020202B</t>
  </si>
  <si>
    <t>Selos Diversos</t>
  </si>
  <si>
    <t>020401 G</t>
  </si>
  <si>
    <t>060201J</t>
  </si>
  <si>
    <t>060399 I</t>
  </si>
  <si>
    <t>030199 Z</t>
  </si>
  <si>
    <t>030199 H</t>
  </si>
  <si>
    <t>030199 B</t>
  </si>
  <si>
    <t>060301 B</t>
  </si>
  <si>
    <t>060301E</t>
  </si>
  <si>
    <t>Particip.(multas)</t>
  </si>
  <si>
    <t>030299C</t>
  </si>
  <si>
    <t>090099</t>
  </si>
  <si>
    <t>Rec.Atrasados:</t>
  </si>
  <si>
    <t>Soma Total</t>
  </si>
  <si>
    <t>20206 D</t>
  </si>
  <si>
    <t>PCS - UEMOA</t>
  </si>
  <si>
    <t>020199 A</t>
  </si>
  <si>
    <t>PC - CEDEAO</t>
  </si>
  <si>
    <t>020399 A</t>
  </si>
  <si>
    <t>Fonte: Transferências de Fundos da Contabilidade da Alfândega de Bissau (Sede de Serviço das Alfândegas).</t>
  </si>
  <si>
    <t>IIºSem.</t>
  </si>
  <si>
    <t>Tx.Exec.</t>
  </si>
  <si>
    <t>Difer</t>
  </si>
  <si>
    <t xml:space="preserve">                  . Rendimento em Divisa</t>
  </si>
  <si>
    <t xml:space="preserve">                  . Rendimento em Moeda Nacional</t>
  </si>
  <si>
    <t xml:space="preserve">              - Cerâmica</t>
  </si>
  <si>
    <t xml:space="preserve">              - Outros (ImpostoTonelagem)</t>
  </si>
  <si>
    <t xml:space="preserve">               - Selo de Conhecimento de Cobrança</t>
  </si>
  <si>
    <t xml:space="preserve">           . Rendimento dos Serv. Do Notariado</t>
  </si>
  <si>
    <t xml:space="preserve">               - Castanha de Cajú</t>
  </si>
  <si>
    <t xml:space="preserve">      - Licença e Porte de Arma</t>
  </si>
  <si>
    <t xml:space="preserve">      - Emolumento de Tribunal de Contas</t>
  </si>
  <si>
    <t xml:space="preserve">      - Emolumento de Portos e Capitania</t>
  </si>
  <si>
    <t xml:space="preserve">           . Inspecção de Produtos Alimentares</t>
  </si>
  <si>
    <t>050204 F</t>
  </si>
  <si>
    <t xml:space="preserve">      - Participação Lucros Empr. Públicas</t>
  </si>
  <si>
    <t>Fonds de Gestion Eco. d'Urgence</t>
  </si>
  <si>
    <t>Arrieres sur exercices 2007</t>
  </si>
  <si>
    <t>Décaissem. total 2008</t>
  </si>
  <si>
    <t xml:space="preserve">              . Licença de Pesca             </t>
  </si>
  <si>
    <t xml:space="preserve">              . Outros Fundos (Geomina / Radio Nac.)</t>
  </si>
  <si>
    <t>( Receitas Extraordinarias)Produit des privatisations</t>
  </si>
  <si>
    <t>LECENCA TELEMOVEIS</t>
  </si>
  <si>
    <t>GuineTelecom</t>
  </si>
  <si>
    <t>LECENCA PESCA</t>
  </si>
  <si>
    <t>TOTAL PECHE</t>
  </si>
  <si>
    <t xml:space="preserve">    - ano 2008</t>
  </si>
  <si>
    <r>
      <t>01 01 01</t>
    </r>
    <r>
      <rPr>
        <b/>
        <i/>
        <sz val="8"/>
        <rFont val="Arial"/>
        <family val="2"/>
      </rPr>
      <t>A</t>
    </r>
  </si>
  <si>
    <r>
      <t>01 01 01</t>
    </r>
    <r>
      <rPr>
        <b/>
        <i/>
        <sz val="8"/>
        <rFont val="Arial"/>
        <family val="2"/>
      </rPr>
      <t>B</t>
    </r>
  </si>
  <si>
    <r>
      <t>01 01 01</t>
    </r>
    <r>
      <rPr>
        <b/>
        <i/>
        <sz val="8"/>
        <rFont val="Arial"/>
        <family val="2"/>
      </rPr>
      <t>C</t>
    </r>
  </si>
  <si>
    <r>
      <t>01 01 01</t>
    </r>
    <r>
      <rPr>
        <b/>
        <i/>
        <sz val="8"/>
        <rFont val="Arial"/>
        <family val="2"/>
      </rPr>
      <t>D</t>
    </r>
  </si>
  <si>
    <r>
      <t>01 01 02</t>
    </r>
    <r>
      <rPr>
        <b/>
        <i/>
        <sz val="8"/>
        <rFont val="Arial"/>
        <family val="2"/>
      </rPr>
      <t>A</t>
    </r>
  </si>
  <si>
    <r>
      <t>01 01 02</t>
    </r>
    <r>
      <rPr>
        <b/>
        <i/>
        <sz val="8"/>
        <rFont val="Arial"/>
        <family val="2"/>
      </rPr>
      <t>B</t>
    </r>
  </si>
  <si>
    <r>
      <t>01 01 03</t>
    </r>
    <r>
      <rPr>
        <b/>
        <i/>
        <sz val="8"/>
        <rFont val="Arial"/>
        <family val="2"/>
      </rPr>
      <t>A</t>
    </r>
  </si>
  <si>
    <r>
      <t>01 01 03</t>
    </r>
    <r>
      <rPr>
        <b/>
        <i/>
        <sz val="8"/>
        <rFont val="Arial"/>
        <family val="2"/>
      </rPr>
      <t>B</t>
    </r>
  </si>
  <si>
    <r>
      <t>01 02 02</t>
    </r>
    <r>
      <rPr>
        <b/>
        <i/>
        <sz val="8"/>
        <rFont val="Arial"/>
        <family val="2"/>
      </rPr>
      <t>B</t>
    </r>
  </si>
  <si>
    <r>
      <t>01 02 02</t>
    </r>
    <r>
      <rPr>
        <b/>
        <i/>
        <sz val="8"/>
        <rFont val="Arial"/>
        <family val="2"/>
      </rPr>
      <t>A</t>
    </r>
  </si>
  <si>
    <r>
      <t>02 01 99</t>
    </r>
    <r>
      <rPr>
        <b/>
        <i/>
        <sz val="8"/>
        <rFont val="Arial"/>
        <family val="2"/>
      </rPr>
      <t>A</t>
    </r>
  </si>
  <si>
    <r>
      <t>02 03 01</t>
    </r>
    <r>
      <rPr>
        <b/>
        <i/>
        <sz val="8"/>
        <rFont val="Arial"/>
        <family val="2"/>
      </rPr>
      <t>D</t>
    </r>
  </si>
  <si>
    <r>
      <t>02 03 01</t>
    </r>
    <r>
      <rPr>
        <b/>
        <i/>
        <sz val="8"/>
        <rFont val="Arial"/>
        <family val="2"/>
      </rPr>
      <t>A</t>
    </r>
  </si>
  <si>
    <r>
      <t>02 03 01</t>
    </r>
    <r>
      <rPr>
        <b/>
        <i/>
        <sz val="8"/>
        <rFont val="Arial"/>
        <family val="2"/>
      </rPr>
      <t>B</t>
    </r>
  </si>
  <si>
    <r>
      <t>01 03 01</t>
    </r>
    <r>
      <rPr>
        <b/>
        <i/>
        <sz val="8"/>
        <rFont val="Arial"/>
        <family val="2"/>
      </rPr>
      <t>C</t>
    </r>
  </si>
  <si>
    <r>
      <t>02 02 05</t>
    </r>
    <r>
      <rPr>
        <b/>
        <i/>
        <sz val="8"/>
        <rFont val="Arial"/>
        <family val="2"/>
      </rPr>
      <t>B</t>
    </r>
  </si>
  <si>
    <r>
      <t>02 02 04</t>
    </r>
    <r>
      <rPr>
        <b/>
        <i/>
        <sz val="8"/>
        <rFont val="Arial"/>
        <family val="2"/>
      </rPr>
      <t>A</t>
    </r>
  </si>
  <si>
    <r>
      <t>02 03 01</t>
    </r>
    <r>
      <rPr>
        <b/>
        <i/>
        <sz val="8"/>
        <rFont val="Arial"/>
        <family val="2"/>
      </rPr>
      <t>B</t>
    </r>
    <r>
      <rPr>
        <i/>
        <sz val="8"/>
        <rFont val="Arial"/>
        <family val="2"/>
      </rPr>
      <t xml:space="preserve"> </t>
    </r>
  </si>
  <si>
    <r>
      <t>02 03 01</t>
    </r>
    <r>
      <rPr>
        <b/>
        <i/>
        <sz val="8"/>
        <rFont val="Arial"/>
        <family val="2"/>
      </rPr>
      <t>C</t>
    </r>
  </si>
  <si>
    <r>
      <t>02 03 01</t>
    </r>
    <r>
      <rPr>
        <b/>
        <i/>
        <sz val="8"/>
        <rFont val="Arial"/>
        <family val="2"/>
      </rPr>
      <t>E</t>
    </r>
  </si>
  <si>
    <r>
      <t>02 03 01</t>
    </r>
    <r>
      <rPr>
        <b/>
        <i/>
        <sz val="8"/>
        <rFont val="Arial"/>
        <family val="2"/>
      </rPr>
      <t>F</t>
    </r>
  </si>
  <si>
    <r>
      <t>02 03 01</t>
    </r>
    <r>
      <rPr>
        <b/>
        <i/>
        <sz val="8"/>
        <rFont val="Arial"/>
        <family val="2"/>
      </rPr>
      <t>G</t>
    </r>
  </si>
  <si>
    <r>
      <t>02 03 01</t>
    </r>
    <r>
      <rPr>
        <b/>
        <i/>
        <sz val="8"/>
        <rFont val="Arial"/>
        <family val="2"/>
      </rPr>
      <t>H</t>
    </r>
  </si>
  <si>
    <r>
      <t>02 03 01</t>
    </r>
    <r>
      <rPr>
        <b/>
        <i/>
        <sz val="8"/>
        <rFont val="Arial"/>
        <family val="2"/>
      </rPr>
      <t>I</t>
    </r>
  </si>
  <si>
    <r>
      <t>02 03 01</t>
    </r>
    <r>
      <rPr>
        <b/>
        <i/>
        <sz val="8"/>
        <rFont val="Arial"/>
        <family val="2"/>
      </rPr>
      <t>K</t>
    </r>
  </si>
  <si>
    <r>
      <t>03 01 99</t>
    </r>
    <r>
      <rPr>
        <b/>
        <i/>
        <sz val="8"/>
        <rFont val="Arial"/>
        <family val="2"/>
      </rPr>
      <t>C</t>
    </r>
  </si>
  <si>
    <r>
      <t>03 01 99</t>
    </r>
    <r>
      <rPr>
        <b/>
        <i/>
        <sz val="8"/>
        <rFont val="Arial"/>
        <family val="2"/>
      </rPr>
      <t>D</t>
    </r>
  </si>
  <si>
    <r>
      <t>03 01 99</t>
    </r>
    <r>
      <rPr>
        <b/>
        <i/>
        <sz val="8"/>
        <rFont val="Arial"/>
        <family val="2"/>
      </rPr>
      <t>E</t>
    </r>
  </si>
  <si>
    <r>
      <t>03 01 99</t>
    </r>
    <r>
      <rPr>
        <b/>
        <i/>
        <sz val="8"/>
        <rFont val="Arial"/>
        <family val="2"/>
      </rPr>
      <t>G</t>
    </r>
  </si>
  <si>
    <r>
      <t>03 01 99</t>
    </r>
    <r>
      <rPr>
        <b/>
        <i/>
        <sz val="8"/>
        <rFont val="Arial"/>
        <family val="2"/>
      </rPr>
      <t>I</t>
    </r>
  </si>
  <si>
    <r>
      <t>03 01 99</t>
    </r>
    <r>
      <rPr>
        <b/>
        <i/>
        <sz val="8"/>
        <rFont val="Arial"/>
        <family val="2"/>
      </rPr>
      <t>J</t>
    </r>
  </si>
  <si>
    <r>
      <t>03 01 99</t>
    </r>
    <r>
      <rPr>
        <b/>
        <i/>
        <sz val="8"/>
        <rFont val="Arial"/>
        <family val="2"/>
      </rPr>
      <t>M</t>
    </r>
  </si>
  <si>
    <r>
      <t>03 01 99</t>
    </r>
    <r>
      <rPr>
        <b/>
        <i/>
        <sz val="8"/>
        <rFont val="Arial"/>
        <family val="2"/>
      </rPr>
      <t>N</t>
    </r>
  </si>
  <si>
    <r>
      <t>03 02 99</t>
    </r>
    <r>
      <rPr>
        <b/>
        <i/>
        <sz val="8"/>
        <rFont val="Arial"/>
        <family val="2"/>
      </rPr>
      <t>A</t>
    </r>
  </si>
  <si>
    <r>
      <t>03 02 99</t>
    </r>
    <r>
      <rPr>
        <b/>
        <i/>
        <sz val="8"/>
        <rFont val="Arial"/>
        <family val="2"/>
      </rPr>
      <t>Z</t>
    </r>
  </si>
  <si>
    <r>
      <t>03 02 99</t>
    </r>
    <r>
      <rPr>
        <b/>
        <i/>
        <sz val="8"/>
        <rFont val="Arial"/>
        <family val="2"/>
      </rPr>
      <t>B</t>
    </r>
  </si>
  <si>
    <r>
      <t>05 02 01</t>
    </r>
    <r>
      <rPr>
        <b/>
        <i/>
        <sz val="8"/>
        <rFont val="Arial"/>
        <family val="2"/>
      </rPr>
      <t>C</t>
    </r>
  </si>
  <si>
    <r>
      <t>05 02 01</t>
    </r>
    <r>
      <rPr>
        <b/>
        <i/>
        <sz val="8"/>
        <rFont val="Arial"/>
        <family val="2"/>
      </rPr>
      <t>A</t>
    </r>
  </si>
  <si>
    <r>
      <t>05 02 01</t>
    </r>
    <r>
      <rPr>
        <b/>
        <i/>
        <sz val="8"/>
        <rFont val="Arial"/>
        <family val="2"/>
      </rPr>
      <t>B</t>
    </r>
  </si>
  <si>
    <r>
      <t>03 01 01</t>
    </r>
    <r>
      <rPr>
        <b/>
        <i/>
        <sz val="8"/>
        <rFont val="Arial"/>
        <family val="2"/>
      </rPr>
      <t>A</t>
    </r>
  </si>
  <si>
    <r>
      <t>06 03 01</t>
    </r>
    <r>
      <rPr>
        <b/>
        <i/>
        <sz val="8"/>
        <rFont val="Arial"/>
        <family val="2"/>
      </rPr>
      <t>D</t>
    </r>
  </si>
  <si>
    <t>Remunerações certas</t>
  </si>
  <si>
    <t>Abonos variaveis ou eventuais</t>
  </si>
  <si>
    <t>Total de Multas transf.na c/corrente  sit. Liquida</t>
  </si>
  <si>
    <t>Embaixadas - Bens e serviços</t>
  </si>
  <si>
    <t>Embaixadas(-)</t>
  </si>
  <si>
    <t>Restituições</t>
  </si>
  <si>
    <t>Situacao liquida</t>
  </si>
  <si>
    <t>Despesas comuns</t>
  </si>
  <si>
    <t>Prog. de Investimento Publico</t>
  </si>
  <si>
    <t>Sobre financiamento Externo</t>
  </si>
  <si>
    <t>Emprestimos</t>
  </si>
  <si>
    <t>Dépenses de Fonctionnement</t>
  </si>
  <si>
    <t>Aquisição de Bens e Serviços</t>
  </si>
  <si>
    <t xml:space="preserve"> Amortissement dette publique</t>
  </si>
  <si>
    <t>Aquisição de Bens de Capital</t>
  </si>
  <si>
    <t>POSTES</t>
  </si>
  <si>
    <t>Billets et Monnaies</t>
  </si>
  <si>
    <t>Dépôts à la Banque Centrale</t>
  </si>
  <si>
    <t>Dépôts du Trésor</t>
  </si>
  <si>
    <t>Autres dépôts du Gouvernement</t>
  </si>
  <si>
    <t>Dépôts dans les Banques</t>
  </si>
  <si>
    <t>Obligations Cautionnées</t>
  </si>
  <si>
    <t>CONCOURS DE LA BANQUE CENTRALE</t>
  </si>
  <si>
    <t>Concours Article 16</t>
  </si>
  <si>
    <t>Découvert en compte courant (Art 14 et 15) consolidé</t>
  </si>
  <si>
    <t>Créances consolidée (ex-BCGB ex-BCN)</t>
  </si>
  <si>
    <t>Concours des Banques</t>
  </si>
  <si>
    <t>Dépots en CNE</t>
  </si>
  <si>
    <t>Concours du FMI</t>
  </si>
  <si>
    <t>Autres concours</t>
  </si>
  <si>
    <t>TOTAL DETTES</t>
  </si>
  <si>
    <t>POSITION NETTE</t>
  </si>
  <si>
    <t>Variação líquida de amortizações</t>
  </si>
  <si>
    <t>Variation nette des arriérés d'amortissement</t>
  </si>
  <si>
    <t>Arroz</t>
  </si>
  <si>
    <t>Paiement de l´interêt de la dette</t>
  </si>
  <si>
    <t>secteur non bancaire</t>
  </si>
  <si>
    <t>6.2.4.1</t>
  </si>
  <si>
    <t xml:space="preserve">   Acumulação</t>
  </si>
  <si>
    <t xml:space="preserve">   Accumulation</t>
  </si>
  <si>
    <t>6.2.4.2</t>
  </si>
  <si>
    <t xml:space="preserve">   Reducção</t>
  </si>
  <si>
    <t xml:space="preserve">   Réduction</t>
  </si>
  <si>
    <t>6.3</t>
  </si>
  <si>
    <t>Ajustamento estatístico</t>
  </si>
  <si>
    <t>Ajustement statistique</t>
  </si>
  <si>
    <t>Erros e omissões</t>
  </si>
  <si>
    <t>Erreurs et omissions</t>
  </si>
  <si>
    <t>6.4</t>
  </si>
  <si>
    <t>Residual e GAP de financiamento</t>
  </si>
  <si>
    <t>GAP de financement</t>
  </si>
  <si>
    <t>Correspondants du Trésor (variations nettes)</t>
  </si>
  <si>
    <t>Reescalonamento perspectivado</t>
  </si>
  <si>
    <t>Allègement/rééchelonnement attendu</t>
  </si>
  <si>
    <t>Ajuda extraordinária</t>
  </si>
  <si>
    <t>Aide extraordinaire</t>
  </si>
  <si>
    <t xml:space="preserve">Residual </t>
  </si>
  <si>
    <t>Résiduel</t>
  </si>
  <si>
    <r>
      <t xml:space="preserve">Saldo global  </t>
    </r>
    <r>
      <rPr>
        <b/>
        <sz val="8"/>
        <rFont val="Times New Roman"/>
        <family val="1"/>
      </rPr>
      <t>(excluindo sector das pescas)</t>
    </r>
  </si>
  <si>
    <t>Service du</t>
  </si>
  <si>
    <t>Service payé</t>
  </si>
  <si>
    <t>Arriérés Fin janv</t>
  </si>
  <si>
    <t>Arriérés FinFev</t>
  </si>
  <si>
    <t>Arriérés Fin Mars</t>
  </si>
  <si>
    <t>Arriérés Fin Avril</t>
  </si>
  <si>
    <t>Arriérés Fin Mai</t>
  </si>
  <si>
    <t>Arriérés Fin Juin</t>
  </si>
  <si>
    <t>Arriérés Fin Juillet</t>
  </si>
  <si>
    <t>Arriérés Fin Aout</t>
  </si>
  <si>
    <t>Arriérés Fin septembre</t>
  </si>
  <si>
    <t>Arriérés Fin octobre</t>
  </si>
  <si>
    <t>Arriérés Fin Novembre</t>
  </si>
  <si>
    <t xml:space="preserve">Previsão </t>
  </si>
  <si>
    <t>Taxa Exec(%)</t>
  </si>
  <si>
    <t>Arriérés Fin Décembre</t>
  </si>
  <si>
    <t xml:space="preserve">       RPD de Corée</t>
  </si>
  <si>
    <t xml:space="preserve">        Fds Internat de Coop et de Dév</t>
  </si>
  <si>
    <t xml:space="preserve">INTERETS DE LA DETTE EXTERIEURE </t>
  </si>
  <si>
    <t>Prêts Extérieurs</t>
  </si>
  <si>
    <t>Transpositions TOFE</t>
  </si>
  <si>
    <t>novembre</t>
  </si>
  <si>
    <t xml:space="preserve">       Libye </t>
  </si>
  <si>
    <t xml:space="preserve">       Italie </t>
  </si>
  <si>
    <t xml:space="preserve">        France </t>
  </si>
  <si>
    <t xml:space="preserve">        Espagne </t>
  </si>
  <si>
    <t xml:space="preserve">        Gde Bretagne </t>
  </si>
  <si>
    <t xml:space="preserve">        Pays-Bas </t>
  </si>
  <si>
    <t xml:space="preserve">        Italie </t>
  </si>
  <si>
    <t xml:space="preserve">        Autriche </t>
  </si>
  <si>
    <t xml:space="preserve">       Espagne </t>
  </si>
  <si>
    <t xml:space="preserve">       Chine </t>
  </si>
  <si>
    <t xml:space="preserve">        France</t>
  </si>
  <si>
    <t xml:space="preserve">      - Emolumento de Secretaria</t>
  </si>
  <si>
    <t>03 01 04</t>
  </si>
  <si>
    <t>03 01 10</t>
  </si>
  <si>
    <t xml:space="preserve">      - Serviços Migratórios</t>
  </si>
  <si>
    <t>03 01 09</t>
  </si>
  <si>
    <t xml:space="preserve">      - Serviço de Passaportes</t>
  </si>
  <si>
    <t>Segurança social(Pens. Ref. Enc/s)</t>
  </si>
  <si>
    <t>Prévision Loi de Finances pour l'année 2011</t>
  </si>
  <si>
    <t>Embaixada-Despesa com pessoal</t>
  </si>
  <si>
    <t>DGA (Total bruto)</t>
  </si>
  <si>
    <t>DGO</t>
  </si>
  <si>
    <t>Apoio sectorial /CNFC</t>
  </si>
  <si>
    <t>Dividendo e Partici.nos Lucros de Instits  Crédito (BCEAO)</t>
  </si>
  <si>
    <t>DGCI</t>
  </si>
  <si>
    <t>DGA</t>
  </si>
  <si>
    <t>PESCA</t>
  </si>
  <si>
    <t>Apoio Orçamental</t>
  </si>
  <si>
    <t xml:space="preserve">      Outros rendimentos</t>
  </si>
  <si>
    <t>-       Outra (Prog. cientifico)ou Apoio Sectorial/CNF</t>
  </si>
  <si>
    <t xml:space="preserve">Apoio Sectorial/CNF </t>
  </si>
  <si>
    <t>Venda do Pescado</t>
  </si>
  <si>
    <t>Controlo: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</si>
  <si>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</si>
  <si>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REPUBLICA DA GUINE-BISSAU</t>
  </si>
  <si>
    <t>MINISTERIO DAS FINANCAS</t>
  </si>
  <si>
    <t>DIRECCAO GERAL DE CONJUNTURA, PREVISAO E RELACOES INTERNACIONAIS</t>
  </si>
  <si>
    <t>"TABLEAU DU BORD"</t>
  </si>
  <si>
    <t>Economica</t>
  </si>
  <si>
    <t>Descrição</t>
  </si>
  <si>
    <t>III Trimestre 2012</t>
  </si>
  <si>
    <t>IV Trimestre 2012</t>
  </si>
  <si>
    <t>Janeiro</t>
  </si>
  <si>
    <t>Fevereiro</t>
  </si>
  <si>
    <t>Março</t>
  </si>
  <si>
    <t>Maio</t>
  </si>
  <si>
    <t>Disponivel</t>
  </si>
  <si>
    <t>Junho</t>
  </si>
  <si>
    <t>Julho</t>
  </si>
  <si>
    <t>Agosto</t>
  </si>
  <si>
    <t>Setembro</t>
  </si>
  <si>
    <t>Outubro</t>
  </si>
  <si>
    <t>Novembro</t>
  </si>
  <si>
    <t>Dezembro</t>
  </si>
  <si>
    <t>Total reprogramado</t>
  </si>
  <si>
    <t>Saldo</t>
  </si>
  <si>
    <t>Exec</t>
  </si>
  <si>
    <t>RECEITAS E DONATIVOS</t>
  </si>
  <si>
    <t xml:space="preserve">    Total das Receitas </t>
  </si>
  <si>
    <t>Total das Receitas Fiscais</t>
  </si>
  <si>
    <t>Total das Receitas nao Fiscais</t>
  </si>
  <si>
    <t>Fiscais</t>
  </si>
  <si>
    <t>Nao fiscais</t>
  </si>
  <si>
    <t>TESOURO</t>
  </si>
  <si>
    <t xml:space="preserve"> Outras receitas do Tesouro colectadas</t>
  </si>
  <si>
    <t>DONATIVOS</t>
  </si>
  <si>
    <t xml:space="preserve"> Apoio Orçamental e Donativos</t>
  </si>
  <si>
    <t xml:space="preserve"> Adicionais apoios orçamentais identificados</t>
  </si>
  <si>
    <t xml:space="preserve">  DEFICE / EXCEDENTE</t>
  </si>
  <si>
    <t>DESPESAS</t>
  </si>
  <si>
    <t>AMORTIZAÇÃO DOS EMPRESTIMOS À PROJECTOS</t>
  </si>
  <si>
    <t>Emprestimos a projectos-organismos multilaterais</t>
  </si>
  <si>
    <t>Emprestimos a projectos-BAD</t>
  </si>
  <si>
    <t>Emprestimos a projectos-BADEA</t>
  </si>
  <si>
    <t>Emprestimos a projectos-BID</t>
  </si>
  <si>
    <t>Emprestimos a projectos-Banco Mundial</t>
  </si>
  <si>
    <t>Emprestimos a projectos-BOAD</t>
  </si>
  <si>
    <t>Emprestimos a projectos-FMI</t>
  </si>
  <si>
    <t>Emprestimos a projectos-União Europeia</t>
  </si>
  <si>
    <t>Emprestimos a projectos-FAD</t>
  </si>
  <si>
    <t>Emprestimos a projectos-outros organismos multilaterais</t>
  </si>
  <si>
    <t>Emprestimos a projectos-Países afiliados ao clube de Paris</t>
  </si>
  <si>
    <t>Emprestimos a projectos-Alemanha</t>
  </si>
  <si>
    <t>Emprestimos a projectos-Brasil</t>
  </si>
  <si>
    <t>Emprestimos a projectos-China</t>
  </si>
  <si>
    <t>Emprestimos a projectos-Espanha</t>
  </si>
  <si>
    <t>Emprestimos a projectos-França</t>
  </si>
  <si>
    <t>Emprestimos a projectos-Portugal</t>
  </si>
  <si>
    <t>Emprestimos a projectos-Rússia</t>
  </si>
  <si>
    <t>Emprestimos a projectos-Outros Países</t>
  </si>
  <si>
    <t xml:space="preserve">Emprestimos à projectos-Países não afiliados ao clube de Paris </t>
  </si>
  <si>
    <t>Emprestimos a projectos-Angola</t>
  </si>
  <si>
    <t>Emprestimos a projectos-Arábia Saudita</t>
  </si>
  <si>
    <t>Emprestimos a projectos-Kuwait</t>
  </si>
  <si>
    <t>Emprestimos a projectos-Taiwan</t>
  </si>
  <si>
    <t>Emprestimos junto dos organismos privados externos</t>
  </si>
  <si>
    <t>Emprestimos a projectos no plano interno</t>
  </si>
  <si>
    <t>Emprest a proj -instituições financeiras e do sistema bancário interno</t>
  </si>
  <si>
    <t>Emprest.à proj.-credores fora do sistema bancário bancário interno</t>
  </si>
  <si>
    <t>Convenções com pagamentos diferidos</t>
  </si>
  <si>
    <t>Convenções com pagamentos diferidos no plano externo</t>
  </si>
  <si>
    <t>Convenções com pagamentos diferidos no plano Interno</t>
  </si>
  <si>
    <t>AMORTIZAÇÕES DOS EMPRESTIMOS PROGRAMAS</t>
  </si>
  <si>
    <t>Emprestimos à ajustamento estrutural-Org.multilaterais</t>
  </si>
  <si>
    <t>Emprestimos ajustamento estrutural-BAD</t>
  </si>
  <si>
    <t>Emprestimos ajustamento estrutural-BADEA</t>
  </si>
  <si>
    <t>Emprestimos ajustamento estrutural-BID</t>
  </si>
  <si>
    <t>Emprestimos ajustamento estrutural-Banco Mundial</t>
  </si>
  <si>
    <t>Emprestimos ajustamento estrutural-BOAD</t>
  </si>
  <si>
    <t>Emprestimos ajustamento estrutural-FMI</t>
  </si>
  <si>
    <t>Emprestimos ajustamento estrutural-Outros multilaterais</t>
  </si>
  <si>
    <t>Emprestimos ajustamento estrutural-Países Clube de Paris</t>
  </si>
  <si>
    <t>Emprestimos ajustamento estrutural-Alemanha</t>
  </si>
  <si>
    <t>Emprestimos ajustamento estrutural-Brasil</t>
  </si>
  <si>
    <t>Emprestimos ajustamento estrutural-China</t>
  </si>
  <si>
    <t>Emprestimos ajustamento estrutural-Espanha</t>
  </si>
  <si>
    <t>Emprestimos ajustamento estrutural-França</t>
  </si>
  <si>
    <t>Emprestimos ajustamento estrutural-Portugal</t>
  </si>
  <si>
    <t>Emprestimos ajustamento estrutural-Rússia</t>
  </si>
  <si>
    <t>Emprestimos ajustamento estrutural-Outros Países</t>
  </si>
  <si>
    <t>Emprestimos ajustamento estrutural-Países fora de Clube de Paris</t>
  </si>
  <si>
    <t>Emprestimos ajustamento estrutural-Angola</t>
  </si>
  <si>
    <t>Emprestimos ajustamento estrutural-Arábia Saudita</t>
  </si>
  <si>
    <t>Emprestimos ajustamento estrutural-Kuwait</t>
  </si>
  <si>
    <t>Emprestimos ajustamento estrutural-Taiwan</t>
  </si>
  <si>
    <t>DIVIDA AVALIZADA E OUTROS PAGAMENTOS PARA CONTA DE TERCEIROS</t>
  </si>
  <si>
    <t>Dívida externa avalizada-pagamento para a conta de terceiros</t>
  </si>
  <si>
    <t>Dívida interna avalizada-Administrações públicas nacionais</t>
  </si>
  <si>
    <t>Dívida interna avalizada-empresas públicas nacionais não financeiras</t>
  </si>
  <si>
    <t xml:space="preserve">Dívida interna avalizada-Inst. Financeiras nacionais </t>
  </si>
  <si>
    <t>Dívida interna avalizada-Outros sectores da Economia</t>
  </si>
  <si>
    <t>REEMBOLSO DO CAPITAL DA DÍVIDA EXTERNA REESCALONADA</t>
  </si>
  <si>
    <t>Dívida multilateral reescalonada</t>
  </si>
  <si>
    <t>Dívida bilateral reescalonada (clube de Paris)</t>
  </si>
  <si>
    <t>Dívida bilateral reescalonada (clube de Londres</t>
  </si>
  <si>
    <t>Divida reescalonada junto de outros organismos externos</t>
  </si>
  <si>
    <t>DESPESAS CORRENTES</t>
  </si>
  <si>
    <t>ENCARGOS COM PESSOAL</t>
  </si>
  <si>
    <t>Salario e Ordenado</t>
  </si>
  <si>
    <t>Salarios do Pessoal do Quadro</t>
  </si>
  <si>
    <t>Salarios do Pessoal em outra situação</t>
  </si>
  <si>
    <t>Prémios e Indemnizações</t>
  </si>
  <si>
    <t>Subsidio do Isolamento</t>
  </si>
  <si>
    <t>Subsidio de chefia</t>
  </si>
  <si>
    <t>Subsidio de tecnicidade</t>
  </si>
  <si>
    <t>Subsidio de Falhas</t>
  </si>
  <si>
    <t>Saúde-indemnizações</t>
  </si>
  <si>
    <t>Saúde -Subsídio de vela</t>
  </si>
  <si>
    <t>Saúde -Subsídio de Risco</t>
  </si>
  <si>
    <t>Educação-Indemnizações</t>
  </si>
  <si>
    <t>Educação-Gratificações</t>
  </si>
  <si>
    <t>Educação-Acumulação</t>
  </si>
  <si>
    <t>Educação-Diuturnidades</t>
  </si>
  <si>
    <t>Educação-Coordenação</t>
  </si>
  <si>
    <t>Educação-Direcção</t>
  </si>
  <si>
    <t>Educação-Subsídio de instalação</t>
  </si>
  <si>
    <t>Outras Gratificações</t>
  </si>
  <si>
    <t xml:space="preserve">Quotizações Sociais (Contribuição para a Seg.Social)  </t>
  </si>
  <si>
    <t xml:space="preserve">Quotização Social do pessoal sob estatuto  </t>
  </si>
  <si>
    <t xml:space="preserve">Quotização Social do pessoal fora de estatuto  </t>
  </si>
  <si>
    <t xml:space="preserve">Quotizações Sociais não ventiladas  </t>
  </si>
  <si>
    <t xml:space="preserve">Tratamento de salario em natureza ao pessoal </t>
  </si>
  <si>
    <t>Prestações Sociais</t>
  </si>
  <si>
    <t>Abono de Familia</t>
  </si>
  <si>
    <t>Subsidio de morte</t>
  </si>
  <si>
    <t>Outras despesas de pessoal e despesas de pessoal não ventiladas</t>
  </si>
  <si>
    <t>Encargos com saude</t>
  </si>
  <si>
    <t>62</t>
  </si>
  <si>
    <t>AQUISIÇÃO DE BENS E SERVIÇOS</t>
  </si>
  <si>
    <t>Fornecimentos</t>
  </si>
  <si>
    <t>Construções e Grandes Reparações</t>
  </si>
  <si>
    <t>Materias Primas e Subsidiarias</t>
  </si>
  <si>
    <t>Combustivel e lubrificantes</t>
  </si>
  <si>
    <t>Consumo de Secretaria</t>
  </si>
  <si>
    <t>Mobiliario e Material de secretara</t>
  </si>
  <si>
    <t>Material de cultura</t>
  </si>
  <si>
    <t>Material escolar</t>
  </si>
  <si>
    <t>Outros bens não duradouros</t>
  </si>
  <si>
    <t>Medicamentos</t>
  </si>
  <si>
    <t>Despesas de reparação e manutenção</t>
  </si>
  <si>
    <t>Encargos das instalações</t>
  </si>
  <si>
    <t>Encargos das instalações-Energia</t>
  </si>
  <si>
    <t>Encargos das instalações-Agua</t>
  </si>
  <si>
    <t>Encargos das instalações-Outros</t>
  </si>
  <si>
    <t>Conservação de Bens</t>
  </si>
  <si>
    <t>Compra de peças para veiculos</t>
  </si>
  <si>
    <t>Outras Despesas de manutenção</t>
  </si>
  <si>
    <t>Prestações de Serviços</t>
  </si>
  <si>
    <t>Seguros</t>
  </si>
  <si>
    <t>Agua, Electricidades, Gaz e outras fontes de energia</t>
  </si>
  <si>
    <t>Despesas Comuns - Despesas de Energia</t>
  </si>
  <si>
    <t>Despesas de comunicação</t>
  </si>
  <si>
    <t>Comunicações</t>
  </si>
  <si>
    <t>Edições,Traduções e Anuncios</t>
  </si>
  <si>
    <t>Alugueres e Encargos Locativos</t>
  </si>
  <si>
    <t>Locação de Edificios</t>
  </si>
  <si>
    <t>Locação de Bens</t>
  </si>
  <si>
    <t>Custos de Transporte e de Missão</t>
  </si>
  <si>
    <t>Transportes-Exterior</t>
  </si>
  <si>
    <t>Transportes-Interior</t>
  </si>
  <si>
    <t xml:space="preserve">Ajudas de Custo-Exterior </t>
  </si>
  <si>
    <t xml:space="preserve">Ajudas de Custo-Interior </t>
  </si>
  <si>
    <t>Outras Aquisições de Bens e Serviços</t>
  </si>
  <si>
    <t>Representação dos Serviços</t>
  </si>
  <si>
    <t xml:space="preserve">Representação </t>
  </si>
  <si>
    <t>Munições e Explosivos</t>
  </si>
  <si>
    <t>Alimentação</t>
  </si>
  <si>
    <t>Roupas e Calçado</t>
  </si>
  <si>
    <t>Outras aquisicoes de Serviços</t>
  </si>
  <si>
    <t>Formacao profissional - prestacao de serviço</t>
  </si>
  <si>
    <t>IV</t>
  </si>
  <si>
    <t>63</t>
  </si>
  <si>
    <t>SUBVENÇÕES DE EXPLORAÇAO</t>
  </si>
  <si>
    <t>631</t>
  </si>
  <si>
    <t>Subvenções aos estabecimentos publicos</t>
  </si>
  <si>
    <t xml:space="preserve">Fundos autonomos </t>
  </si>
  <si>
    <t xml:space="preserve">Fundo Fomento Florestal </t>
  </si>
  <si>
    <t>Fundo Rodoviário</t>
  </si>
  <si>
    <t>Fundo de Mineração</t>
  </si>
  <si>
    <t>Direcçao Regional da Educaçao de Quinara</t>
  </si>
  <si>
    <t>Direcçao Regional da Educaçao deTombali</t>
  </si>
  <si>
    <t>Direcçao Regional da Educaçao de Bafata</t>
  </si>
  <si>
    <t>Direcçao Regional da Educaçao de Gabu</t>
  </si>
  <si>
    <t>Outras Direcçoes Regionais da Educaçao-Oio,Cacheu,Biombo e Bolama</t>
  </si>
  <si>
    <t>Serviços autónomos</t>
  </si>
  <si>
    <t>Institutos de ensino superior e de pesquisa</t>
  </si>
  <si>
    <t>631211</t>
  </si>
  <si>
    <t xml:space="preserve">Instituto Nac de Pesquisa </t>
  </si>
  <si>
    <t>631212</t>
  </si>
  <si>
    <t>Faculdade de Direito</t>
  </si>
  <si>
    <t>631213</t>
  </si>
  <si>
    <t>Faculdade de Medicina</t>
  </si>
  <si>
    <t>631214</t>
  </si>
  <si>
    <t>Instituto Nac Estatist e Censo</t>
  </si>
  <si>
    <t>631215</t>
  </si>
  <si>
    <t>Instituto Nac Pesquisas Agricolas</t>
  </si>
  <si>
    <t>631216</t>
  </si>
  <si>
    <t>Instituto Nac de Invest tecnolog Aplicada</t>
  </si>
  <si>
    <t>631217</t>
  </si>
  <si>
    <t>Universidade Amilcar Cabral</t>
  </si>
  <si>
    <t>Orgãos de Boa Governação e de Apoio ao estado de Direito</t>
  </si>
  <si>
    <t>631221</t>
  </si>
  <si>
    <t>Instituto Superior contra Corrupção</t>
  </si>
  <si>
    <t>631222</t>
  </si>
  <si>
    <t>Comissão Nacional de Direito do Mar e Fronteiras</t>
  </si>
  <si>
    <t>631223</t>
  </si>
  <si>
    <t>Polícia Judiciária</t>
  </si>
  <si>
    <t>631224</t>
  </si>
  <si>
    <t>Conselho de Concertação Social</t>
  </si>
  <si>
    <t>631225</t>
  </si>
  <si>
    <t>Fundo de Equilibrio das Autarquias</t>
  </si>
  <si>
    <t>631226</t>
  </si>
  <si>
    <t>Conselho  Superior de Magistratura</t>
  </si>
  <si>
    <t>Embaixadas</t>
  </si>
  <si>
    <t>6312301</t>
  </si>
  <si>
    <t>Embaixada da Guine-Bissau em Argelia</t>
  </si>
  <si>
    <t>6312302</t>
  </si>
  <si>
    <t>Embaixada da Guine-Bissau na Belgica</t>
  </si>
  <si>
    <t>6312303</t>
  </si>
  <si>
    <t>Embaixada da Guine-Bissau em China</t>
  </si>
  <si>
    <t>6312304</t>
  </si>
  <si>
    <t>Embaixada da Guine-Bissau em Guiné-Conakry</t>
  </si>
  <si>
    <t>6312305</t>
  </si>
  <si>
    <t>Embaixada da Guine-Bissau em Cuba</t>
  </si>
  <si>
    <t>6312306</t>
  </si>
  <si>
    <t>Embaixada da Guine-Bissau em Gambia</t>
  </si>
  <si>
    <t>6312307</t>
  </si>
  <si>
    <t>Embaixada da Guine-Bissau em Estados Unidos</t>
  </si>
  <si>
    <t>6312308</t>
  </si>
  <si>
    <t>Embaixada da Guine-Bissau em Senegal</t>
  </si>
  <si>
    <t>6312309</t>
  </si>
  <si>
    <t>Embaixada da Guine-Bissau em França</t>
  </si>
  <si>
    <t>6312310</t>
  </si>
  <si>
    <t>Embaixada da Guine-Bissau em Mauritania</t>
  </si>
  <si>
    <t>6312311</t>
  </si>
  <si>
    <t>Embaixada da Guine-Bissau em Portugal</t>
  </si>
  <si>
    <t>6312312</t>
  </si>
  <si>
    <t>Consulado da Guine-Bissau em Ziguinchor</t>
  </si>
  <si>
    <t>6312313</t>
  </si>
  <si>
    <t>Embaixada da Guine-Bissau na Russia</t>
  </si>
  <si>
    <t>6312314</t>
  </si>
  <si>
    <t>Organização das Nações Unidas</t>
  </si>
  <si>
    <t>6312315</t>
  </si>
  <si>
    <t>Comissao dos Países da Lingua Portuguesa</t>
  </si>
  <si>
    <t>Outras Instituições</t>
  </si>
  <si>
    <t>6312901</t>
  </si>
  <si>
    <t>INACEP</t>
  </si>
  <si>
    <t>6312902</t>
  </si>
  <si>
    <t>Instituto de Apoio ao Emigrante</t>
  </si>
  <si>
    <t>6312903</t>
  </si>
  <si>
    <t>Direcção de Promoção de Investimento Privado</t>
  </si>
  <si>
    <t>6312904</t>
  </si>
  <si>
    <t>Instituto de Francofonia</t>
  </si>
  <si>
    <t>6312905</t>
  </si>
  <si>
    <t>Instituto Nacional de Cinema</t>
  </si>
  <si>
    <t>6312906</t>
  </si>
  <si>
    <t>GAPLA para CPDA</t>
  </si>
  <si>
    <t>6312907</t>
  </si>
  <si>
    <t>UMOA</t>
  </si>
  <si>
    <t>6312908</t>
  </si>
  <si>
    <t>Instituto de Comunicações</t>
  </si>
  <si>
    <t>6312909</t>
  </si>
  <si>
    <t>Transporte para Bolseiros</t>
  </si>
  <si>
    <t>6312910</t>
  </si>
  <si>
    <t>Direcçao da Aviaçao civil da Guine-Bissau</t>
  </si>
  <si>
    <t>Subvenções às Empresas Públicas e Semi-públicas</t>
  </si>
  <si>
    <t>Rádio Televisão da Guiné-Bissau</t>
  </si>
  <si>
    <t>Agencia Noticiosa da Guine-Bissau</t>
  </si>
  <si>
    <t>Sociedade de Loteria Nacional</t>
  </si>
  <si>
    <t>Rádio Nacional</t>
  </si>
  <si>
    <t>Jornal Nô Pintcha</t>
  </si>
  <si>
    <t>Empresas Mistas</t>
  </si>
  <si>
    <t>Subvenção às Empresas Privadas</t>
  </si>
  <si>
    <t>Empresas Privadas</t>
  </si>
  <si>
    <t>Cooperativas</t>
  </si>
  <si>
    <t>Subvenção às Instituições Financeiras</t>
  </si>
  <si>
    <t>Instituições monetárias públcas ou Equiparadas</t>
  </si>
  <si>
    <t>Instituições Financeiras não monetárias</t>
  </si>
  <si>
    <t>Instituições de Seguros</t>
  </si>
  <si>
    <t>Outras Instituições monetárias</t>
  </si>
  <si>
    <t>639</t>
  </si>
  <si>
    <t>Subvenções para outras categorias de Beneficiários</t>
  </si>
  <si>
    <t>Segurança Social</t>
  </si>
  <si>
    <t>Instituto da Mulher e Crianças</t>
  </si>
  <si>
    <t xml:space="preserve">  Instituto da Juventude</t>
  </si>
  <si>
    <t>64</t>
  </si>
  <si>
    <t xml:space="preserve">OUTRAS TRANSFERÊNCIAS CORRENTES </t>
  </si>
  <si>
    <t>Transferencia correntes a outras administrações publica</t>
  </si>
  <si>
    <t>6411</t>
  </si>
  <si>
    <t xml:space="preserve">Região de cacheu </t>
  </si>
  <si>
    <t>6412</t>
  </si>
  <si>
    <t>Região de Oio</t>
  </si>
  <si>
    <t>6413</t>
  </si>
  <si>
    <t>Região de Biombo</t>
  </si>
  <si>
    <t>6414</t>
  </si>
  <si>
    <t xml:space="preserve">Região de Bolama Bijagós </t>
  </si>
  <si>
    <t>6415</t>
  </si>
  <si>
    <t>Região de Quinara</t>
  </si>
  <si>
    <t>6416</t>
  </si>
  <si>
    <t>Região de Tombali</t>
  </si>
  <si>
    <t>6417</t>
  </si>
  <si>
    <t>Região de Bafatá</t>
  </si>
  <si>
    <t>6418</t>
  </si>
  <si>
    <t>Região de Gabú</t>
  </si>
  <si>
    <t>GTAPE</t>
  </si>
  <si>
    <t>Transferencia a Instituições de fins não lucrativos</t>
  </si>
  <si>
    <t>6421</t>
  </si>
  <si>
    <t>Associações de caridade</t>
  </si>
  <si>
    <t>64211</t>
  </si>
  <si>
    <t>Associação dos Amigos das Crianças</t>
  </si>
  <si>
    <t>64212</t>
  </si>
  <si>
    <t>Cruz Vermelha da Guine-Bissau</t>
  </si>
  <si>
    <t>64213</t>
  </si>
  <si>
    <t>Associação Nacional dos deficientes</t>
  </si>
  <si>
    <t>64214</t>
  </si>
  <si>
    <t>Associação dos Combatentes da Liberdade da Pátria</t>
  </si>
  <si>
    <t>6422</t>
  </si>
  <si>
    <t>Associações Desportivas</t>
  </si>
  <si>
    <t>6423</t>
  </si>
  <si>
    <t>Sindicatos</t>
  </si>
  <si>
    <t>64231</t>
  </si>
  <si>
    <t>União Nacional dos trabalhadores da G.B</t>
  </si>
  <si>
    <t>64232</t>
  </si>
  <si>
    <t>SINAPROF</t>
  </si>
  <si>
    <t>64233</t>
  </si>
  <si>
    <t>Sindicato Nac. Dos Trab. Dos transp e Comuniocações</t>
  </si>
  <si>
    <t>64234</t>
  </si>
  <si>
    <t>Sindicato dos Trabalhadores Judiciais</t>
  </si>
  <si>
    <t>64235</t>
  </si>
  <si>
    <t>Sindicato SILCOTEL</t>
  </si>
  <si>
    <t>64236</t>
  </si>
  <si>
    <t>Sindicato Nac. Quadros da Saúde</t>
  </si>
  <si>
    <t>64237</t>
  </si>
  <si>
    <t>Diversos Sindicatos</t>
  </si>
  <si>
    <t>6424</t>
  </si>
  <si>
    <t>Associações Culturais</t>
  </si>
  <si>
    <t>Transferencia a familia</t>
  </si>
  <si>
    <t>Empresas individuais</t>
  </si>
  <si>
    <t>Licenciamentos</t>
  </si>
  <si>
    <t>Subsídios para Formação Profissional</t>
  </si>
  <si>
    <t>Bolsas a favor dos estudantes</t>
  </si>
  <si>
    <t>Pensões provisórias de Aposentação</t>
  </si>
  <si>
    <t>Pensões</t>
  </si>
  <si>
    <t>Outras despesas</t>
  </si>
  <si>
    <t xml:space="preserve">Pensões de Apos.Ref Inval,Sobrivivência </t>
  </si>
  <si>
    <t>Combatentes-pensões</t>
  </si>
  <si>
    <t>Combatentes-outras</t>
  </si>
  <si>
    <t>Outras despesas de segurança social</t>
  </si>
  <si>
    <t>Trans.a aut. supranacionais e contribuições ás organizações internacionais</t>
  </si>
  <si>
    <t xml:space="preserve">Transf. às Autoridades Supranacionais </t>
  </si>
  <si>
    <t>Org da Unidade Africana</t>
  </si>
  <si>
    <t>ONU</t>
  </si>
  <si>
    <t>OHADA</t>
  </si>
  <si>
    <t>Contribuições às Org Internacionais</t>
  </si>
  <si>
    <t>A.C.P</t>
  </si>
  <si>
    <t>Org. mundial da Saúde</t>
  </si>
  <si>
    <t>C.I.L.S.S.</t>
  </si>
  <si>
    <t>O.M.V.G</t>
  </si>
  <si>
    <t>Banco Mundial-IFC</t>
  </si>
  <si>
    <t>Agencia de Cooperação Cultural e Técnica</t>
  </si>
  <si>
    <t>U.I.C.N.</t>
  </si>
  <si>
    <t>Organização Mundial de Meteorlogia</t>
  </si>
  <si>
    <t>Léon Sullivan</t>
  </si>
  <si>
    <t>CAF</t>
  </si>
  <si>
    <t>C.A.L.A</t>
  </si>
  <si>
    <t>F.I.L.A.</t>
  </si>
  <si>
    <t>Agência de Gestão e Coop.Guiné-Bissau -Senegal</t>
  </si>
  <si>
    <t>INTOSAI</t>
  </si>
  <si>
    <t>CANTALOP</t>
  </si>
  <si>
    <t>Transferencia para outros orçamentos</t>
  </si>
  <si>
    <t>Transferências em proveito do Orçamento  Geral</t>
  </si>
  <si>
    <t>Transferências às contas especiais do Tesouro</t>
  </si>
  <si>
    <t>Outras Transferencias Correntes</t>
  </si>
  <si>
    <t>Outras Transferencias Correntes - ANP</t>
  </si>
  <si>
    <t>V</t>
  </si>
  <si>
    <t>OUTRAS DESPESAS CORRENSTES</t>
  </si>
  <si>
    <t>ENCARGOS EXCEPCIONAIS</t>
  </si>
  <si>
    <t>Anulaçao de produtos apurados durante anos anteriores-novos pagamentos e restituiçoes</t>
  </si>
  <si>
    <t>Incentivos para a cobrança de receitas</t>
  </si>
  <si>
    <t>6611-01</t>
  </si>
  <si>
    <t>DGA - Deslocações, custos</t>
  </si>
  <si>
    <t>6611-03</t>
  </si>
  <si>
    <t>DGA - 10 % TSA</t>
  </si>
  <si>
    <t>6611-04</t>
  </si>
  <si>
    <t>DGA - Emolumentos</t>
  </si>
  <si>
    <t>6611-05</t>
  </si>
  <si>
    <t>6611-06</t>
  </si>
  <si>
    <t>Inspecção Geral das Finanças</t>
  </si>
  <si>
    <t>6611-07</t>
  </si>
  <si>
    <t>Outros Incentivos</t>
  </si>
  <si>
    <t xml:space="preserve">Restituições de Receitas, Incentivos </t>
  </si>
  <si>
    <t>Condenações e Transaçoes</t>
  </si>
  <si>
    <t>Desp. Comuns-Condenações, Indemnizações, Gastos de Justiça</t>
  </si>
  <si>
    <t>Desp. Comuns Forum de encontro com os parceiros-Educaçao</t>
  </si>
  <si>
    <t>Desp.comuns-Despesas judiciais-Ordem dos Advogados</t>
  </si>
  <si>
    <r>
      <t>Perdas de C</t>
    </r>
    <r>
      <rPr>
        <b/>
        <sz val="10"/>
        <color indexed="8"/>
        <rFont val="Calibri"/>
        <family val="2"/>
      </rPr>
      <t>ȃ</t>
    </r>
    <r>
      <rPr>
        <b/>
        <sz val="10"/>
        <color indexed="8"/>
        <rFont val="Arial"/>
        <family val="2"/>
      </rPr>
      <t>mbio</t>
    </r>
  </si>
  <si>
    <t>Outros encargos excepcionais</t>
  </si>
  <si>
    <t>Outras Despesas Comuns</t>
  </si>
  <si>
    <t>PROVISOES E IMPREVISTOS</t>
  </si>
  <si>
    <t>Provisoes e imprevistos relativos às despesas de funcionamento</t>
  </si>
  <si>
    <t>Dotaçao provisional para as despesas de funcionamento</t>
  </si>
  <si>
    <t>Provisoes e imprevistos relativos às despesas de Investimento</t>
  </si>
  <si>
    <t>Dotaçao provisional para as despesas de Investimento</t>
  </si>
  <si>
    <t>VI</t>
  </si>
  <si>
    <t>JUROS DA DIVIDA</t>
  </si>
  <si>
    <t>JUROS E CUSTOS FINANCEIROS</t>
  </si>
  <si>
    <t>Juros e custos Financeiros - Multilateral</t>
  </si>
  <si>
    <t>Juros e custos Financeiros-BAD</t>
  </si>
  <si>
    <t>Juros e custos Financeiros-BADEA</t>
  </si>
  <si>
    <t>Juros e custos Financeiros-BID</t>
  </si>
  <si>
    <t>Juros e custos Financeiros-Banco Mundial</t>
  </si>
  <si>
    <t>Juros e custos Financeiros-BOAD</t>
  </si>
  <si>
    <t>Juros e custos Financeiros-FMI</t>
  </si>
  <si>
    <t>Juros e custos Financeiros-União Europeia</t>
  </si>
  <si>
    <t>Juros e custos Financeiros-FEI</t>
  </si>
  <si>
    <t>Juros e custos Financeiros-Outros organ.multilaterais</t>
  </si>
  <si>
    <t>Juros e custos Financeiros - Bilateral clube de Paris</t>
  </si>
  <si>
    <t>Juros e custos Financeiros-Alemanha</t>
  </si>
  <si>
    <t>Juros e custos Financeiros-Brasil</t>
  </si>
  <si>
    <t>Juros e custos Financeiros-China</t>
  </si>
  <si>
    <t>Juros e custos Financeiros-Espanha</t>
  </si>
  <si>
    <t>Juros e custos Financeiros-França</t>
  </si>
  <si>
    <t>Juros e custos Financeiros-Portugal</t>
  </si>
  <si>
    <t>Juros e custos Financeiros-Rússia</t>
  </si>
  <si>
    <t>Juros e custos Financeiros-Outros países</t>
  </si>
  <si>
    <t>Juros e custos Financeiros - Bilateral fora do clube de Paris</t>
  </si>
  <si>
    <t>Juros e custos Financeiros-Angola</t>
  </si>
  <si>
    <t>Juros e custos Financeiros-Arábia Saudita</t>
  </si>
  <si>
    <t>Juros e custos Financeiros-Kuwait</t>
  </si>
  <si>
    <t>Juros e custos Financeiros-Taiwan</t>
  </si>
  <si>
    <t>Juros e custos Financeiros-Outros Psaíses</t>
  </si>
  <si>
    <t>Juros e custos Financeiros-Organismos privados Externos</t>
  </si>
  <si>
    <t>Juros e custos Financeiros-Dívida Interna</t>
  </si>
  <si>
    <t>Juros e custos Financeiros-Empresas públicas internas</t>
  </si>
  <si>
    <t>Juros e custos Financeiros-Quaisquer outros credores</t>
  </si>
  <si>
    <t>Juros e Custos sob convenções a pagamento diferido</t>
  </si>
  <si>
    <t>Juros e Custos sob convenções a pagamento diferido externo</t>
  </si>
  <si>
    <t>Juros e Custos sob convenções a pagamento diferido interno</t>
  </si>
  <si>
    <t>Juros e Custos sob dívida externa reescalonada</t>
  </si>
  <si>
    <t>VII</t>
  </si>
  <si>
    <t>DESPESAS DE INVESTIMENTO</t>
  </si>
  <si>
    <t xml:space="preserve">Aquisições, Construções e Alicerces de Imoveis </t>
  </si>
  <si>
    <t>2300</t>
  </si>
  <si>
    <t xml:space="preserve">Aquisiçoes,construçoes e Alicerces de Imoveis </t>
  </si>
  <si>
    <t>2313</t>
  </si>
  <si>
    <t>Construções Diversas</t>
  </si>
  <si>
    <t>2441</t>
  </si>
  <si>
    <t>Maquinaria e Equipamentos</t>
  </si>
  <si>
    <t>Salario do Pessoal em qualquer outra situaçao</t>
  </si>
  <si>
    <t>Formaçao local do pessoal</t>
  </si>
  <si>
    <t>Compras de Bens e Serviços não Ventilados</t>
  </si>
  <si>
    <t>Combustiveis e lubrificantes</t>
  </si>
  <si>
    <t>Remuneraçoes de Assistencia tecnica local</t>
  </si>
  <si>
    <t>Remuneraçoes de Assistencia tecnica Internacional</t>
  </si>
  <si>
    <t>Outros Investimentos</t>
  </si>
  <si>
    <t>VIII</t>
  </si>
  <si>
    <t>CONTA ESPECIAL DO TESOURO</t>
  </si>
  <si>
    <t>Fundo de Gestao dos Recursos Halieuticos</t>
  </si>
  <si>
    <t xml:space="preserve">  Receitas das Pescas</t>
  </si>
  <si>
    <t xml:space="preserve">Total Exec </t>
  </si>
  <si>
    <t>Nigeria</t>
  </si>
  <si>
    <t>SALDO INICIAL BANCOS</t>
  </si>
  <si>
    <t xml:space="preserve">  DEFICE / EXCEDENTE ACUMULADO</t>
  </si>
  <si>
    <t>TOTAL (DESPESAS NAO TITULADAS (DNT)</t>
  </si>
  <si>
    <t>DESPESAS NAO TITULADAS (DNT)</t>
  </si>
  <si>
    <t>EMPRESTIMO A PROJECTOS</t>
  </si>
  <si>
    <t>DGO sem juros da DIVIDA</t>
  </si>
  <si>
    <t>Exec.</t>
  </si>
  <si>
    <t>JAPAO</t>
  </si>
  <si>
    <t>ANGOLA</t>
  </si>
  <si>
    <t xml:space="preserve">              FIFA</t>
  </si>
  <si>
    <t>Solde budgetaire de base corrigido</t>
  </si>
  <si>
    <t xml:space="preserve">Solde budgetaire de base </t>
  </si>
  <si>
    <t>Costa do Marfim</t>
  </si>
  <si>
    <t xml:space="preserve">                                       RESTO A PAGAR  (Rester-à-payer)</t>
  </si>
  <si>
    <t>RESTO A PAGAR (Rester-à-payer)</t>
  </si>
  <si>
    <t>FUNPI</t>
  </si>
  <si>
    <t>Banque Africaine de Développement/</t>
  </si>
  <si>
    <t>IDA/BM</t>
  </si>
  <si>
    <t>INDIA/BRASIL</t>
  </si>
  <si>
    <t xml:space="preserve">Décaissem. Janvier </t>
  </si>
  <si>
    <t xml:space="preserve">Décaissem. Février </t>
  </si>
  <si>
    <t xml:space="preserve">Décaissem. Mars </t>
  </si>
  <si>
    <t xml:space="preserve">Décaissem. Avril </t>
  </si>
  <si>
    <t xml:space="preserve">Décaissem. Mai </t>
  </si>
  <si>
    <t xml:space="preserve">Décaissem. Juin </t>
  </si>
  <si>
    <t xml:space="preserve">Décaissem. Juillet </t>
  </si>
  <si>
    <t xml:space="preserve">Décaissem. Aout </t>
  </si>
  <si>
    <t xml:space="preserve">Décaissem. Septembre </t>
  </si>
  <si>
    <t xml:space="preserve">Décaissem. Octobre </t>
  </si>
  <si>
    <t xml:space="preserve">Décaissem. Novembre </t>
  </si>
  <si>
    <t xml:space="preserve">Décaissem. Décembre </t>
  </si>
  <si>
    <t xml:space="preserve">Décaissem. Total </t>
  </si>
  <si>
    <t xml:space="preserve">Total </t>
  </si>
  <si>
    <t>dez</t>
  </si>
  <si>
    <t>oct</t>
  </si>
  <si>
    <t>nov</t>
  </si>
  <si>
    <t>sep</t>
  </si>
  <si>
    <t>août</t>
  </si>
  <si>
    <t>juil</t>
  </si>
  <si>
    <t>juin</t>
  </si>
  <si>
    <t>mai</t>
  </si>
  <si>
    <t>avr</t>
  </si>
  <si>
    <t>mars</t>
  </si>
  <si>
    <t>févr</t>
  </si>
  <si>
    <t>janv</t>
  </si>
  <si>
    <t>Arriérés Fin 2012</t>
  </si>
  <si>
    <t xml:space="preserve">Jan </t>
  </si>
  <si>
    <t xml:space="preserve">Fev </t>
  </si>
  <si>
    <t xml:space="preserve">Mar </t>
  </si>
  <si>
    <t xml:space="preserve">Avr </t>
  </si>
  <si>
    <t xml:space="preserve">Mai </t>
  </si>
  <si>
    <t xml:space="preserve">Juin </t>
  </si>
  <si>
    <t xml:space="preserve">Juillet </t>
  </si>
  <si>
    <t xml:space="preserve">Aout </t>
  </si>
  <si>
    <t xml:space="preserve">Sept. </t>
  </si>
  <si>
    <t xml:space="preserve">Nov. </t>
  </si>
  <si>
    <t xml:space="preserve">Déc. </t>
  </si>
  <si>
    <t xml:space="preserve">Oct. </t>
  </si>
  <si>
    <t>Total 2013</t>
  </si>
  <si>
    <t>O. Receitas Correntes)</t>
  </si>
  <si>
    <t>OGE 13</t>
  </si>
  <si>
    <t>I Trimestre 2013</t>
  </si>
  <si>
    <r>
      <t xml:space="preserve">               II Trimestre 2013                             </t>
    </r>
    <r>
      <rPr>
        <b/>
        <sz val="8"/>
        <rFont val="Times New Roman"/>
        <family val="1"/>
      </rPr>
      <t>em mil Fcfa</t>
    </r>
  </si>
  <si>
    <t>III Trimestre 2013</t>
  </si>
  <si>
    <t>IV Trimestre 2013</t>
  </si>
  <si>
    <t>s/Arroz</t>
  </si>
  <si>
    <t>Amortissements exigibles de la dette interne)</t>
  </si>
  <si>
    <t>Organismes</t>
  </si>
  <si>
    <t>Etats</t>
  </si>
  <si>
    <t>INTITULES RECETTES BASE MSFP 2001</t>
  </si>
  <si>
    <t xml:space="preserve">A1111 A la charge des personnes physiques  </t>
  </si>
  <si>
    <t xml:space="preserve">A1112 A la charge des sociétés et autres entreprises  </t>
  </si>
  <si>
    <t xml:space="preserve">A1113 Non ventilables  </t>
  </si>
  <si>
    <t>1.1.3</t>
  </si>
  <si>
    <t>1.1.3.1</t>
  </si>
  <si>
    <t xml:space="preserve">A1131 Impôts périodiques sur la propriété immobilière </t>
  </si>
  <si>
    <t>1.1.3.2</t>
  </si>
  <si>
    <t xml:space="preserve">A1132 Impôts périodiques sur le patrimoine net  </t>
  </si>
  <si>
    <t>1.1.3.3</t>
  </si>
  <si>
    <t xml:space="preserve">A1133 Impôts sur les mutations par décès, les successions, les donations entre vifs et les legs  </t>
  </si>
  <si>
    <t>1.1.3.4</t>
  </si>
  <si>
    <t xml:space="preserve">A1134 Impôts sur les transactions financières et en capital  </t>
  </si>
  <si>
    <t>1.1.3.5</t>
  </si>
  <si>
    <t xml:space="preserve">A1135 Autres impôts non périodiques sur le patrimoine  </t>
  </si>
  <si>
    <t>1.1.3.6</t>
  </si>
  <si>
    <t xml:space="preserve">A1136 Autres impôts périodiques sur le patrimoine . </t>
  </si>
  <si>
    <t>1.1.4.1</t>
  </si>
  <si>
    <t xml:space="preserve">A1141 Impôts généraux sur les biens et services  </t>
  </si>
  <si>
    <t>1.1.4.1.1</t>
  </si>
  <si>
    <t xml:space="preserve">A11411 AImpôts sur la valeur ajoutée </t>
  </si>
  <si>
    <t>1.1.4.1.2</t>
  </si>
  <si>
    <t xml:space="preserve">A11412 Impôts sur la vente  </t>
  </si>
  <si>
    <t>1.1.4.1.3</t>
  </si>
  <si>
    <t xml:space="preserve">A11413 Iimpôts sur le chiffre d'affaires et autres impôts généraux sur les biens et services  </t>
  </si>
  <si>
    <t>1.1.4.2</t>
  </si>
  <si>
    <t xml:space="preserve">A1142 Accises  </t>
  </si>
  <si>
    <t>1.1.4.3</t>
  </si>
  <si>
    <t xml:space="preserve">A1143 Bénéfices des monopoles fiscaux  </t>
  </si>
  <si>
    <t>1.1.4.4</t>
  </si>
  <si>
    <t xml:space="preserve">A1144 Taxes sur des services déterminés </t>
  </si>
  <si>
    <t>1.1.4.5</t>
  </si>
  <si>
    <t xml:space="preserve">A1145 Taxes sur l'utilisation ou la permission d'utiliser des biens ou d'exercer des activités  </t>
  </si>
  <si>
    <t>1.1.4.5.1</t>
  </si>
  <si>
    <t xml:space="preserve">A11451 Taxes sur les véhicules à moteur  </t>
  </si>
  <si>
    <t>1.1.4.5.2</t>
  </si>
  <si>
    <t xml:space="preserve">A11452 Autres  </t>
  </si>
  <si>
    <t>1.1.4.6</t>
  </si>
  <si>
    <t xml:space="preserve">A1146 Autres impôts sur les biens et services  </t>
  </si>
  <si>
    <t>1.1.5.1</t>
  </si>
  <si>
    <t xml:space="preserve">A1151 Droits de douane et autres droits à l'importation  </t>
  </si>
  <si>
    <t>1.1.5.2</t>
  </si>
  <si>
    <t xml:space="preserve">A1152 Taxes à l'exportation </t>
  </si>
  <si>
    <t>1.1.5.3</t>
  </si>
  <si>
    <t xml:space="preserve">A1153 Bénéfices des monopoles d'exportation ou d'importation  </t>
  </si>
  <si>
    <t>1.1.5.4</t>
  </si>
  <si>
    <t xml:space="preserve">A1154 Bénéfices de change </t>
  </si>
  <si>
    <t>1.1.5.5</t>
  </si>
  <si>
    <t xml:space="preserve">A1155 Taxes sur les opérations de change </t>
  </si>
  <si>
    <t>1.1.5.6</t>
  </si>
  <si>
    <t xml:space="preserve">A1156 Autres impôts sur le commerce extérieur et les transactions internationales  </t>
  </si>
  <si>
    <t>1.16</t>
  </si>
  <si>
    <t xml:space="preserve">A1211 A la charge des salariés </t>
  </si>
  <si>
    <t xml:space="preserve">A1212 A la charge des employeurs </t>
  </si>
  <si>
    <t>1.2.1.3</t>
  </si>
  <si>
    <t xml:space="preserve">A1213 A la charge des travailleurs indépendants ou des personnes sans emploi  </t>
  </si>
  <si>
    <t>1.2.1.4</t>
  </si>
  <si>
    <t xml:space="preserve">A1214 Non ventilables  </t>
  </si>
  <si>
    <t xml:space="preserve">A1221 A la chargé des salariés  </t>
  </si>
  <si>
    <t xml:space="preserve">A1222 A la charge des employeurs </t>
  </si>
  <si>
    <t xml:space="preserve">A1223 Imputées </t>
  </si>
  <si>
    <t>1.3</t>
  </si>
  <si>
    <t>1.3.1</t>
  </si>
  <si>
    <t>1.3.1.1</t>
  </si>
  <si>
    <t xml:space="preserve">A1311 Courants  </t>
  </si>
  <si>
    <t>1.3.1.2</t>
  </si>
  <si>
    <t xml:space="preserve">A1312 En capital . </t>
  </si>
  <si>
    <t>1.3.2</t>
  </si>
  <si>
    <t>1.3.2.1</t>
  </si>
  <si>
    <t xml:space="preserve">A1321 Courants  </t>
  </si>
  <si>
    <t>1.3.2.2</t>
  </si>
  <si>
    <t xml:space="preserve">A1322 En capital  </t>
  </si>
  <si>
    <t>1.3.3</t>
  </si>
  <si>
    <t>1.3.3.1</t>
  </si>
  <si>
    <t xml:space="preserve">A1331 Courants  </t>
  </si>
  <si>
    <t>1.3.3.2</t>
  </si>
  <si>
    <t xml:space="preserve">A1332 En capital  </t>
  </si>
  <si>
    <t>1.4</t>
  </si>
  <si>
    <t>1.4.1</t>
  </si>
  <si>
    <t>1.4.1.1</t>
  </si>
  <si>
    <t xml:space="preserve">A1411 Intérêts  </t>
  </si>
  <si>
    <t>1.4.1.2</t>
  </si>
  <si>
    <t xml:space="preserve">A1412 Dividendes  </t>
  </si>
  <si>
    <t>1.4.1.3</t>
  </si>
  <si>
    <t xml:space="preserve">A1413 Prélèvements sur les revenus des quasi-sociétés  </t>
  </si>
  <si>
    <t>1.4.1.4</t>
  </si>
  <si>
    <t xml:space="preserve">A1414 Revenus de la propriété attribués aux assurés  </t>
  </si>
  <si>
    <t>1.4.1.5</t>
  </si>
  <si>
    <t xml:space="preserve">A1415 Loyers  </t>
  </si>
  <si>
    <t>1.4.2</t>
  </si>
  <si>
    <t>1.4.2.1</t>
  </si>
  <si>
    <t xml:space="preserve">A1421 Ventes des établissements marchands . </t>
  </si>
  <si>
    <t>1.4.2.2</t>
  </si>
  <si>
    <t xml:space="preserve">A1422 Droits administratifs  </t>
  </si>
  <si>
    <t>1.4.2.3</t>
  </si>
  <si>
    <t xml:space="preserve">A1423 Ventes résiduelles des établissements non marchands  </t>
  </si>
  <si>
    <t>1.4.2.4</t>
  </si>
  <si>
    <t xml:space="preserve">A1424 Ventes imputées des biens et services . </t>
  </si>
  <si>
    <t>1.4.3</t>
  </si>
  <si>
    <t>1.4.4</t>
  </si>
  <si>
    <t>1.4.4.1</t>
  </si>
  <si>
    <t xml:space="preserve">A1441 Courants  </t>
  </si>
  <si>
    <t>1.4.4.2</t>
  </si>
  <si>
    <t xml:space="preserve">A1442 En capital  </t>
  </si>
  <si>
    <t>INTITULES CHARGES BASE MSFP 2001</t>
  </si>
  <si>
    <t>CHARGES</t>
  </si>
  <si>
    <t xml:space="preserve"> Rémunération des salariés(en nature et en espèces)</t>
  </si>
  <si>
    <t xml:space="preserve"> Salaires et traitements  </t>
  </si>
  <si>
    <t xml:space="preserve"> Cotisations sociales  </t>
  </si>
  <si>
    <t xml:space="preserve"> Cotisations sociales effectives </t>
  </si>
  <si>
    <t xml:space="preserve"> Cotisations sociales imputées  </t>
  </si>
  <si>
    <t xml:space="preserve"> Utilisation de biens et services  </t>
  </si>
  <si>
    <t>2.3</t>
  </si>
  <si>
    <t xml:space="preserve"> Consommation de capital fixe  </t>
  </si>
  <si>
    <t>2.4</t>
  </si>
  <si>
    <t xml:space="preserve"> Intérêts  </t>
  </si>
  <si>
    <t>2.4.1</t>
  </si>
  <si>
    <t xml:space="preserve"> Aux non-résidents </t>
  </si>
  <si>
    <t>2.4.2</t>
  </si>
  <si>
    <t xml:space="preserve"> Aux résidents autre que les administrations publiques </t>
  </si>
  <si>
    <t>2.4.3</t>
  </si>
  <si>
    <t xml:space="preserve"> Aux autres unités d'administration publique </t>
  </si>
  <si>
    <t>2.5</t>
  </si>
  <si>
    <t xml:space="preserve"> Subventions  </t>
  </si>
  <si>
    <t>2.5.1</t>
  </si>
  <si>
    <t xml:space="preserve"> Aux sociétés publiques  </t>
  </si>
  <si>
    <t>2.5.2</t>
  </si>
  <si>
    <t xml:space="preserve"> Aux entreprises privées. </t>
  </si>
  <si>
    <t>2.6</t>
  </si>
  <si>
    <t xml:space="preserve"> Dons (en nature et en espèces)</t>
  </si>
  <si>
    <t>2.6.1</t>
  </si>
  <si>
    <t xml:space="preserve"> Aux administrations publiques étrangères  </t>
  </si>
  <si>
    <t>2.6.1.1</t>
  </si>
  <si>
    <t xml:space="preserve"> Courants  </t>
  </si>
  <si>
    <t>2.6.1.2</t>
  </si>
  <si>
    <t xml:space="preserve"> En capital  </t>
  </si>
  <si>
    <t>2.6.2</t>
  </si>
  <si>
    <t xml:space="preserve"> Aux organisations internationales  </t>
  </si>
  <si>
    <t>2.6.2.1</t>
  </si>
  <si>
    <t>2.6.2.2</t>
  </si>
  <si>
    <t xml:space="preserve"> En capital </t>
  </si>
  <si>
    <t>2.6.3</t>
  </si>
  <si>
    <t xml:space="preserve"> Aux autres unités des administrations publiques  </t>
  </si>
  <si>
    <t>2.6.3.1</t>
  </si>
  <si>
    <t>2.6.3.2</t>
  </si>
  <si>
    <t>2.7</t>
  </si>
  <si>
    <t xml:space="preserve"> Prestations sociales (en nature et en espèces)</t>
  </si>
  <si>
    <t>2.7.1</t>
  </si>
  <si>
    <t xml:space="preserve"> Prestations de sécurité sociale </t>
  </si>
  <si>
    <t>2.7.2</t>
  </si>
  <si>
    <t xml:space="preserve"> Prestations d'assistance sociale  </t>
  </si>
  <si>
    <t>2.7.3</t>
  </si>
  <si>
    <t xml:space="preserve"> Prestations sociales d'employeurs </t>
  </si>
  <si>
    <t>2.8</t>
  </si>
  <si>
    <t xml:space="preserve"> Autres charges  </t>
  </si>
  <si>
    <t>2.8.1</t>
  </si>
  <si>
    <t xml:space="preserve"> Charges liées à la propriété autres que les intérêts </t>
  </si>
  <si>
    <t>2.8.2</t>
  </si>
  <si>
    <t xml:space="preserve"> Autres charges diverses  </t>
  </si>
  <si>
    <t>2.8.2.1</t>
  </si>
  <si>
    <t xml:space="preserve"> Courantes  </t>
  </si>
  <si>
    <t>2.8.2.2</t>
  </si>
  <si>
    <r>
      <t xml:space="preserve">A31 Acquisition nette d'actifs non financiers </t>
    </r>
    <r>
      <rPr>
        <vertAlign val="superscript"/>
        <sz val="12"/>
        <rFont val="Arial"/>
        <family val="2"/>
      </rPr>
      <t xml:space="preserve"> </t>
    </r>
  </si>
  <si>
    <t>Sur ressources intérieures</t>
  </si>
  <si>
    <r>
      <t xml:space="preserve">A311 Actifs fixes </t>
    </r>
    <r>
      <rPr>
        <b/>
        <sz val="12"/>
        <color indexed="10"/>
        <rFont val="Arial"/>
        <family val="2"/>
      </rPr>
      <t xml:space="preserve"> </t>
    </r>
  </si>
  <si>
    <t xml:space="preserve">A311.1 Acquisition: Actifs fixes </t>
  </si>
  <si>
    <r>
      <t xml:space="preserve">A311.2 Ventes: Actifs fixes </t>
    </r>
    <r>
      <rPr>
        <i/>
        <sz val="12"/>
        <color indexed="60"/>
        <rFont val="Arial"/>
        <family val="2"/>
      </rPr>
      <t xml:space="preserve"> </t>
    </r>
  </si>
  <si>
    <t xml:space="preserve">A311.3 Consommation de capital fixe (CCF): actifs fixes </t>
  </si>
  <si>
    <t xml:space="preserve">A3111 Bâtiments et ouvrages de génie civil  </t>
  </si>
  <si>
    <t xml:space="preserve">A312 Machines et équipement  </t>
  </si>
  <si>
    <t xml:space="preserve">A3113 Autres actifs fixes </t>
  </si>
  <si>
    <t>Sur ressources extérieures</t>
  </si>
  <si>
    <t xml:space="preserve">     Actifs fixes</t>
  </si>
  <si>
    <t xml:space="preserve">     Stocks</t>
  </si>
  <si>
    <t xml:space="preserve">     Objets de valeur</t>
  </si>
  <si>
    <t xml:space="preserve">     Actifs non produits</t>
  </si>
  <si>
    <r>
      <t>A32 Acquisition nette d'actifs financiers</t>
    </r>
    <r>
      <rPr>
        <sz val="12"/>
        <rFont val="Arial"/>
        <family val="2"/>
      </rPr>
      <t xml:space="preserve"> (ou somme de 321, 322, 323)</t>
    </r>
  </si>
  <si>
    <t>TABLEAU DES OPERATIONS FINANCIERES DE L'ETAT (TOFE) RÉSUMÉ</t>
  </si>
  <si>
    <t>BASE MSFP 2001</t>
  </si>
  <si>
    <t>CODES</t>
  </si>
  <si>
    <t>LIBELLES</t>
  </si>
  <si>
    <t>TRANSACTIONS AFFECTANT LA VALEUR NETTE</t>
  </si>
  <si>
    <t>RECETTES</t>
  </si>
  <si>
    <t xml:space="preserve">    Impôts sur les salaires et la  main-d’œuvre</t>
  </si>
  <si>
    <t xml:space="preserve">    Impôts sur le patrimoine</t>
  </si>
  <si>
    <t xml:space="preserve">    Impôts sur les biens et services</t>
  </si>
  <si>
    <t xml:space="preserve">    Autres recettes fiscales</t>
  </si>
  <si>
    <t>Cotisations sociales</t>
  </si>
  <si>
    <t xml:space="preserve">     Cotisations de sécurité sociale</t>
  </si>
  <si>
    <t xml:space="preserve">     Autres cotisations sociales</t>
  </si>
  <si>
    <t xml:space="preserve">      Reçus d’administrations publiques étrangères</t>
  </si>
  <si>
    <t xml:space="preserve">     Reçus d’organisations internationales</t>
  </si>
  <si>
    <t xml:space="preserve">     Reçus d’autres unités d’administration publique</t>
  </si>
  <si>
    <t>Autres recettes</t>
  </si>
  <si>
    <t xml:space="preserve">     Revenus de la propriété</t>
  </si>
  <si>
    <t xml:space="preserve">    Ventes de biens et services</t>
  </si>
  <si>
    <t xml:space="preserve">    Amendes, pénalités et confiscations</t>
  </si>
  <si>
    <t xml:space="preserve">    Transferts volontaires autres que les dons</t>
  </si>
  <si>
    <t xml:space="preserve">    Recettes diverses et non identifiées</t>
  </si>
  <si>
    <t xml:space="preserve">Rémunération des salariés </t>
  </si>
  <si>
    <t xml:space="preserve">     Salaires et traitements </t>
  </si>
  <si>
    <t xml:space="preserve">          Salaires et traitements en espèces </t>
  </si>
  <si>
    <t xml:space="preserve">          Salaires et traitements en nature</t>
  </si>
  <si>
    <t xml:space="preserve">    Cotisations sociales</t>
  </si>
  <si>
    <t>Utilisation de biens et services</t>
  </si>
  <si>
    <t>Consommation de capital fixe</t>
  </si>
  <si>
    <t>Intérêts</t>
  </si>
  <si>
    <t>Subventions</t>
  </si>
  <si>
    <t xml:space="preserve">     Aux sociétés publiques</t>
  </si>
  <si>
    <t xml:space="preserve">     Aux entreprises privées</t>
  </si>
  <si>
    <t xml:space="preserve">    Aux administrations publiques étrangères</t>
  </si>
  <si>
    <t xml:space="preserve">    Aux organisations internationales</t>
  </si>
  <si>
    <t xml:space="preserve">    Aux autres unités d’administration publique</t>
  </si>
  <si>
    <t>Prestations sociales</t>
  </si>
  <si>
    <t xml:space="preserve">    Prestations de sécurité sociale</t>
  </si>
  <si>
    <t xml:space="preserve">    Prestations d’assistance sociale</t>
  </si>
  <si>
    <t xml:space="preserve">    Prestations sociales d’employeurs</t>
  </si>
  <si>
    <t>Autres charges</t>
  </si>
  <si>
    <t xml:space="preserve">     Charges liées à la propriété autres que les intérêts</t>
  </si>
  <si>
    <t xml:space="preserve">    Autres charges diverses</t>
  </si>
  <si>
    <t xml:space="preserve">Solde net de gestion </t>
  </si>
  <si>
    <t>TRANSACTIONS SUR ACTIFS NON FINANCIERS</t>
  </si>
  <si>
    <t>Acquisition nette d’actifs non financiers</t>
  </si>
  <si>
    <t>Sur ressources Intérieures</t>
  </si>
  <si>
    <t xml:space="preserve">      Actifs fixes </t>
  </si>
  <si>
    <t xml:space="preserve">     Stocks </t>
  </si>
  <si>
    <t xml:space="preserve">     Objets de valeur </t>
  </si>
  <si>
    <t xml:space="preserve">     Actifs non produits </t>
  </si>
  <si>
    <t>Sur ressources Extérieures</t>
  </si>
  <si>
    <t>Capacité/besoin de financement = Financement</t>
  </si>
  <si>
    <t xml:space="preserve">TRANSACTIONS SUR ACTIFS FINANCIERS ET PASSIFS </t>
  </si>
  <si>
    <t>(FINANCEMENT)</t>
  </si>
  <si>
    <t>Acquisition nette d'actifs financiers</t>
  </si>
  <si>
    <t xml:space="preserve">     Intérieurs</t>
  </si>
  <si>
    <t xml:space="preserve">            Numéraire et dépôts</t>
  </si>
  <si>
    <t xml:space="preserve">           Titres autres que les actions</t>
  </si>
  <si>
    <t xml:space="preserve">           Crédits</t>
  </si>
  <si>
    <t xml:space="preserve">           Actions et autres participations</t>
  </si>
  <si>
    <t xml:space="preserve">            Réserves techniques d'assurance</t>
  </si>
  <si>
    <t xml:space="preserve">            Produits financiers dérivés</t>
  </si>
  <si>
    <t xml:space="preserve">           Autres comptes à recevoir</t>
  </si>
  <si>
    <t xml:space="preserve">    Extérieurs</t>
  </si>
  <si>
    <t xml:space="preserve">           Numéraire et dépôts</t>
  </si>
  <si>
    <t xml:space="preserve">          Titres autres que les actions</t>
  </si>
  <si>
    <t xml:space="preserve">           Réserves techniques d'assurance</t>
  </si>
  <si>
    <t xml:space="preserve">           Produits financiers dérivés</t>
  </si>
  <si>
    <t xml:space="preserve">          Autres comptes à recevoir</t>
  </si>
  <si>
    <t xml:space="preserve">Or monétaire et DTS  </t>
  </si>
  <si>
    <t>Accumulation nette de passifs</t>
  </si>
  <si>
    <t xml:space="preserve">    Intérieurs</t>
  </si>
  <si>
    <t xml:space="preserve">          Crédits</t>
  </si>
  <si>
    <t xml:space="preserve">          Actions et autres participations</t>
  </si>
  <si>
    <t xml:space="preserve">          Réserves techniques d'assurance</t>
  </si>
  <si>
    <t xml:space="preserve">          Produits financiers dérivés</t>
  </si>
  <si>
    <t xml:space="preserve">          Autres comptes à payer</t>
  </si>
  <si>
    <t xml:space="preserve">   Extérieurs</t>
  </si>
  <si>
    <t xml:space="preserve">          Numéraire et dépôts</t>
  </si>
  <si>
    <t xml:space="preserve">         Titres autres que les actions</t>
  </si>
  <si>
    <t xml:space="preserve">         Crédits</t>
  </si>
  <si>
    <t xml:space="preserve">         Actions et autres participations</t>
  </si>
  <si>
    <t xml:space="preserve">         Réserves techniques d'assurance</t>
  </si>
  <si>
    <t xml:space="preserve">         Produits financiers dérivés</t>
  </si>
  <si>
    <t xml:space="preserve">         Autres comptes à payer</t>
  </si>
  <si>
    <r>
      <t xml:space="preserve">3 VARIATION DE LA VALEUR NETTE: TRANSACTIONS </t>
    </r>
    <r>
      <rPr>
        <b/>
        <vertAlign val="superscript"/>
        <sz val="12"/>
        <rFont val="Arial"/>
        <family val="2"/>
      </rPr>
      <t xml:space="preserve"> </t>
    </r>
    <r>
      <rPr>
        <sz val="12"/>
        <rFont val="Arial"/>
        <family val="2"/>
      </rPr>
      <t xml:space="preserve"> </t>
    </r>
  </si>
  <si>
    <t>3.1</t>
  </si>
  <si>
    <t>3.1.1</t>
  </si>
  <si>
    <t>3.1.1.1</t>
  </si>
  <si>
    <t>3.1.1.2</t>
  </si>
  <si>
    <t>3.1.1.3</t>
  </si>
  <si>
    <t>3.1.1.1.1</t>
  </si>
  <si>
    <t>3.1.1.1.2</t>
  </si>
  <si>
    <t>3.1.1.1.3</t>
  </si>
  <si>
    <t>3.1.1.2.1</t>
  </si>
  <si>
    <t>3.1.1.2.2</t>
  </si>
  <si>
    <t>3.1.1.2.3</t>
  </si>
  <si>
    <t>3.1.1.3.1</t>
  </si>
  <si>
    <t>3.1.1.3.2</t>
  </si>
  <si>
    <t>3.1.1.3.3</t>
  </si>
  <si>
    <t>1.4.5</t>
  </si>
  <si>
    <t xml:space="preserve">Ecart = </t>
  </si>
  <si>
    <t>3.1.2</t>
  </si>
  <si>
    <t>3.1.2.1</t>
  </si>
  <si>
    <t>3.1.2.2</t>
  </si>
  <si>
    <t>3.1.3.</t>
  </si>
  <si>
    <t>3.1.3.1</t>
  </si>
  <si>
    <t>3.1.3.2</t>
  </si>
  <si>
    <t>3.1.4</t>
  </si>
  <si>
    <t>3.1.4.1</t>
  </si>
  <si>
    <t>3.1.4.2</t>
  </si>
  <si>
    <t>3.1.4.3</t>
  </si>
  <si>
    <t>3.1.4.4</t>
  </si>
  <si>
    <t>3.2</t>
  </si>
  <si>
    <t>3.2.0.2</t>
  </si>
  <si>
    <t>3.2.0.3</t>
  </si>
  <si>
    <t>3.2.0.4</t>
  </si>
  <si>
    <t>3.2.0.5</t>
  </si>
  <si>
    <t>3.2.0.6</t>
  </si>
  <si>
    <t>3.2.0.7</t>
  </si>
  <si>
    <t>3.2.1</t>
  </si>
  <si>
    <t>3.2.1.2</t>
  </si>
  <si>
    <t>3.2.1.3</t>
  </si>
  <si>
    <t>3.2.1.4</t>
  </si>
  <si>
    <t>3.2.1.5</t>
  </si>
  <si>
    <t>3.2.1.6</t>
  </si>
  <si>
    <t>3.2.1.7</t>
  </si>
  <si>
    <t>3.2.1.8</t>
  </si>
  <si>
    <t>3.2.0.8</t>
  </si>
  <si>
    <t>3.2.2</t>
  </si>
  <si>
    <t>3.2.2.2</t>
  </si>
  <si>
    <t>3.2.2.3</t>
  </si>
  <si>
    <t>3.2.2.4</t>
  </si>
  <si>
    <t>3.2.2.5</t>
  </si>
  <si>
    <t>3.2.2.6</t>
  </si>
  <si>
    <t>3.2.2.7</t>
  </si>
  <si>
    <t>3.2.2.8</t>
  </si>
  <si>
    <t>3.2.3</t>
  </si>
  <si>
    <t>3.3</t>
  </si>
  <si>
    <t>3.3.0.1</t>
  </si>
  <si>
    <t>3.3.0.2</t>
  </si>
  <si>
    <t>3.3.0.3</t>
  </si>
  <si>
    <t>3.3.0.4</t>
  </si>
  <si>
    <t>3.3.0.5</t>
  </si>
  <si>
    <t>3.3.0.6</t>
  </si>
  <si>
    <t>3.3.0.7</t>
  </si>
  <si>
    <t>3.3.0.8</t>
  </si>
  <si>
    <t>3.3.1</t>
  </si>
  <si>
    <t>3.3.1.2</t>
  </si>
  <si>
    <t>3.3.1.3</t>
  </si>
  <si>
    <t>3.3.1.4</t>
  </si>
  <si>
    <t>3.3.1.5</t>
  </si>
  <si>
    <t>3.3.1.6</t>
  </si>
  <si>
    <t>3.3.1.7</t>
  </si>
  <si>
    <t>3.3.1.8</t>
  </si>
  <si>
    <t>3.3.2</t>
  </si>
  <si>
    <t>3.3.2.2</t>
  </si>
  <si>
    <t>3.3.2.1</t>
  </si>
  <si>
    <t>3.3.2.3</t>
  </si>
  <si>
    <t>3.3.2.4</t>
  </si>
  <si>
    <t>3.3.2.5</t>
  </si>
  <si>
    <t>3.3.2.6</t>
  </si>
  <si>
    <t>3.3.2.7</t>
  </si>
  <si>
    <t>3.3.2.8</t>
  </si>
  <si>
    <t xml:space="preserve"> Titres autres qu'actions  </t>
  </si>
  <si>
    <t xml:space="preserve"> Crédits </t>
  </si>
  <si>
    <t xml:space="preserve"> Actions et autres participations </t>
  </si>
  <si>
    <t xml:space="preserve"> Réserves techniques d'assurance </t>
  </si>
  <si>
    <t xml:space="preserve"> Dérivés financiers </t>
  </si>
  <si>
    <t xml:space="preserve"> Autres comptes à payer  </t>
  </si>
  <si>
    <t xml:space="preserve"> Numéraire et dépôts  </t>
  </si>
  <si>
    <t xml:space="preserve">Droits de tirage spéciaux (DTS) [3321]  </t>
  </si>
  <si>
    <t xml:space="preserve"> Extérieurs  </t>
  </si>
  <si>
    <t xml:space="preserve"> Autres comptes à payer </t>
  </si>
  <si>
    <t xml:space="preserve"> Dérivés financiers  </t>
  </si>
  <si>
    <t xml:space="preserve"> Titres autres qu'actions </t>
  </si>
  <si>
    <r>
      <t xml:space="preserve"> Intérieurs</t>
    </r>
    <r>
      <rPr>
        <sz val="12"/>
        <rFont val="Arial"/>
        <family val="2"/>
      </rPr>
      <t xml:space="preserve">  </t>
    </r>
  </si>
  <si>
    <t xml:space="preserve"> Autres comptes à payer [3318+3328] . </t>
  </si>
  <si>
    <t xml:space="preserve"> Dérivés financiers [3317+3327]  </t>
  </si>
  <si>
    <t xml:space="preserve"> Réserves techniques d'assurance [3316+3326]  </t>
  </si>
  <si>
    <t xml:space="preserve"> Actions et autres participations [3315+3325]  </t>
  </si>
  <si>
    <t xml:space="preserve"> Crédits [3314+3324]  </t>
  </si>
  <si>
    <t xml:space="preserve"> Titres autres qu'actions [3313+3323]  </t>
  </si>
  <si>
    <t xml:space="preserve"> Numéraire et dépôts [3312+3322]  </t>
  </si>
  <si>
    <t xml:space="preserve"> Droits de tirage spéciaux (DTS) [3321]  </t>
  </si>
  <si>
    <r>
      <t xml:space="preserve"> Accroissement net de passifs</t>
    </r>
    <r>
      <rPr>
        <sz val="12"/>
        <rFont val="Arial"/>
        <family val="2"/>
      </rPr>
      <t xml:space="preserve"> (ou somme de 331 et 332)</t>
    </r>
  </si>
  <si>
    <t xml:space="preserve"> Autres comptes à recevoir  </t>
  </si>
  <si>
    <r>
      <t xml:space="preserve"> Or monétaire et DTS</t>
    </r>
    <r>
      <rPr>
        <sz val="12"/>
        <rFont val="Arial"/>
        <family val="2"/>
      </rPr>
      <t xml:space="preserve">  </t>
    </r>
  </si>
  <si>
    <r>
      <t xml:space="preserve"> Extérieurs</t>
    </r>
    <r>
      <rPr>
        <sz val="12"/>
        <rFont val="Arial"/>
        <family val="2"/>
      </rPr>
      <t xml:space="preserve">  </t>
    </r>
  </si>
  <si>
    <t xml:space="preserve"> Réserves techniques d'assurance. </t>
  </si>
  <si>
    <t xml:space="preserve"> Crédits  </t>
  </si>
  <si>
    <t xml:space="preserve"> Numéraire et dépôts [3212+3222]  </t>
  </si>
  <si>
    <t xml:space="preserve"> Titres autres qu'actions [3213+3223]  </t>
  </si>
  <si>
    <t xml:space="preserve"> Crédits [3214+3224]  </t>
  </si>
  <si>
    <t xml:space="preserve"> Actions et autres participations [3215+3225] </t>
  </si>
  <si>
    <t xml:space="preserve"> Réserves techniques d'assurance [3216+3226]  </t>
  </si>
  <si>
    <t xml:space="preserve"> Dérivés financiers [3217+3227]  </t>
  </si>
  <si>
    <t xml:space="preserve"> Autres comptes à recevoir [3218+3228] </t>
  </si>
  <si>
    <t>3.1.1.0</t>
  </si>
  <si>
    <t xml:space="preserve"> Bâtiments et ouvrages de génie civil  </t>
  </si>
  <si>
    <t xml:space="preserve"> Acquisition: bâtiments et ouvrages de génie civil  </t>
  </si>
  <si>
    <t xml:space="preserve"> Ventes: bâtiments et ouvrages de génie civil  </t>
  </si>
  <si>
    <t xml:space="preserve"> CCF: bâtiments et ouvrages de génie civil  </t>
  </si>
  <si>
    <t xml:space="preserve"> Machines et équipement  </t>
  </si>
  <si>
    <t xml:space="preserve"> Acquisition: machines et équipement </t>
  </si>
  <si>
    <t xml:space="preserve"> Ventes: machines et équipement  </t>
  </si>
  <si>
    <t xml:space="preserve"> CCF: machines et équipement  </t>
  </si>
  <si>
    <t xml:space="preserve"> Autres actifs fixes </t>
  </si>
  <si>
    <t xml:space="preserve">Acquisition: autres actifs fixes </t>
  </si>
  <si>
    <t xml:space="preserve"> Ventes: autres actifs fixes </t>
  </si>
  <si>
    <t xml:space="preserve"> CCF: autres actifs fixes  </t>
  </si>
  <si>
    <r>
      <t xml:space="preserve"> Stocks</t>
    </r>
    <r>
      <rPr>
        <sz val="12"/>
        <rFont val="Arial"/>
        <family val="2"/>
      </rPr>
      <t xml:space="preserve"> </t>
    </r>
    <r>
      <rPr>
        <b/>
        <sz val="12"/>
        <color indexed="10"/>
        <rFont val="Arial"/>
        <family val="2"/>
      </rPr>
      <t xml:space="preserve"> </t>
    </r>
  </si>
  <si>
    <t xml:space="preserve"> Stocks stratégiques</t>
  </si>
  <si>
    <t xml:space="preserve"> Autres stocks</t>
  </si>
  <si>
    <r>
      <t xml:space="preserve"> Objets de valeur </t>
    </r>
    <r>
      <rPr>
        <b/>
        <sz val="12"/>
        <color indexed="10"/>
        <rFont val="Arial"/>
        <family val="2"/>
      </rPr>
      <t xml:space="preserve"> </t>
    </r>
  </si>
  <si>
    <r>
      <t xml:space="preserve"> Acquisition: objets de valeur</t>
    </r>
    <r>
      <rPr>
        <i/>
        <sz val="12"/>
        <color indexed="60"/>
        <rFont val="Arial"/>
        <family val="2"/>
      </rPr>
      <t xml:space="preserve"> </t>
    </r>
  </si>
  <si>
    <r>
      <t xml:space="preserve"> Ventes: objets de valeur</t>
    </r>
    <r>
      <rPr>
        <i/>
        <sz val="12"/>
        <color indexed="60"/>
        <rFont val="Arial"/>
        <family val="2"/>
      </rPr>
      <t xml:space="preserve"> </t>
    </r>
  </si>
  <si>
    <t xml:space="preserve"> Actifs non produits </t>
  </si>
  <si>
    <r>
      <t xml:space="preserve"> Acquisition: actifs non produits </t>
    </r>
    <r>
      <rPr>
        <i/>
        <sz val="12"/>
        <color indexed="60"/>
        <rFont val="Arial"/>
        <family val="2"/>
      </rPr>
      <t xml:space="preserve"> </t>
    </r>
  </si>
  <si>
    <r>
      <t xml:space="preserve"> Ventes: actifs non produits</t>
    </r>
    <r>
      <rPr>
        <i/>
        <sz val="12"/>
        <color indexed="60"/>
        <rFont val="Arial"/>
        <family val="2"/>
      </rPr>
      <t xml:space="preserve"> </t>
    </r>
  </si>
  <si>
    <r>
      <t xml:space="preserve"> CCF: actifs non produits </t>
    </r>
    <r>
      <rPr>
        <i/>
        <sz val="12"/>
        <color indexed="60"/>
        <rFont val="Arial"/>
        <family val="2"/>
      </rPr>
      <t xml:space="preserve"> </t>
    </r>
  </si>
  <si>
    <t xml:space="preserve"> Terrains  </t>
  </si>
  <si>
    <t>3.1.4.1.1</t>
  </si>
  <si>
    <t>3.1.4.2.1</t>
  </si>
  <si>
    <t>3.1.4.3.1</t>
  </si>
  <si>
    <t>3.1.4.4.1</t>
  </si>
  <si>
    <t>3.1.4.4.2</t>
  </si>
  <si>
    <t>3.1.4.3.2</t>
  </si>
  <si>
    <t>3.1.4.2.2</t>
  </si>
  <si>
    <t>3.1.4.2.3</t>
  </si>
  <si>
    <t>3.1.4.1.2</t>
  </si>
  <si>
    <t>3.1.4.1.3</t>
  </si>
  <si>
    <t xml:space="preserve"> Acquisition: terrains </t>
  </si>
  <si>
    <t xml:space="preserve"> Ventes: terrains  </t>
  </si>
  <si>
    <t xml:space="preserve"> CCF </t>
  </si>
  <si>
    <t xml:space="preserve"> Gisements  </t>
  </si>
  <si>
    <t xml:space="preserve"> Acquisition: gisements  </t>
  </si>
  <si>
    <t xml:space="preserve"> Ventes: gisements  </t>
  </si>
  <si>
    <t xml:space="preserve"> Autres actifs naturels  </t>
  </si>
  <si>
    <t xml:space="preserve"> Acquisition: autres actifs naturels  </t>
  </si>
  <si>
    <t xml:space="preserve"> Ventes: autres actifs naturels  </t>
  </si>
  <si>
    <t xml:space="preserve"> Actifs incorporels non produits </t>
  </si>
  <si>
    <t xml:space="preserve"> Ventes: actifs incorporels non produits  </t>
  </si>
  <si>
    <t xml:space="preserve"> Acquisitions: actifs incorporels non produits </t>
  </si>
  <si>
    <t>RESTO A PAGAR  (Rester-à-payer)</t>
  </si>
  <si>
    <t>DESPESAS NAO REGULARIZADAS (DNT)</t>
  </si>
  <si>
    <t>TOTAL  DNT</t>
  </si>
  <si>
    <t>em mil Fcfa</t>
  </si>
  <si>
    <t>Em mil</t>
  </si>
  <si>
    <r>
      <t xml:space="preserve">A1 RECETTES </t>
    </r>
    <r>
      <rPr>
        <sz val="9"/>
        <rFont val="Calibri"/>
        <family val="2"/>
      </rPr>
      <t xml:space="preserve"> </t>
    </r>
  </si>
  <si>
    <r>
      <t>Recettes fiscales</t>
    </r>
    <r>
      <rPr>
        <sz val="9"/>
        <rFont val="Calibri"/>
        <family val="2"/>
      </rPr>
      <t xml:space="preserve"> </t>
    </r>
  </si>
  <si>
    <r>
      <t>A111 Impôts sur le revenu, les bénéfices et les gains en capital</t>
    </r>
    <r>
      <rPr>
        <sz val="9"/>
        <rFont val="Calibri"/>
        <family val="2"/>
      </rPr>
      <t xml:space="preserve">  </t>
    </r>
  </si>
  <si>
    <r>
      <t>A112 Impôts sur les salaires et la main-d'oeuvre</t>
    </r>
    <r>
      <rPr>
        <sz val="9"/>
        <rFont val="Calibri"/>
        <family val="2"/>
      </rPr>
      <t xml:space="preserve">  </t>
    </r>
  </si>
  <si>
    <r>
      <t>A113 Impôts sur le patrimoine</t>
    </r>
    <r>
      <rPr>
        <sz val="9"/>
        <rFont val="Calibri"/>
        <family val="2"/>
      </rPr>
      <t xml:space="preserve">  </t>
    </r>
  </si>
  <si>
    <r>
      <t>A114 Impôts sur les biens et services</t>
    </r>
    <r>
      <rPr>
        <sz val="9"/>
        <rFont val="Calibri"/>
        <family val="2"/>
      </rPr>
      <t xml:space="preserve">  </t>
    </r>
  </si>
  <si>
    <r>
      <t xml:space="preserve">A115 Impôts sur le commerce extérieur et les transactions internationales </t>
    </r>
    <r>
      <rPr>
        <sz val="9"/>
        <rFont val="Calibri"/>
        <family val="2"/>
      </rPr>
      <t xml:space="preserve"> </t>
    </r>
  </si>
  <si>
    <r>
      <t>A116 Autres recettes fiscales</t>
    </r>
    <r>
      <rPr>
        <sz val="9"/>
        <rFont val="Calibri"/>
        <family val="2"/>
      </rPr>
      <t xml:space="preserve">  </t>
    </r>
  </si>
  <si>
    <r>
      <t>A12 Cotisations sociales</t>
    </r>
    <r>
      <rPr>
        <sz val="9"/>
        <rFont val="Calibri"/>
        <family val="2"/>
      </rPr>
      <t xml:space="preserve"> </t>
    </r>
  </si>
  <si>
    <r>
      <t>A121 Cotisations de sécurité sociale</t>
    </r>
    <r>
      <rPr>
        <sz val="9"/>
        <rFont val="Calibri"/>
        <family val="2"/>
      </rPr>
      <t xml:space="preserve">  </t>
    </r>
  </si>
  <si>
    <r>
      <t>A122 Autres cotisations sociales</t>
    </r>
    <r>
      <rPr>
        <sz val="9"/>
        <rFont val="Calibri"/>
        <family val="2"/>
      </rPr>
      <t xml:space="preserve">  </t>
    </r>
  </si>
  <si>
    <r>
      <t>A13 Dons</t>
    </r>
    <r>
      <rPr>
        <sz val="9"/>
        <rFont val="Calibri"/>
        <family val="2"/>
      </rPr>
      <t xml:space="preserve">  </t>
    </r>
  </si>
  <si>
    <r>
      <t>A131 Reçus d'administrations publiques étrangères</t>
    </r>
    <r>
      <rPr>
        <sz val="9"/>
        <rFont val="Calibri"/>
        <family val="2"/>
      </rPr>
      <t xml:space="preserve">  </t>
    </r>
  </si>
  <si>
    <r>
      <t xml:space="preserve">A132 Reçus d'organisations internationales </t>
    </r>
    <r>
      <rPr>
        <sz val="9"/>
        <rFont val="Calibri"/>
        <family val="2"/>
      </rPr>
      <t xml:space="preserve"> </t>
    </r>
  </si>
  <si>
    <r>
      <t>A133 Reçus d'autres unités d'administration publique</t>
    </r>
    <r>
      <rPr>
        <sz val="9"/>
        <rFont val="Calibri"/>
        <family val="2"/>
      </rPr>
      <t xml:space="preserve">  </t>
    </r>
  </si>
  <si>
    <r>
      <t>A14 Autres recettes</t>
    </r>
    <r>
      <rPr>
        <sz val="9"/>
        <rFont val="Calibri"/>
        <family val="2"/>
      </rPr>
      <t xml:space="preserve">  </t>
    </r>
  </si>
  <si>
    <r>
      <t>A141 Revenu de la propriété</t>
    </r>
    <r>
      <rPr>
        <sz val="9"/>
        <rFont val="Calibri"/>
        <family val="2"/>
      </rPr>
      <t xml:space="preserve">  </t>
    </r>
  </si>
  <si>
    <r>
      <t>A142 Ventes de biens et services</t>
    </r>
    <r>
      <rPr>
        <sz val="9"/>
        <rFont val="Calibri"/>
        <family val="2"/>
      </rPr>
      <t xml:space="preserve">  </t>
    </r>
  </si>
  <si>
    <r>
      <t>A143 Amendes, pénalités et confiscations</t>
    </r>
    <r>
      <rPr>
        <sz val="9"/>
        <rFont val="Calibri"/>
        <family val="2"/>
      </rPr>
      <t xml:space="preserve"> </t>
    </r>
  </si>
  <si>
    <r>
      <t>A144 Transferts volontaires autres que les dons</t>
    </r>
    <r>
      <rPr>
        <sz val="9"/>
        <rFont val="Calibri"/>
        <family val="2"/>
      </rPr>
      <t xml:space="preserve">  </t>
    </r>
  </si>
  <si>
    <r>
      <t>A145 Recettes diverses non identifiées</t>
    </r>
    <r>
      <rPr>
        <sz val="9"/>
        <rFont val="Calibri"/>
        <family val="2"/>
      </rPr>
      <t xml:space="preserve">  </t>
    </r>
  </si>
  <si>
    <t xml:space="preserve">    Impôts s/le co. Exté.  Trans. internationales</t>
  </si>
  <si>
    <t xml:space="preserve">    Impôts s/ le rev., les béné. gains en capital</t>
  </si>
  <si>
    <t>OMGV</t>
  </si>
  <si>
    <t>BM/IDA/FMI/PNUD</t>
  </si>
  <si>
    <t>Timor-Leste</t>
  </si>
  <si>
    <t>RNF DGA</t>
  </si>
  <si>
    <t>RF  DGA</t>
  </si>
  <si>
    <t xml:space="preserve">    - ano 2013</t>
  </si>
  <si>
    <t xml:space="preserve">    - ano 2012</t>
  </si>
  <si>
    <t xml:space="preserve">    - ano 2011</t>
  </si>
  <si>
    <t>Emolu</t>
  </si>
  <si>
    <t>Desloc</t>
  </si>
  <si>
    <t>PCS</t>
  </si>
  <si>
    <t>Taxa Inform</t>
  </si>
  <si>
    <t>PC</t>
  </si>
  <si>
    <t>TOTAL 1</t>
  </si>
  <si>
    <t>TOTAL 2</t>
  </si>
  <si>
    <t>Rceita Real</t>
  </si>
  <si>
    <t xml:space="preserve">    - ano 2005</t>
  </si>
  <si>
    <t>T - Bills (Residente)</t>
  </si>
  <si>
    <t>ORABANK</t>
  </si>
  <si>
    <t>T - Bills (Non Residente)</t>
  </si>
  <si>
    <t>Benin</t>
  </si>
  <si>
    <t>Burkina Faso</t>
  </si>
  <si>
    <t>Cote d Ivoire</t>
  </si>
  <si>
    <t>Mali</t>
  </si>
  <si>
    <t>Niger</t>
  </si>
  <si>
    <t>Senegal</t>
  </si>
  <si>
    <t>India Brasil</t>
  </si>
  <si>
    <t>USA IPHD</t>
  </si>
  <si>
    <t>ist NU HCR PPG</t>
  </si>
  <si>
    <t>RNF</t>
  </si>
  <si>
    <t>DC</t>
  </si>
  <si>
    <t>RF</t>
  </si>
  <si>
    <t>Execução/2014-Execução/2013</t>
  </si>
  <si>
    <t xml:space="preserve">DGCI </t>
  </si>
  <si>
    <t>Arrieres sur exercices  2002</t>
  </si>
  <si>
    <t>Em mil FCFA</t>
  </si>
  <si>
    <t>Dépenses à régulariser (Banco)</t>
  </si>
  <si>
    <t xml:space="preserve">Compensacao Financeira da EU/Apoio Sectorial </t>
  </si>
  <si>
    <t>Licenca Pesça Industrial</t>
  </si>
  <si>
    <t xml:space="preserve">Licença Pesca Artesanal </t>
  </si>
  <si>
    <t>Multa por Infracçao a pratica ilegal de Pesca Industrial</t>
  </si>
  <si>
    <t>Venda do pescado Confiscado</t>
  </si>
  <si>
    <t>Venda do Embarcaçoes  Confiscadas</t>
  </si>
  <si>
    <t>Venda de Apetrechos de Pescado Confiscados</t>
  </si>
  <si>
    <t>FAO (Aquacultura)</t>
  </si>
  <si>
    <t>RIAS do Sul</t>
  </si>
  <si>
    <t>PRAO</t>
  </si>
  <si>
    <t>Outros poios Institucionais</t>
  </si>
  <si>
    <t>Fundo de Gestão dos Recursos Haleuticos</t>
  </si>
  <si>
    <t>Multa por Infracçao a pratica ilegal de Pesca Artesanal</t>
  </si>
  <si>
    <t>% do Tesouro</t>
  </si>
  <si>
    <t>Autorzaçao de Pesca Conexa</t>
  </si>
  <si>
    <t>(Previsão 2015)</t>
  </si>
  <si>
    <t>Subs. Pesca</t>
  </si>
  <si>
    <t>OGE 15</t>
  </si>
  <si>
    <t>IV Trimestre 2015</t>
  </si>
  <si>
    <t>Divida Interna avalizada</t>
  </si>
  <si>
    <t xml:space="preserve">BOAD </t>
  </si>
  <si>
    <t>KINDERDOF</t>
  </si>
  <si>
    <t xml:space="preserve">   1.1. Recettes courantes</t>
  </si>
  <si>
    <t xml:space="preserve">     1.1. 1. Recettes fiscales</t>
  </si>
  <si>
    <t xml:space="preserve">        Impots s/ c. trans. internationales</t>
  </si>
  <si>
    <t xml:space="preserve">    1.1.2. Recettes non fiscales</t>
  </si>
  <si>
    <t xml:space="preserve">       Revenus du patrimoine</t>
  </si>
  <si>
    <t xml:space="preserve">       Taxes</t>
  </si>
  <si>
    <t xml:space="preserve">          - secteur des pêches</t>
  </si>
  <si>
    <t xml:space="preserve">      Transferts (fonds autonomes inclus)</t>
  </si>
  <si>
    <t xml:space="preserve">      Vente de biens et de services</t>
  </si>
  <si>
    <t xml:space="preserve">      Autres recettes non fiscales</t>
  </si>
  <si>
    <t xml:space="preserve">  Recettes des comptes spéciaux du Trésor</t>
  </si>
  <si>
    <t xml:space="preserve">  Recettes des organismes autonomes</t>
  </si>
  <si>
    <t xml:space="preserve">  Autres recettes non classées</t>
  </si>
  <si>
    <t xml:space="preserve">  Recettes à imputer</t>
  </si>
  <si>
    <t>Execução/2014</t>
  </si>
  <si>
    <r>
      <t>05 02 04</t>
    </r>
    <r>
      <rPr>
        <b/>
        <i/>
        <sz val="8"/>
        <color indexed="10"/>
        <rFont val="Arial"/>
        <family val="2"/>
      </rPr>
      <t>A</t>
    </r>
  </si>
  <si>
    <t xml:space="preserve">  Receita do Tesouro (0127) - Gabu</t>
  </si>
  <si>
    <t xml:space="preserve">  Receitas gerais DGCI (0113) - Gabu</t>
  </si>
  <si>
    <t xml:space="preserve">  Apoio Sectorial Social (0139)</t>
  </si>
  <si>
    <t xml:space="preserve">  PCS-UEMOA (0154) - Bafata</t>
  </si>
  <si>
    <t xml:space="preserve">  Donativo Chines (0120)</t>
  </si>
  <si>
    <t xml:space="preserve">  Receitas Consignadas (0111) -Bafata. </t>
  </si>
  <si>
    <t xml:space="preserve">  Fundo Especial de Pensoes (0127)</t>
  </si>
  <si>
    <t xml:space="preserve">  ACI (0138) - Bafata</t>
  </si>
  <si>
    <t xml:space="preserve">  PRDSP-CE-B n3622GUB (0019)</t>
  </si>
  <si>
    <t xml:space="preserve">  CEDEAO (0181) - Bafata</t>
  </si>
  <si>
    <t xml:space="preserve">  Fundo Rodoviario (168)</t>
  </si>
  <si>
    <t xml:space="preserve">  Receitas gerais DGA - Bafata (0175)</t>
  </si>
  <si>
    <t xml:space="preserve">  Receitas Gerais DGCI (0115) - Canchungo</t>
  </si>
  <si>
    <t xml:space="preserve">  Receitas Tesouro S. Domingos (194)</t>
  </si>
  <si>
    <t xml:space="preserve">  Outras (A.S. 010139+D.C. 010120+F.S.P. 010127) </t>
  </si>
  <si>
    <t xml:space="preserve">  Receita Consignada (1297-08)</t>
  </si>
  <si>
    <t xml:space="preserve">  Passaporte (1297-89)</t>
  </si>
  <si>
    <t xml:space="preserve">  Funcionarios (1297-24) </t>
  </si>
  <si>
    <t xml:space="preserve">  Projecto Fundo Japones Não Projecto (1546-75)</t>
  </si>
  <si>
    <t xml:space="preserve">  Projecto Fundo Japones Não Projecto (1546-91)</t>
  </si>
  <si>
    <t xml:space="preserve">  Projecto Fundo Japones Não Projecto (1546-10)</t>
  </si>
  <si>
    <t xml:space="preserve">  Fundo Japones (8801)</t>
  </si>
  <si>
    <t xml:space="preserve">  Receitas Gerais DGCI (6701)</t>
  </si>
  <si>
    <t xml:space="preserve">  Acordo de Pesca - EU (7701)</t>
  </si>
  <si>
    <t xml:space="preserve">  Salarios dos Funcionarios Publicos (6301)</t>
  </si>
  <si>
    <t xml:space="preserve">  Receitas Gerais DGA (8301)</t>
  </si>
  <si>
    <t xml:space="preserve">  DGA Subsidio (8302)</t>
  </si>
  <si>
    <t xml:space="preserve">  DGCI subsidio (6702)</t>
  </si>
  <si>
    <t xml:space="preserve">  PC-CEDEAO (8303)</t>
  </si>
  <si>
    <t xml:space="preserve">  PCS-UEMOA (8304)</t>
  </si>
  <si>
    <t>BDU (Conta Corrente</t>
  </si>
  <si>
    <t xml:space="preserve"> Financiamento</t>
  </si>
  <si>
    <t xml:space="preserve"> BCEAO</t>
  </si>
  <si>
    <t xml:space="preserve"> Bancos Comerciais</t>
  </si>
  <si>
    <t xml:space="preserve"> FMI</t>
  </si>
  <si>
    <t xml:space="preserve"> Depositos</t>
  </si>
  <si>
    <t xml:space="preserve"> Depositos no BCEAO</t>
  </si>
  <si>
    <t xml:space="preserve"> Posiçao Net do Governo</t>
  </si>
  <si>
    <t>Outros organismos</t>
  </si>
  <si>
    <t>TOFE</t>
  </si>
  <si>
    <t>BM FMI</t>
  </si>
  <si>
    <t>UE/PNTC</t>
  </si>
  <si>
    <t xml:space="preserve"> Sist NU UNICEF</t>
  </si>
  <si>
    <t>outras (Madeira)</t>
  </si>
  <si>
    <t>Conta Especial Tesouro</t>
  </si>
  <si>
    <t>Pesca</t>
  </si>
  <si>
    <t>Tesouro</t>
  </si>
  <si>
    <t>USA</t>
  </si>
  <si>
    <t>OAPI</t>
  </si>
  <si>
    <t>FM</t>
  </si>
  <si>
    <t>Areeba (MTN)</t>
  </si>
  <si>
    <t>Sonatel/Dakar (ORANGE)</t>
  </si>
  <si>
    <t>R.Trib.</t>
  </si>
  <si>
    <t>Rec. N Trib.</t>
  </si>
  <si>
    <t xml:space="preserve">    - Período Complementar</t>
  </si>
  <si>
    <t>Período Complementar</t>
  </si>
  <si>
    <t xml:space="preserve">         Dépenses ordonnancées non payées</t>
  </si>
  <si>
    <t xml:space="preserve">  -Reste a Payer</t>
  </si>
  <si>
    <t xml:space="preserve"> Depositos nos Bancos comerciais</t>
  </si>
  <si>
    <t xml:space="preserve"> Numerrio</t>
  </si>
  <si>
    <t xml:space="preserve">     EXIM BANK  INDIA</t>
  </si>
  <si>
    <t>BM</t>
  </si>
  <si>
    <t>UE</t>
  </si>
  <si>
    <t>SIST NU/UNICEF</t>
  </si>
  <si>
    <t>OMS</t>
  </si>
  <si>
    <t>CHINA</t>
  </si>
  <si>
    <t>RDOLF/INTERNAC.</t>
  </si>
  <si>
    <t>NOTA:</t>
  </si>
  <si>
    <t>Iº TRIMESTRE</t>
  </si>
  <si>
    <t>IIIº TRIMESTRE</t>
  </si>
  <si>
    <t>IIº TRIMESTRE</t>
  </si>
  <si>
    <t>APUI PROJETS</t>
  </si>
  <si>
    <t>Dépenses à régulariser( CAIXA)</t>
  </si>
  <si>
    <t>Licenças de Telecomunicações e outras</t>
  </si>
  <si>
    <t xml:space="preserve">Abonos das actividades petroliferas </t>
  </si>
  <si>
    <t xml:space="preserve">situacao de PNT: </t>
  </si>
  <si>
    <t>EAGB- Instrução Irrevogável</t>
  </si>
  <si>
    <t>Compensacao Financeira da EU/Apoio OGE</t>
  </si>
  <si>
    <t>ORÇAMENTO GERAL DO ESTADO PARA 2016</t>
  </si>
  <si>
    <t>EXECUÇÃO DAS RECEITAS 2016</t>
  </si>
  <si>
    <t>RECEITAS 2016</t>
  </si>
  <si>
    <t>Prév. Budg Init.2016</t>
  </si>
  <si>
    <t>Programme 2016</t>
  </si>
  <si>
    <t xml:space="preserve">APPUI - PROJETS </t>
  </si>
  <si>
    <t>Prévision 2015
Programme</t>
  </si>
  <si>
    <t xml:space="preserve">Prévision 2015
</t>
  </si>
  <si>
    <t>DETTES 2016</t>
  </si>
  <si>
    <t>ARRIERE 2016</t>
  </si>
  <si>
    <t>Encours au 31/12/04</t>
  </si>
  <si>
    <t>Variation au 28/02/06</t>
  </si>
  <si>
    <t>Variation au 31/03/06</t>
  </si>
  <si>
    <t>Variation au 31/01/06</t>
  </si>
  <si>
    <t>Variation au 30/04/06</t>
  </si>
  <si>
    <t>Variation au 31/05/06</t>
  </si>
  <si>
    <t>Variation au 30/06/06</t>
  </si>
  <si>
    <t>Variation au 31/07/06</t>
  </si>
  <si>
    <t>Variation au 31/08/06</t>
  </si>
  <si>
    <t>Variation au 30/09/06</t>
  </si>
  <si>
    <t>Variation au 31/10/06</t>
  </si>
  <si>
    <t>Variation au 30/11/06</t>
  </si>
  <si>
    <t>Variation au 31/12/06</t>
  </si>
  <si>
    <t>Venda de Apetrechos de Pescado Confiscados?</t>
  </si>
  <si>
    <t>Verificação</t>
  </si>
  <si>
    <t xml:space="preserve">   -Mandato emitido no periodo corrente relativo ao anos anterior</t>
  </si>
  <si>
    <t>UICN</t>
  </si>
  <si>
    <t xml:space="preserve">  Receitas gerais DGCI (0130) - Bafata</t>
  </si>
  <si>
    <t xml:space="preserve">  Proj. Fundo Jap. Não Proj. (1546-40)/venda madeira</t>
  </si>
  <si>
    <t>Obs: Os negritados, são os valores avançados pela DGO no ato da reconciliação dos daddos…</t>
  </si>
  <si>
    <t>GEF/UNEP/ONUDI/UNIDO</t>
  </si>
  <si>
    <t>INDIA/Brasil</t>
  </si>
  <si>
    <t>Arábia Saudita</t>
  </si>
  <si>
    <t>Difer.</t>
  </si>
  <si>
    <t>Venda de Madeira (1297-40)</t>
  </si>
  <si>
    <r>
      <t xml:space="preserve">Arrieres sur exercices </t>
    </r>
    <r>
      <rPr>
        <sz val="12"/>
        <color indexed="10"/>
        <rFont val="MS Sans Serif"/>
        <family val="2"/>
      </rPr>
      <t>2015/2016</t>
    </r>
  </si>
  <si>
    <t>Banco Atlantico</t>
  </si>
  <si>
    <t>Banco Atlantico - DGA (0009)</t>
  </si>
  <si>
    <t>Banco Atlantico - DGCI (0005)</t>
  </si>
  <si>
    <t>Banco Atlantico - MEF (0001)</t>
  </si>
  <si>
    <t>ATLANTICO</t>
  </si>
  <si>
    <t xml:space="preserve">   Banco Atlantico</t>
  </si>
  <si>
    <t>ABU DHABI</t>
  </si>
  <si>
    <t>BAD / FSN</t>
  </si>
  <si>
    <t>Kawaite</t>
  </si>
  <si>
    <t xml:space="preserve">  Tesouro (0161)1/Tesoro Público C/C (0303)- Nova Conta</t>
  </si>
  <si>
    <t>I Trimestre 2017</t>
  </si>
  <si>
    <t xml:space="preserve">               II Trimestre 2017</t>
  </si>
  <si>
    <t>III Trimestre 2017</t>
  </si>
  <si>
    <t>Prev. 2017</t>
  </si>
  <si>
    <t>Total 2017</t>
  </si>
  <si>
    <r>
      <t xml:space="preserve">            Serviços Florestais/ </t>
    </r>
    <r>
      <rPr>
        <i/>
        <sz val="10"/>
        <color indexed="10"/>
        <rFont val="Arial"/>
        <family val="2"/>
      </rPr>
      <t>madeira</t>
    </r>
  </si>
  <si>
    <t>Res</t>
  </si>
  <si>
    <t>Autres dépôts du Gouvernement (0038)</t>
  </si>
  <si>
    <t>Banco Atlantico - MEF salario (0038)</t>
  </si>
  <si>
    <t>Banco Atlantic</t>
  </si>
  <si>
    <t>ORDON - DEP 2017</t>
  </si>
  <si>
    <t>BAD/FSN</t>
  </si>
  <si>
    <t>BID/ CEDEAO</t>
  </si>
  <si>
    <r>
      <t>MEF (703001-90) -</t>
    </r>
    <r>
      <rPr>
        <sz val="10"/>
        <color indexed="53"/>
        <rFont val="Arial"/>
        <family val="2"/>
      </rPr>
      <t xml:space="preserve"> Nova Conta</t>
    </r>
  </si>
  <si>
    <t>MEF - Salario (703002-87)</t>
  </si>
  <si>
    <t>BAD/FEF</t>
  </si>
  <si>
    <t>BAD / FEF</t>
  </si>
  <si>
    <t xml:space="preserve">     EXIM BANK  TAIWAN</t>
  </si>
  <si>
    <t>Terrenos</t>
  </si>
  <si>
    <t xml:space="preserve">actifs financiers </t>
  </si>
  <si>
    <t xml:space="preserve">actifs non financiers </t>
  </si>
  <si>
    <t>Administrations publiques étrangères</t>
  </si>
  <si>
    <t>Organisations internationales</t>
  </si>
  <si>
    <t>Banco Atlantique</t>
  </si>
  <si>
    <t>Total BAO Fonseca</t>
  </si>
  <si>
    <t>Total ORABANK Fonseca</t>
  </si>
  <si>
    <t>Total BDU Fonseca</t>
  </si>
  <si>
    <t>Total ECOBANK Fonseca</t>
  </si>
  <si>
    <t>Total ATLANTIC Fonseca</t>
  </si>
  <si>
    <t>ECOBANK CONTA SALARIO (6301)</t>
  </si>
  <si>
    <t>BCEAO CONTA CORRENTE DO TESOURO (50001)</t>
  </si>
  <si>
    <t>BCEAO FUNDO GARANTIA / BONS DU TRESOR (50020)</t>
  </si>
  <si>
    <t>BCEAO CONTA ESPECIAL DO TESOURO - 10% (60021)</t>
  </si>
  <si>
    <t>BCEAO CONTA ESPECIAL DO TESOURO AMORTIZAÇÃO (50022)</t>
  </si>
  <si>
    <t>BCEAO PROJECTO DE REABILITAÇÃO VIAS URBANAS (60094)</t>
  </si>
  <si>
    <t>BCEAO CONTA FUNPI (60095)</t>
  </si>
  <si>
    <t>BCEAO CONTA UNIÃO EUROPEIA (60096)</t>
  </si>
  <si>
    <t>BCEAO OUTROS DEPOSITOS DO GOVERNO (BOADE - 200100)</t>
  </si>
  <si>
    <t>BDU CONTA FUNCIONARIOS (1297-24)</t>
  </si>
  <si>
    <t>Variation de Janvier 2018</t>
  </si>
  <si>
    <t>Variation de fevereiro 2018</t>
  </si>
  <si>
    <t>Variation de março 2018</t>
  </si>
  <si>
    <t>Variation de abril 2018</t>
  </si>
  <si>
    <t>Variation de maio 2018</t>
  </si>
  <si>
    <t>Variation de junho 2018</t>
  </si>
  <si>
    <t>Variation de julho 2018</t>
  </si>
  <si>
    <t>Variation de agosto 2018</t>
  </si>
  <si>
    <t>Variation de setembro 2018</t>
  </si>
  <si>
    <t>Variation de outubro 2018</t>
  </si>
  <si>
    <t>Variation de novembro 2018</t>
  </si>
  <si>
    <t>Variation de dezembro 2018</t>
  </si>
  <si>
    <t>BIDC/ CEDEAO</t>
  </si>
  <si>
    <t>BAO CONTA SALARIO (0203)</t>
  </si>
  <si>
    <t>BAO CONTA CORRENTE (0303)</t>
  </si>
  <si>
    <t>BAO CONTA DIREÇÃO GERAL DO TESOURO (0100)</t>
  </si>
  <si>
    <t>BAO EMPRESTIMO MINISTERIO DE JUSTIÇA</t>
  </si>
  <si>
    <t>BAO OUTRAS CONTAS</t>
  </si>
  <si>
    <t>BAO CONTA MEF RESGATE (4997)</t>
  </si>
  <si>
    <t>BAO CONTA MEF RESGATE 2</t>
  </si>
  <si>
    <t>BAO EMPRESTIMO CONSOLIDAÇAO (0207)</t>
  </si>
  <si>
    <t>BAO CONTA FURTO</t>
  </si>
  <si>
    <t>BDU CONTA CORRENTE (1297-73)</t>
  </si>
  <si>
    <t>BDU CONTA CESSÃO (1297-72)</t>
  </si>
  <si>
    <t>BDU DIVIDA EAGB</t>
  </si>
  <si>
    <t>BDU EMPRESTIMO CONSOLIDAÇAO</t>
  </si>
  <si>
    <t>BDU CONTA PROJECTO DGA GABU</t>
  </si>
  <si>
    <t>ECOBANK CONTA ANTIGO EMPRESTIMO (6801)</t>
  </si>
  <si>
    <t>LINHA DE CREDITO EAGB</t>
  </si>
  <si>
    <t>Incentivos Para a Cobrança</t>
  </si>
  <si>
    <t xml:space="preserve">         Outros impostos (madeira)</t>
  </si>
  <si>
    <t>Togo</t>
  </si>
  <si>
    <t>CREDITO EAGB</t>
  </si>
  <si>
    <t>Madeira</t>
  </si>
  <si>
    <t>Dividendo</t>
  </si>
  <si>
    <t>Lic. e outras</t>
  </si>
  <si>
    <t>LICENÇA PESCAS 2018</t>
  </si>
  <si>
    <t>FEV</t>
  </si>
  <si>
    <t>TAIWAN</t>
  </si>
  <si>
    <t>Au 31/12/18</t>
  </si>
  <si>
    <t>Au 31/01/019</t>
  </si>
  <si>
    <t>Au 29/02/019</t>
  </si>
  <si>
    <t>Au 31/03/019</t>
  </si>
  <si>
    <t>Au 31/05/019</t>
  </si>
  <si>
    <t>Au 30/04/019</t>
  </si>
  <si>
    <t>Au 30/06/020</t>
  </si>
  <si>
    <t>Au 31/07/019</t>
  </si>
  <si>
    <t>Au 31/08/019</t>
  </si>
  <si>
    <t>Au 30/09/019</t>
  </si>
  <si>
    <t>Au 31/10/019</t>
  </si>
  <si>
    <t>Au 31/11/019</t>
  </si>
  <si>
    <t>Au 31/12/019</t>
  </si>
  <si>
    <t>CREDITO EAGB NOVA (5.9)</t>
  </si>
  <si>
    <t>BAO EAGB - COMBUSTIVEL</t>
  </si>
  <si>
    <t>BAO - GARANTIAS SOBERANAS</t>
  </si>
  <si>
    <t>BAO - FINANCIAMENTO ORÇ. 2015</t>
  </si>
  <si>
    <t>Total- Fonseca</t>
  </si>
  <si>
    <t>APPUI - BUG  2019</t>
  </si>
  <si>
    <t>Comissões recebidas</t>
  </si>
  <si>
    <t>Loi Fin18</t>
  </si>
  <si>
    <t>TOFE 2019</t>
  </si>
  <si>
    <t>OGE - 2019</t>
  </si>
  <si>
    <t>março- Fin. Interno PIP</t>
  </si>
  <si>
    <t>junho- Fin. Interno PIP</t>
  </si>
  <si>
    <t>DETTES 2019</t>
  </si>
  <si>
    <t>MINISTERIO DAS   FINANÇAS 2019</t>
  </si>
  <si>
    <t>Abu Dhabi</t>
  </si>
  <si>
    <t>(4.684.000.000)</t>
  </si>
  <si>
    <t>(3.953.000.000)</t>
  </si>
  <si>
    <t>(4.177.000.000)</t>
  </si>
  <si>
    <t>Previsão DGA</t>
  </si>
  <si>
    <t>DIRECÇÃO GERAL DAS ALFANDÊGAS  2019</t>
  </si>
  <si>
    <t xml:space="preserve"> DGA MESES DO ANO 2019</t>
  </si>
  <si>
    <t>4.265.000.000</t>
  </si>
  <si>
    <t>BDU CONTA DGA GABU</t>
  </si>
  <si>
    <t>Compensação Financeira da União Europeia/Apoio OGE</t>
  </si>
  <si>
    <t>Compensação Financeira da União Europeia/Apoio Sectorial</t>
  </si>
  <si>
    <t xml:space="preserve">Apoio Sectorial/CNFC </t>
  </si>
  <si>
    <t>Multas por Infracção à pratica ilegal de pesca industrial</t>
  </si>
  <si>
    <t>Multas por Infracção à pratica ilegal de pesca artesanal</t>
  </si>
  <si>
    <t>Venda de pescado confiscado</t>
  </si>
  <si>
    <t>Venda de embarcações confiscadas</t>
  </si>
  <si>
    <t>Venda de apetrechos de pesca confiscados</t>
  </si>
  <si>
    <t xml:space="preserve">Outros Apoios Institucionais </t>
  </si>
  <si>
    <t>Ap. Orçamental</t>
  </si>
  <si>
    <t>Dividendos do BCEAO</t>
  </si>
  <si>
    <t>Encargos suportados pelos Dividendos BCEAO</t>
  </si>
  <si>
    <t>Emissão total em 2019</t>
  </si>
  <si>
    <t>Pagamento em 2019</t>
  </si>
  <si>
    <t>N° Ordem</t>
  </si>
  <si>
    <t>1.1.1.1.1</t>
  </si>
  <si>
    <t>1.1.1.1.2</t>
  </si>
  <si>
    <t>1.1.1.1.3</t>
  </si>
  <si>
    <t>1.1.1.1.2.1</t>
  </si>
  <si>
    <t>1.1.1.1.2.2</t>
  </si>
  <si>
    <t>1.1.1.1.4</t>
  </si>
  <si>
    <t>1.1.1.1.3.1</t>
  </si>
  <si>
    <t>1.1.1.1.3.2</t>
  </si>
  <si>
    <t>1.1.1.1.5</t>
  </si>
  <si>
    <t>1.1.1.3.1</t>
  </si>
  <si>
    <t>1.1.1.3.2</t>
  </si>
  <si>
    <t>1.1.1.3.2.1</t>
  </si>
  <si>
    <t>1.1.1.3.2.2</t>
  </si>
  <si>
    <t xml:space="preserve">     Impôts sur la consommation</t>
  </si>
  <si>
    <t>1.1.1.3.1.1</t>
  </si>
  <si>
    <t>1.1.1.3.1.2</t>
  </si>
  <si>
    <t>1.1.1.3.1.1.1</t>
  </si>
  <si>
    <t>1.1.1.3.1.1.2</t>
  </si>
  <si>
    <t>1.1.1.3.2.1.1</t>
  </si>
  <si>
    <t>1.1.1.3.2.1.2</t>
  </si>
  <si>
    <t>1.1.1.3.2.1.3</t>
  </si>
  <si>
    <t>Cerveja e Refrigerante-Produção Local</t>
  </si>
  <si>
    <t>Aguardente</t>
  </si>
  <si>
    <t>Combustivel</t>
  </si>
  <si>
    <t>1.1.1.3.2.2.1</t>
  </si>
  <si>
    <t>1.1.1.3.2.2.2</t>
  </si>
  <si>
    <t>1.1.1.3.2.2.3</t>
  </si>
  <si>
    <t>1.1.1.3.2.2.4</t>
  </si>
  <si>
    <t>1.1.1.3.2.2.5</t>
  </si>
  <si>
    <t>1.1.1.3.1.2.1</t>
  </si>
  <si>
    <t>1.1.1.3.1.2.2</t>
  </si>
  <si>
    <t>1.1.1.3.1.2.3</t>
  </si>
  <si>
    <t>1.1.1.3.1.2.4</t>
  </si>
  <si>
    <t>1.1.1.3.1.2.5</t>
  </si>
  <si>
    <t>1.1.1.4.1</t>
  </si>
  <si>
    <t>1.1.1.4.2</t>
  </si>
  <si>
    <t>1.1.1.4.1.1</t>
  </si>
  <si>
    <t>1.1.1.4.1.2</t>
  </si>
  <si>
    <t>1.1.1.4.1.3</t>
  </si>
  <si>
    <t>1.1.1.4.3</t>
  </si>
  <si>
    <t>1.1.1.4.4</t>
  </si>
  <si>
    <t>1.1.1.4.5</t>
  </si>
  <si>
    <t>1.1.1.4.4.1</t>
  </si>
  <si>
    <t>1.1.1.4.4.2</t>
  </si>
  <si>
    <t>1.1.1.4.4.3</t>
  </si>
  <si>
    <t>1.1.1.4.4.4</t>
  </si>
  <si>
    <t>1.1.1.4.6</t>
  </si>
  <si>
    <t>1.1.1.4.6.1</t>
  </si>
  <si>
    <t>1.1.1.4.6.2</t>
  </si>
  <si>
    <t>1.1.1.4.6.3</t>
  </si>
  <si>
    <t>1.1.1.6</t>
  </si>
  <si>
    <t>1.1.1.5.1</t>
  </si>
  <si>
    <t>1.1.1.5.2</t>
  </si>
  <si>
    <t>1.1.1.5.2.1</t>
  </si>
  <si>
    <t>1.1.1.5.2.2</t>
  </si>
  <si>
    <t>1.1.1.5.2.1.1</t>
  </si>
  <si>
    <t>1.1.1.5.2.1.2</t>
  </si>
  <si>
    <t>1.1.1.5.2.1.3</t>
  </si>
  <si>
    <t>1.1.1.5.2.1.4</t>
  </si>
  <si>
    <t>1.1.1.5.2.1.5</t>
  </si>
  <si>
    <t>1.1.1.5.2.1.6</t>
  </si>
  <si>
    <t>1.1.1.5.2.1.7</t>
  </si>
  <si>
    <t>1.1.1.5.2.1.8</t>
  </si>
  <si>
    <t>1.1.1.5.2.1.9</t>
  </si>
  <si>
    <t>1.1.1.5.2.1.10</t>
  </si>
  <si>
    <t>1.1.1.5.2.1.11</t>
  </si>
  <si>
    <t>1.1.1.5.2.3</t>
  </si>
  <si>
    <t>1.1.1.5.2.3.1</t>
  </si>
  <si>
    <t>1.1.1.5.2.3.2</t>
  </si>
  <si>
    <t xml:space="preserve">        Autres recettes fiscales</t>
  </si>
  <si>
    <t xml:space="preserve"> Isençao PIP</t>
  </si>
  <si>
    <t>1.1.2.2.1</t>
  </si>
  <si>
    <t>1.1.2.2.2</t>
  </si>
  <si>
    <t>1.1.2.2.3</t>
  </si>
  <si>
    <t>1.1.2.2.4</t>
  </si>
  <si>
    <t>1.1.2.2.5</t>
  </si>
  <si>
    <t>1.1.2.2.6</t>
  </si>
  <si>
    <t>1.1.2.2.7</t>
  </si>
  <si>
    <t>1.1.2.2.1 - b</t>
  </si>
  <si>
    <t>1.1.2.2.1 - b.1</t>
  </si>
  <si>
    <t>1.1.2.2.1 - b.2</t>
  </si>
  <si>
    <t>1.1.2.3.1</t>
  </si>
  <si>
    <t>1.1.2.3.2</t>
  </si>
  <si>
    <t>1.1.2.3.1.1</t>
  </si>
  <si>
    <t>1.1.2.3.1.2</t>
  </si>
  <si>
    <t>1.1.2.3.1.3</t>
  </si>
  <si>
    <t>1.1.2.3.1.4</t>
  </si>
  <si>
    <t>1.1.2.3.2.1</t>
  </si>
  <si>
    <t>1.1.2.3.2.2</t>
  </si>
  <si>
    <t>1.1.2.3.2.3</t>
  </si>
  <si>
    <t>1.1.2.3.2.4</t>
  </si>
  <si>
    <t xml:space="preserve"> - autres taxes</t>
  </si>
  <si>
    <t>1.2. Dons</t>
  </si>
  <si>
    <t xml:space="preserve"> - dont licenciements</t>
  </si>
  <si>
    <t>2.1.1.3.1</t>
  </si>
  <si>
    <t xml:space="preserve"> - sur dette externe (avant rééchelonnement)</t>
  </si>
  <si>
    <t>2.1.1.6</t>
  </si>
  <si>
    <t>2.1.1.5.1</t>
  </si>
  <si>
    <t>2.1.1.5.2</t>
  </si>
  <si>
    <t>Sur financements externes</t>
  </si>
  <si>
    <t>Sur financement interne</t>
  </si>
  <si>
    <t>2.1.2.1.1</t>
  </si>
  <si>
    <t>2.1.2.1.2</t>
  </si>
  <si>
    <t>Autres dépenses</t>
  </si>
  <si>
    <t>6.2 Financement Exterieur</t>
  </si>
  <si>
    <r>
      <t xml:space="preserve">    - ano </t>
    </r>
    <r>
      <rPr>
        <sz val="16"/>
        <color indexed="10"/>
        <rFont val="Calibri"/>
        <family val="2"/>
        <scheme val="minor"/>
      </rPr>
      <t>2017</t>
    </r>
  </si>
  <si>
    <t>1.1.1.1.1.1</t>
  </si>
  <si>
    <t>1.1.1.1.2.2.1</t>
  </si>
  <si>
    <t>1.1.1.1.2.2.2</t>
  </si>
  <si>
    <t>1.1.1.1.2.3</t>
  </si>
  <si>
    <t>1.1.1.1.2.4</t>
  </si>
  <si>
    <t>1.1.1.1.2.3.1</t>
  </si>
  <si>
    <t>1.1.1.1.2.3.2</t>
  </si>
  <si>
    <t>1.1.1.1.2.5</t>
  </si>
  <si>
    <t>1.1.1.2.1</t>
  </si>
  <si>
    <t>1.1.1.1.2.5.1</t>
  </si>
  <si>
    <t>1.1.1.1.2.5.2</t>
  </si>
  <si>
    <t>1.1.1.1.2.5.3</t>
  </si>
  <si>
    <t>1.1.1.1.2.5.4</t>
  </si>
  <si>
    <t>1.1.1.1.2.2.3</t>
  </si>
  <si>
    <t>1.1.1.2.2</t>
  </si>
  <si>
    <t>1.1.1.2.1.1</t>
  </si>
  <si>
    <t>1.1.1.2.1.2</t>
  </si>
  <si>
    <t>1.1.1.2.1.1.1</t>
  </si>
  <si>
    <t>1.1.1.2.1.1.2</t>
  </si>
  <si>
    <t>1.1.1.2.1.1.3</t>
  </si>
  <si>
    <t>1.1.1.2.1.3</t>
  </si>
  <si>
    <t>1.1.1.2.1.4</t>
  </si>
  <si>
    <t>1.1.1.2.1.5</t>
  </si>
  <si>
    <t>1.1.1.2.1.4.1</t>
  </si>
  <si>
    <t>1.1.1.2.1.4.2</t>
  </si>
  <si>
    <t>1.1.1.2.1.4.3</t>
  </si>
  <si>
    <t>1.1.1.2.1.4.4</t>
  </si>
  <si>
    <t>1.1.1.2.1.6</t>
  </si>
  <si>
    <t>1.1.1.2.1.6.1</t>
  </si>
  <si>
    <t>1.1.1.2.1.6.2</t>
  </si>
  <si>
    <t>1.1.1.2.1.6.3</t>
  </si>
  <si>
    <t>1.1.1.2.3</t>
  </si>
  <si>
    <t>1.1.1.2.4</t>
  </si>
  <si>
    <t>Donativos Internos</t>
  </si>
  <si>
    <t>Donativos Externos</t>
  </si>
  <si>
    <t xml:space="preserve">   Ajuda aos projetos</t>
  </si>
  <si>
    <t xml:space="preserve">   Ajuda à Balança de pagamento</t>
  </si>
  <si>
    <t>Despesa total</t>
  </si>
  <si>
    <t>Despesas corrente</t>
  </si>
  <si>
    <t>Acquisição de Bens e Serviços</t>
  </si>
  <si>
    <t>transferencias correntes</t>
  </si>
  <si>
    <t>Juros da Divida</t>
  </si>
  <si>
    <t xml:space="preserve">      - Pagamento de Juros Internos</t>
  </si>
  <si>
    <t xml:space="preserve">      - Pagamento de Juros Externos</t>
  </si>
  <si>
    <t>Despesas de Capital</t>
  </si>
  <si>
    <t>Desp. Capita (fin. Externo)</t>
  </si>
  <si>
    <t>Desp. Capita (fin. Interno)</t>
  </si>
  <si>
    <t xml:space="preserve">venda de bens e servicos </t>
  </si>
  <si>
    <t xml:space="preserve">     Receitas Tributarias</t>
  </si>
  <si>
    <t xml:space="preserve">   Receitas correntes</t>
  </si>
  <si>
    <t>Receitas não Tributarias</t>
  </si>
  <si>
    <t>RECEITA TOTAL E DONATIVOS</t>
  </si>
  <si>
    <t>DESPESA TOTAL E EMPRESTIMO LIQUIDO</t>
  </si>
  <si>
    <r>
      <t xml:space="preserve">    - ano </t>
    </r>
    <r>
      <rPr>
        <sz val="20"/>
        <color indexed="10"/>
        <rFont val="Calibri"/>
        <family val="2"/>
        <scheme val="minor"/>
      </rPr>
      <t>2017</t>
    </r>
  </si>
  <si>
    <t>Dépenses ordonnancées non payées</t>
  </si>
  <si>
    <t>Financement interieur</t>
  </si>
  <si>
    <t>6.1.1.1.1</t>
  </si>
  <si>
    <t>Financement Exterieur</t>
  </si>
  <si>
    <t>3. SALDO GLOBAL</t>
  </si>
  <si>
    <t>SALDO ORÇ. BASE (incl. Ap. orçam.)</t>
  </si>
  <si>
    <t xml:space="preserve">SALDO PRIMÁRIO </t>
  </si>
  <si>
    <t>SALDO PRIMÁRIO DE BASE</t>
  </si>
  <si>
    <t>AJUSTAMENTO BASE CAIXA</t>
  </si>
  <si>
    <t>Resto a Pagar</t>
  </si>
  <si>
    <t>Pagamentos anos anteriores</t>
  </si>
  <si>
    <t>FINANCIAMENTO</t>
  </si>
  <si>
    <t>4.2</t>
  </si>
  <si>
    <t>(Décaissement-Remboursement)</t>
  </si>
  <si>
    <t>Salário e ordenado</t>
  </si>
  <si>
    <t>Empréstimo liquido</t>
  </si>
  <si>
    <t>Exec. 
2018</t>
  </si>
  <si>
    <t>Exec. 
2019</t>
  </si>
  <si>
    <t>Prog. 
2019</t>
  </si>
  <si>
    <t>Autres dépenses (DNT's)</t>
  </si>
  <si>
    <t>Outras Despesas Correntes (incl. Contas Especiais do Tesouro)</t>
  </si>
  <si>
    <t>Empréstimo com os bcos comerciais</t>
  </si>
  <si>
    <t>Reembolso</t>
  </si>
  <si>
    <t>Emissao</t>
  </si>
  <si>
    <t xml:space="preserve">Δ Titulos do Tesouro </t>
  </si>
  <si>
    <t>2019
em % PIB 1</t>
  </si>
  <si>
    <t>2019
em % PIB 2</t>
  </si>
  <si>
    <t>OGE 2019</t>
  </si>
  <si>
    <t>OGE</t>
  </si>
  <si>
    <t>DECOUVER STATUTAIRE procº 15</t>
  </si>
  <si>
    <t>DECOUVER STATUTAIRE</t>
  </si>
  <si>
    <t>EX-BANCO CENTRAL procº 09</t>
  </si>
  <si>
    <t>Total para pesca</t>
  </si>
  <si>
    <t>Transferencia EAGB</t>
  </si>
  <si>
    <t>Impostos directos</t>
  </si>
  <si>
    <t>1.1.1.1.2.3.3</t>
  </si>
  <si>
    <t>1.1.1.1.2.3.4</t>
  </si>
  <si>
    <t>1.1.1.1.2.3.5</t>
  </si>
  <si>
    <t>Impostos indirectos</t>
  </si>
  <si>
    <t>1.1.1.2.2.1</t>
  </si>
  <si>
    <t>1.1.1.2.2.2</t>
  </si>
  <si>
    <t>1.1.1.2.2.1.1</t>
  </si>
  <si>
    <t>1.1.1.2.2.1.2</t>
  </si>
  <si>
    <t>1.1.1.2.2.2.1</t>
  </si>
  <si>
    <t>1.1.1.2.2.2.2</t>
  </si>
  <si>
    <t>1.1.1.2.2.2.3</t>
  </si>
  <si>
    <t>1.1.1.2.2.2.4</t>
  </si>
  <si>
    <t>1.1.1.2.2.2.5</t>
  </si>
  <si>
    <t xml:space="preserve">               Cerâmica</t>
  </si>
  <si>
    <t xml:space="preserve">        Outros</t>
  </si>
  <si>
    <t>gasolina</t>
  </si>
  <si>
    <t>gasoleo</t>
  </si>
  <si>
    <t xml:space="preserve"> Combustivel</t>
  </si>
  <si>
    <t>1.1.1.2.3.1</t>
  </si>
  <si>
    <t>1.1.1.2.3.2</t>
  </si>
  <si>
    <t>1.1.1.2.3.1.1</t>
  </si>
  <si>
    <t>1.1.1.2.3.1.2</t>
  </si>
  <si>
    <t>1.1.1.2.3.1.3</t>
  </si>
  <si>
    <t>1.1.1.2.3.2.1</t>
  </si>
  <si>
    <t>1.1.1.2.3.2.2</t>
  </si>
  <si>
    <t>1.1.1.2.3.2.3</t>
  </si>
  <si>
    <t>1.1.1.2.3.2.4</t>
  </si>
  <si>
    <t>1.1.1.2.3.4</t>
  </si>
  <si>
    <t>1.1.1.2.3.5</t>
  </si>
  <si>
    <t>1.1.1.2.3.4.1</t>
  </si>
  <si>
    <t>1.1.1.2.3.4.2</t>
  </si>
  <si>
    <t>1.1.1.2.3.6</t>
  </si>
  <si>
    <t>1.1.1.2.4.1</t>
  </si>
  <si>
    <t>1.1.1.2.4.2</t>
  </si>
  <si>
    <t>1.1.1.2.4.1.1</t>
  </si>
  <si>
    <t>1.1.1.2.4.1.2</t>
  </si>
  <si>
    <t>1.1.1.2.4.1.3</t>
  </si>
  <si>
    <t>1.1.1.2.4.1.4</t>
  </si>
  <si>
    <t>1.1.1.2.4.1.5</t>
  </si>
  <si>
    <t>1.1.1.2.4.1.6</t>
  </si>
  <si>
    <t>1.1.1.2.4.1.7</t>
  </si>
  <si>
    <t>1.1.1.2.4.1.8</t>
  </si>
  <si>
    <t>1.1.1.2.4.1.9</t>
  </si>
  <si>
    <t>1.1.1.2.4.1.10</t>
  </si>
  <si>
    <t>1.1.1.2.4.1.11</t>
  </si>
  <si>
    <t>1.1.1.2.4.3</t>
  </si>
  <si>
    <t>1.1.1.2.4.3.1</t>
  </si>
  <si>
    <t>1.1.1.2.4.3.2</t>
  </si>
  <si>
    <t>Direitos de importação</t>
  </si>
  <si>
    <t>Taxas, multas e penalidades</t>
  </si>
  <si>
    <t>1.1.1.1.1.2</t>
  </si>
  <si>
    <t>1.1.1.1.1.1.1</t>
  </si>
  <si>
    <t>1.1.1.1.1.1.2</t>
  </si>
  <si>
    <t>1.1.1.1.1.1.3</t>
  </si>
  <si>
    <t>1.1.1.1.1.3</t>
  </si>
  <si>
    <t>1.1.1.1.1.4</t>
  </si>
  <si>
    <t>1.1.1.1.1.5</t>
  </si>
  <si>
    <t>1.1.1.1.1.6</t>
  </si>
  <si>
    <t>1.1.1.1.1.7</t>
  </si>
  <si>
    <t>1.1.1.1.1.8</t>
  </si>
  <si>
    <t>1.1.1.1.1.9</t>
  </si>
  <si>
    <t>1.1.1.1.1.10</t>
  </si>
  <si>
    <t>1.1.1.1.1.11</t>
  </si>
  <si>
    <t>1.1.1.1.1.12</t>
  </si>
  <si>
    <t>1.1.1.1.1.13</t>
  </si>
  <si>
    <t>1.1.1.1.1.14</t>
  </si>
  <si>
    <t>1.1.1.1.1.15</t>
  </si>
  <si>
    <t>1.1.1.1.1.14.1</t>
  </si>
  <si>
    <t>1.1.1.1.1.14.2</t>
  </si>
  <si>
    <t>1.1.1.1.1.15.1</t>
  </si>
  <si>
    <t>1.1.1.1.1.15.2</t>
  </si>
  <si>
    <t>1.1.1.1.1.15.3</t>
  </si>
  <si>
    <t>1.1.1.1.1.15.4</t>
  </si>
  <si>
    <t>1.1.1.1.1.15.5</t>
  </si>
  <si>
    <t>1.1.1.1.1.15.6</t>
  </si>
  <si>
    <t>1.1.1.1.1.15.7</t>
  </si>
  <si>
    <t>1.1.1.1.1.15.8</t>
  </si>
  <si>
    <t>1.1.1.1.1.15.9</t>
  </si>
  <si>
    <t>1.1.1.1.1.15.10</t>
  </si>
  <si>
    <t>1.1.1.1.1.15.11</t>
  </si>
  <si>
    <t>1.1.1.1.1.15.12</t>
  </si>
  <si>
    <t>1.1.1.1.1.15.13</t>
  </si>
  <si>
    <t>1.1.1.1.1.15.14</t>
  </si>
  <si>
    <t>1.1.1.1.1.15.15</t>
  </si>
  <si>
    <t>1.1.1.1.1.15.16</t>
  </si>
  <si>
    <t>1.1.1.1.1.15.17</t>
  </si>
  <si>
    <t>1.1.1.1.1.15.18</t>
  </si>
  <si>
    <t>1.1.1.1.1.15.19</t>
  </si>
  <si>
    <t>1.1.1.1.1.15.20</t>
  </si>
  <si>
    <t>1.1.1.1.1.15.21</t>
  </si>
  <si>
    <t>1.1.1.1.1.15.22</t>
  </si>
  <si>
    <t>1.1.1.1.1.15.23</t>
  </si>
  <si>
    <t>1.1.1.1.1.15.24</t>
  </si>
  <si>
    <t>1.1.1.1.1.15.25</t>
  </si>
  <si>
    <t>1.1.1.1.1.15.26</t>
  </si>
  <si>
    <t>1.1.1.1.1.15.27</t>
  </si>
  <si>
    <t>Transferências</t>
  </si>
  <si>
    <t>1.1.1.2.2.1.3</t>
  </si>
  <si>
    <t>1.1.1.2.2.3</t>
  </si>
  <si>
    <t>1.1.1.2.2.4</t>
  </si>
  <si>
    <t>1.1.1.2.2.4.1</t>
  </si>
  <si>
    <t>1.1.1.2.2.4.2</t>
  </si>
  <si>
    <t>1.1.1.2.2.4.3</t>
  </si>
  <si>
    <t>1.1.1.2.2.4.4</t>
  </si>
  <si>
    <t>1.1.1.2.2.4.5</t>
  </si>
  <si>
    <t>1.1.1.2.2.4.6</t>
  </si>
  <si>
    <t>1.1.1.2.5</t>
  </si>
  <si>
    <t>1.1.1.2.6</t>
  </si>
  <si>
    <t>1.1.1.2.7</t>
  </si>
  <si>
    <t>1.1.1.2.7.1</t>
  </si>
  <si>
    <t>1.1.1.2.7.2</t>
  </si>
  <si>
    <t>1.1.1.2.7.3</t>
  </si>
  <si>
    <t>1.1.1.2.7.4</t>
  </si>
  <si>
    <t>1.1.1.2.7.3.1</t>
  </si>
  <si>
    <t>1.1.1.2.7.3.2</t>
  </si>
  <si>
    <t>1.1.1.3.2.1.4</t>
  </si>
  <si>
    <t>1.1.1.3.2.1.5</t>
  </si>
  <si>
    <t>1.1.1.3.2.1.6</t>
  </si>
  <si>
    <t>1.1.1.3.2.1.7</t>
  </si>
  <si>
    <t>1.1.1.3.2.1.8</t>
  </si>
  <si>
    <t>1.1.1.3.2.1.9</t>
  </si>
  <si>
    <t>1.1.1.3.2.1.10</t>
  </si>
  <si>
    <t>1.1.1.3.2.1.11</t>
  </si>
  <si>
    <t>1.1.1.3.2.1.12</t>
  </si>
  <si>
    <t>1.1.1.3.3</t>
  </si>
  <si>
    <t>1.1.1.3.3.1</t>
  </si>
  <si>
    <t>1.1.1.3.3.2</t>
  </si>
  <si>
    <t>1.1.1.3.3.1.1</t>
  </si>
  <si>
    <t>1.1.1.3.3.1.2</t>
  </si>
  <si>
    <t>1.1.1.3.3.1.3</t>
  </si>
  <si>
    <t>1.1.1.3.3.1.4</t>
  </si>
  <si>
    <t>1.1.1.3.3.1.5</t>
  </si>
  <si>
    <t>1.1.1.3.3.2.1</t>
  </si>
  <si>
    <t>1.1.1.3.3.2.2</t>
  </si>
  <si>
    <t>1.1.1.3.3.2.3</t>
  </si>
  <si>
    <t>1.1.1.3.3.2.4</t>
  </si>
  <si>
    <t>1.1.1.3.3.2.5</t>
  </si>
  <si>
    <t>1.1.1.3.3.2.6</t>
  </si>
  <si>
    <t>1.1.1.3.3.2.7</t>
  </si>
  <si>
    <t>1.1.1.3.3.2.8</t>
  </si>
  <si>
    <t>1.1.1.3.3.2.9</t>
  </si>
  <si>
    <t>1.1.1.3.3.2.10</t>
  </si>
  <si>
    <t>1.1.1.3.3.2.11</t>
  </si>
  <si>
    <t>1.1.1.3.3.2.12</t>
  </si>
  <si>
    <t>1.1.1.3.3.2.13</t>
  </si>
  <si>
    <t>1.1.1.3.3.2.14</t>
  </si>
  <si>
    <t>1.1.1.3.3.2.15</t>
  </si>
  <si>
    <t>1.1.1.3.3.2.16</t>
  </si>
  <si>
    <t>1.1.1.3.3.2.17</t>
  </si>
  <si>
    <t>1.1.1.3.3.2.18</t>
  </si>
  <si>
    <t>1.1.1.3.3.2.19</t>
  </si>
  <si>
    <t>1.1.1.3.3.2.20</t>
  </si>
  <si>
    <t>1.1.1.3.4</t>
  </si>
  <si>
    <t>1.1.1.3.4.1</t>
  </si>
  <si>
    <t>1.1.1.3.4.2</t>
  </si>
  <si>
    <t>Outras receitas correntes (incl. Dividendo)</t>
  </si>
  <si>
    <t>Rendimento da propriedade</t>
  </si>
  <si>
    <t>Outras receitas correntes</t>
  </si>
  <si>
    <t>1.1.1.4.1.1.1</t>
  </si>
  <si>
    <t>1.1.1.4.1.1.2</t>
  </si>
  <si>
    <t>1.1.1.4.1.4</t>
  </si>
  <si>
    <t>1.1.1.4.2.1</t>
  </si>
  <si>
    <t>1.1.1.4.2.2</t>
  </si>
  <si>
    <t>1.1.1.4.2.1.1</t>
  </si>
  <si>
    <t>1.1.1.4.2.1.1.1</t>
  </si>
  <si>
    <t>1.1.1.4.2.3</t>
  </si>
  <si>
    <t>1.1.1.4.2.2.1</t>
  </si>
  <si>
    <t>1.1.1.4.2.2.2</t>
  </si>
  <si>
    <t>1.1.1.4.2.4</t>
  </si>
  <si>
    <t>1.1.1.4.2.3.1</t>
  </si>
  <si>
    <t>1.1.1.4.2.5</t>
  </si>
  <si>
    <t>1.1.1.4.2.4.1</t>
  </si>
  <si>
    <t>1.1.1.4.2.4.2</t>
  </si>
  <si>
    <t>1.1.1.4.2.6</t>
  </si>
  <si>
    <t>1.1.1.4.2.5.1</t>
  </si>
  <si>
    <t>1.1.1.4.2.5.2</t>
  </si>
  <si>
    <t>1.1.1.4.2.5.3</t>
  </si>
  <si>
    <t>1.1.1.4.2.5.4</t>
  </si>
  <si>
    <t>1.1.1.4.2.5.5</t>
  </si>
  <si>
    <t>1.1.1.4.2.7</t>
  </si>
  <si>
    <t>1.1.1.4.2.6.1</t>
  </si>
  <si>
    <t>1.1.1.4.2.6.2</t>
  </si>
  <si>
    <t>1.1.1.4.2.6.3</t>
  </si>
  <si>
    <t>1.1.1.4.2.6.3.1</t>
  </si>
  <si>
    <t>1.1.1.4.2.6.3.2</t>
  </si>
  <si>
    <t>1.1.1.4.2.6.3.3</t>
  </si>
  <si>
    <t>1.1.1.4.2.6.3.4</t>
  </si>
  <si>
    <t>1.1.1.4.2.7.1</t>
  </si>
  <si>
    <t>1.1.1.4.2.7.2</t>
  </si>
  <si>
    <t>1.1.1.4.3.1</t>
  </si>
  <si>
    <t>1.1.1.4.3.2</t>
  </si>
  <si>
    <t>1.1.1.4.3.3</t>
  </si>
  <si>
    <t xml:space="preserve">     Receitas não Tributarias</t>
  </si>
  <si>
    <t xml:space="preserve">Venda de bens e servicos </t>
  </si>
  <si>
    <t xml:space="preserve">     Impôts sur la propriété</t>
  </si>
  <si>
    <t>Ceramica</t>
  </si>
  <si>
    <t>Gasolina</t>
  </si>
  <si>
    <t>Gasoleo</t>
  </si>
  <si>
    <t xml:space="preserve">     Impôts sur revenus et benefices</t>
  </si>
  <si>
    <t xml:space="preserve">   Var du découvert (amortis avance stat.) </t>
  </si>
  <si>
    <t>Deposito do Tesouro</t>
  </si>
  <si>
    <t>Outros depositos do Governo</t>
  </si>
  <si>
    <t>Deposito nos bancos comerciais</t>
  </si>
  <si>
    <t>Emprestimos junto dos bancos comerciais</t>
  </si>
  <si>
    <t xml:space="preserve">Empréstimo directos </t>
  </si>
  <si>
    <t>6.1.1.1.2</t>
  </si>
  <si>
    <t>6.1.1.1.1.1</t>
  </si>
  <si>
    <t>6.1.1.1.1.2</t>
  </si>
  <si>
    <t>6.1.1.1.3</t>
  </si>
  <si>
    <t>6.1.1.1.4</t>
  </si>
  <si>
    <t>6.1.1.1.5</t>
  </si>
  <si>
    <t>Empréstimos Indirectos  (Δ Titulos do Tesouro)</t>
  </si>
  <si>
    <t>Emissão</t>
  </si>
  <si>
    <t>Novos emprestimos</t>
  </si>
  <si>
    <t>Amortizacão das dividas com os bancos comerciais</t>
  </si>
  <si>
    <t>Titrisation et opérations assimilées</t>
  </si>
  <si>
    <t>Dette auprès des opérateurs économiques</t>
  </si>
  <si>
    <t>Amortissements exigibles de la dette interne</t>
  </si>
  <si>
    <t>A CONSIDERAR</t>
  </si>
  <si>
    <t xml:space="preserve">  Receitas Tributarias</t>
  </si>
  <si>
    <t>Licença e Porte de Arma</t>
  </si>
  <si>
    <t xml:space="preserve">      Outros serviços</t>
  </si>
  <si>
    <t>Outros serviços</t>
  </si>
  <si>
    <t xml:space="preserve">              . venda de madeira</t>
  </si>
  <si>
    <t>TABELA DE OPERAÇÃO FINACEIRA DE ESTADO 2019</t>
  </si>
  <si>
    <t>Quadro 1</t>
  </si>
  <si>
    <t>Quadro 2</t>
  </si>
  <si>
    <t>Quadro 3</t>
  </si>
  <si>
    <t>Quadro 4</t>
  </si>
  <si>
    <t>Quadro 5</t>
  </si>
  <si>
    <t>Quadro 6</t>
  </si>
  <si>
    <t>Quadro 7</t>
  </si>
  <si>
    <t>Quadro 8</t>
  </si>
  <si>
    <t>Quadro 9</t>
  </si>
  <si>
    <t>Quadro 10</t>
  </si>
  <si>
    <t>Quadro 11</t>
  </si>
  <si>
    <t>Quadro 12</t>
  </si>
  <si>
    <t>Quadro 13</t>
  </si>
  <si>
    <t>Quadro 14</t>
  </si>
  <si>
    <t>Quadro 15</t>
  </si>
  <si>
    <t>Quadro 16</t>
  </si>
  <si>
    <t>Quadro 17</t>
  </si>
  <si>
    <t>Quadro 18</t>
  </si>
  <si>
    <t>Quadro 19</t>
  </si>
  <si>
    <t>Quadro 20</t>
  </si>
  <si>
    <t>Quadro 21</t>
  </si>
  <si>
    <t>Quadro 22</t>
  </si>
  <si>
    <t>TABLEAU DU BORD I, II, E IIIº TRIMESTRE 2012 E 2013</t>
  </si>
  <si>
    <t>T.O.F.E 2016 E 2017</t>
  </si>
  <si>
    <t>TABLEAU DU BORD I, II, E IIIº TRIMESTRE 2017</t>
  </si>
  <si>
    <t>RECEITAS  MENSAIS</t>
  </si>
  <si>
    <t>DIREÇÃO GERAL DE CONTRIBIÇÕES E IMPOSTOS</t>
  </si>
  <si>
    <t>DIREÇÃO GERAL DE ALFANDEGAS</t>
  </si>
  <si>
    <t>BANCOS NOTAS E MOEDAS</t>
  </si>
  <si>
    <t>LICENÇA DE PESCA</t>
  </si>
  <si>
    <t>DEPÓSITO A ORDEM</t>
  </si>
  <si>
    <t>APOIOS AOS PROJETOS</t>
  </si>
  <si>
    <t>APOIO ORÇAMENTAL</t>
  </si>
  <si>
    <t>PAGAMENTO DE JUROS DA DÍVIDA</t>
  </si>
  <si>
    <t>DÍVIDA 2020</t>
  </si>
  <si>
    <t>ATRASADO DA DÍVIDA 2020</t>
  </si>
  <si>
    <t>OUTROS PASSIVOS DIVERSOS</t>
  </si>
  <si>
    <t>DIVIDENDOS</t>
  </si>
  <si>
    <t>RECEITAS DETALHADOS</t>
  </si>
  <si>
    <t>ENCARGOS E CLASSIFICAÇÕES ECONÓMICAS</t>
  </si>
  <si>
    <t>PASSIVOS DETALHADOS</t>
  </si>
  <si>
    <t>Quadro 23</t>
  </si>
  <si>
    <t xml:space="preserve">TOFE RESUMIDO </t>
  </si>
  <si>
    <t>Quadro 24</t>
  </si>
  <si>
    <t>TOFE VERSÃO DE CONTROLE</t>
  </si>
  <si>
    <t>TOFE 2019 VERSÃO DE CONTROLE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</si>
</sst>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3">
    <numFmt numFmtId="43" formatCode="_-* #,##0.00\ _€_-;\-* #,##0.00\ _€_-;_-* &quot;-&quot;??\ _€_-;_-@_-"/>
    <numFmt numFmtId="164" formatCode="_(* #,##0.00_);_(* \(#,##0.00\);_(* &quot;-&quot;??_);_(@_)"/>
    <numFmt numFmtId="165" formatCode="#,##0.00\ &quot;F&quot;;\-#,##0.00\ &quot;F&quot;"/>
    <numFmt numFmtId="166" formatCode="[&gt;=0.05]#,##0.0;[&lt;=-0.05]\-#,##0.0;?0.0"/>
    <numFmt numFmtId="167" formatCode="#,##0.00000"/>
    <numFmt numFmtId="168" formatCode="#,##0.0"/>
    <numFmt numFmtId="169" formatCode="0.0%"/>
    <numFmt numFmtId="170" formatCode="_-* #,##0.00\ [$€]_-;\-* #,##0.00\ [$€]_-;_-* &quot;-&quot;??\ [$€]_-;_-@_-"/>
    <numFmt numFmtId="171" formatCode="_-* #,##0.00\ _F_-;\-* #,##0.00\ _F_-;_-* &quot;-&quot;??\ _F_-;_-@_-"/>
    <numFmt numFmtId="172" formatCode="_-* #,##0\ _F_-;\-* #,##0\ _F_-;_-* &quot;-&quot;??\ _F_-;_-@_-"/>
    <numFmt numFmtId="173" formatCode="0.0"/>
    <numFmt numFmtId="174" formatCode="#,##0.0000"/>
    <numFmt numFmtId="175" formatCode="_-* #,##0.0\ _€_-;\-* #,##0.0\ _€_-;_-* &quot;-&quot;??\ _€_-;_-@_-"/>
    <numFmt numFmtId="176" formatCode="_-* #,##0\ _€_-;\-* #,##0\ _€_-;_-* &quot;-&quot;??\ _€_-;_-@_-"/>
    <numFmt numFmtId="177" formatCode="#,##0;[Red]#,##0"/>
    <numFmt numFmtId="178" formatCode="#,##0_ ;\-#,##0\ "/>
    <numFmt numFmtId="179" formatCode="_-* #,##0.000\ _€_-;\-* #,##0.000\ _€_-;_-* &quot;-&quot;??\ _€_-;_-@_-"/>
    <numFmt numFmtId="180" formatCode="_-* #,##0.000000\ _€_-;\-* #,##0.000000\ _€_-;_-* &quot;-&quot;??\ _€_-;_-@_-"/>
    <numFmt numFmtId="181" formatCode="#,##0.0000000"/>
    <numFmt numFmtId="182" formatCode="#,##0.00000000"/>
    <numFmt numFmtId="183" formatCode="#,##0.000"/>
    <numFmt numFmtId="184" formatCode="#,##0,"/>
    <numFmt numFmtId="185" formatCode="_-* #,##0\ _€_-;\-* #,##0\ _€_-;_-* &quot;-&quot;???\ _€_-;_-@_-"/>
  </numFmts>
  <fonts count="203">
    <font>
      <sz val="10"/>
      <name val="Arial"/>
    </font>
    <font>
      <sz val="10"/>
      <name val="Arial"/>
      <family val="2"/>
    </font>
    <font>
      <sz val="10"/>
      <name val="Arial Narrow"/>
      <family val="2"/>
    </font>
    <font>
      <sz val="10"/>
      <name val="Times New Roman"/>
      <family val="1"/>
    </font>
    <font>
      <u/>
      <sz val="10"/>
      <name val="MS Sans Serif"/>
      <family val="2"/>
    </font>
    <font>
      <sz val="10"/>
      <name val="MS Sans Serif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name val="MS Sans Serif"/>
      <family val="2"/>
    </font>
    <font>
      <sz val="10"/>
      <name val="Times New Roman"/>
      <family val="1"/>
    </font>
    <font>
      <sz val="12"/>
      <name val="Helv"/>
    </font>
    <font>
      <sz val="9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b/>
      <sz val="10"/>
      <name val="Arial"/>
      <family val="2"/>
    </font>
    <font>
      <sz val="6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6"/>
      <name val="Arial"/>
      <family val="2"/>
    </font>
    <font>
      <sz val="12"/>
      <name val="Arial"/>
      <family val="2"/>
    </font>
    <font>
      <b/>
      <sz val="12"/>
      <name val="Book Antiqua"/>
      <family val="1"/>
    </font>
    <font>
      <sz val="10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u/>
      <sz val="8"/>
      <name val="Arial"/>
      <family val="2"/>
    </font>
    <font>
      <b/>
      <i/>
      <sz val="10"/>
      <name val="Algerian"/>
      <family val="5"/>
    </font>
    <font>
      <sz val="8"/>
      <name val="Marigold"/>
      <family val="4"/>
    </font>
    <font>
      <b/>
      <i/>
      <u/>
      <sz val="9"/>
      <name val="Arial"/>
      <family val="2"/>
    </font>
    <font>
      <b/>
      <i/>
      <sz val="8"/>
      <name val="Arial"/>
      <family val="2"/>
    </font>
    <font>
      <b/>
      <u/>
      <sz val="10"/>
      <name val="MS Sans Serif"/>
      <family val="2"/>
    </font>
    <font>
      <sz val="12"/>
      <name val="MS Sans Serif"/>
      <family val="2"/>
    </font>
    <font>
      <b/>
      <u/>
      <sz val="10"/>
      <name val="MS Sans Serif"/>
      <family val="2"/>
    </font>
    <font>
      <u/>
      <sz val="12"/>
      <name val="MS Sans Serif"/>
      <family val="2"/>
    </font>
    <font>
      <b/>
      <u/>
      <sz val="12"/>
      <name val="MS Sans Serif"/>
      <family val="2"/>
    </font>
    <font>
      <b/>
      <sz val="11"/>
      <name val="Times New Roman"/>
      <family val="1"/>
    </font>
    <font>
      <b/>
      <sz val="12"/>
      <color indexed="9"/>
      <name val="Times New Roman"/>
      <family val="1"/>
    </font>
    <font>
      <b/>
      <sz val="10"/>
      <name val="Times New Roman"/>
      <family val="1"/>
    </font>
    <font>
      <b/>
      <i/>
      <sz val="10"/>
      <name val="Times New Roman"/>
      <family val="1"/>
    </font>
    <font>
      <b/>
      <sz val="11"/>
      <name val="Times New Roman"/>
      <family val="1"/>
    </font>
    <font>
      <i/>
      <sz val="9"/>
      <name val="Times New Roman"/>
      <family val="1"/>
    </font>
    <font>
      <i/>
      <sz val="8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b/>
      <sz val="8"/>
      <name val="Times New Roman"/>
      <family val="1"/>
    </font>
    <font>
      <sz val="11"/>
      <name val="Times New Roman"/>
      <family val="1"/>
    </font>
    <font>
      <i/>
      <sz val="11"/>
      <name val="Times New Roman"/>
      <family val="1"/>
    </font>
    <font>
      <b/>
      <i/>
      <sz val="11"/>
      <name val="Times New Roman"/>
      <family val="1"/>
    </font>
    <font>
      <i/>
      <sz val="10"/>
      <name val="Times New Roman"/>
      <family val="1"/>
    </font>
    <font>
      <i/>
      <sz val="9"/>
      <name val="Times New Roman"/>
      <family val="1"/>
    </font>
    <font>
      <b/>
      <sz val="9"/>
      <name val="Times New Roman"/>
      <family val="1"/>
    </font>
    <font>
      <b/>
      <i/>
      <sz val="9"/>
      <name val="Times New Roman"/>
      <family val="1"/>
    </font>
    <font>
      <b/>
      <sz val="12"/>
      <color indexed="8"/>
      <name val="Times New Roman"/>
      <family val="1"/>
    </font>
    <font>
      <b/>
      <sz val="12"/>
      <name val="Arial"/>
      <family val="2"/>
    </font>
    <font>
      <b/>
      <sz val="11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11"/>
      <color indexed="8"/>
      <name val="Arial"/>
      <family val="2"/>
    </font>
    <font>
      <b/>
      <sz val="10"/>
      <color indexed="8"/>
      <name val="Arial"/>
      <family val="2"/>
    </font>
    <font>
      <b/>
      <i/>
      <sz val="10"/>
      <name val="Arial"/>
      <family val="2"/>
    </font>
    <font>
      <b/>
      <strike/>
      <sz val="10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b/>
      <sz val="8"/>
      <name val="Marigold"/>
      <family val="4"/>
    </font>
    <font>
      <b/>
      <u/>
      <sz val="16"/>
      <name val="Copperplate Gothic Bold"/>
      <family val="2"/>
    </font>
    <font>
      <b/>
      <sz val="14"/>
      <name val="Copperplate Gothic Bold"/>
      <family val="2"/>
    </font>
    <font>
      <i/>
      <sz val="8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sz val="11"/>
      <name val="Arial"/>
      <family val="2"/>
    </font>
    <font>
      <sz val="14"/>
      <name val="Arial"/>
      <family val="2"/>
    </font>
    <font>
      <i/>
      <sz val="10"/>
      <color indexed="10"/>
      <name val="Arial"/>
      <family val="2"/>
    </font>
    <font>
      <sz val="12"/>
      <color indexed="10"/>
      <name val="MS Sans Serif"/>
      <family val="2"/>
    </font>
    <font>
      <sz val="10"/>
      <color indexed="8"/>
      <name val="MS Sans Serif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i/>
      <sz val="11"/>
      <name val="Arial"/>
      <family val="2"/>
    </font>
    <font>
      <sz val="10"/>
      <color indexed="10"/>
      <name val="MS Sans Serif"/>
      <family val="2"/>
    </font>
    <font>
      <i/>
      <sz val="9"/>
      <color indexed="10"/>
      <name val="Times New Roman"/>
      <family val="1"/>
    </font>
    <font>
      <sz val="12"/>
      <name val="Arial Narrow"/>
      <family val="2"/>
    </font>
    <font>
      <sz val="12"/>
      <color indexed="8"/>
      <name val="MS Sans Serif"/>
      <family val="2"/>
    </font>
    <font>
      <b/>
      <sz val="11"/>
      <color indexed="9"/>
      <name val="Arial"/>
      <family val="2"/>
    </font>
    <font>
      <sz val="10"/>
      <color indexed="12"/>
      <name val="Arial"/>
      <family val="2"/>
    </font>
    <font>
      <b/>
      <sz val="8"/>
      <color indexed="8"/>
      <name val="Arial"/>
      <family val="2"/>
    </font>
    <font>
      <b/>
      <u/>
      <sz val="12"/>
      <name val="MS Sans Serif"/>
      <family val="2"/>
    </font>
    <font>
      <sz val="8"/>
      <name val="Arial"/>
      <family val="2"/>
    </font>
    <font>
      <sz val="8"/>
      <color indexed="8"/>
      <name val="Arial"/>
      <family val="2"/>
    </font>
    <font>
      <b/>
      <sz val="10"/>
      <color indexed="10"/>
      <name val="MS Sans Serif"/>
      <family val="2"/>
    </font>
    <font>
      <b/>
      <sz val="10"/>
      <color indexed="63"/>
      <name val="Arial"/>
      <family val="2"/>
    </font>
    <font>
      <b/>
      <sz val="12"/>
      <name val="MS Sans Serif"/>
      <family val="2"/>
    </font>
    <font>
      <b/>
      <sz val="12"/>
      <color indexed="8"/>
      <name val="MS Sans Serif"/>
      <family val="2"/>
    </font>
    <font>
      <b/>
      <sz val="13.5"/>
      <name val="MS Sans Serif"/>
      <family val="2"/>
    </font>
    <font>
      <b/>
      <sz val="10"/>
      <color indexed="53"/>
      <name val="Arial"/>
      <family val="2"/>
    </font>
    <font>
      <i/>
      <sz val="9"/>
      <color indexed="8"/>
      <name val="Times New Roman"/>
      <family val="1"/>
    </font>
    <font>
      <i/>
      <sz val="8"/>
      <color indexed="10"/>
      <name val="Times New Roman"/>
      <family val="1"/>
    </font>
    <font>
      <b/>
      <sz val="10"/>
      <color indexed="10"/>
      <name val="Times New Roman"/>
      <family val="1"/>
    </font>
    <font>
      <i/>
      <sz val="12"/>
      <name val="Times New Roman"/>
      <family val="1"/>
    </font>
    <font>
      <sz val="10"/>
      <color indexed="49"/>
      <name val="Arial"/>
      <family val="2"/>
    </font>
    <font>
      <i/>
      <sz val="10"/>
      <color indexed="57"/>
      <name val="Arial"/>
      <family val="2"/>
    </font>
    <font>
      <sz val="10"/>
      <color indexed="60"/>
      <name val="Arial"/>
      <family val="2"/>
    </font>
    <font>
      <sz val="10"/>
      <color indexed="57"/>
      <name val="Arial"/>
      <family val="2"/>
    </font>
    <font>
      <b/>
      <sz val="10"/>
      <color indexed="8"/>
      <name val="Calibri"/>
      <family val="2"/>
    </font>
    <font>
      <sz val="10"/>
      <name val="Comic Sans MS"/>
      <family val="4"/>
    </font>
    <font>
      <b/>
      <sz val="18"/>
      <name val="MS Sans Serif"/>
      <family val="2"/>
    </font>
    <font>
      <b/>
      <sz val="16"/>
      <name val="Arial"/>
      <family val="2"/>
    </font>
    <font>
      <b/>
      <sz val="18"/>
      <name val="Arial"/>
      <family val="2"/>
    </font>
    <font>
      <b/>
      <sz val="16"/>
      <color indexed="8"/>
      <name val="Arial"/>
      <family val="2"/>
    </font>
    <font>
      <b/>
      <sz val="14"/>
      <name val="Arial"/>
      <family val="2"/>
    </font>
    <font>
      <b/>
      <vertAlign val="superscript"/>
      <sz val="12"/>
      <name val="Arial"/>
      <family val="2"/>
    </font>
    <font>
      <vertAlign val="superscript"/>
      <sz val="12"/>
      <name val="Arial"/>
      <family val="2"/>
    </font>
    <font>
      <b/>
      <sz val="12"/>
      <color indexed="10"/>
      <name val="Arial"/>
      <family val="2"/>
    </font>
    <font>
      <b/>
      <i/>
      <sz val="12"/>
      <color indexed="60"/>
      <name val="Arial"/>
      <family val="2"/>
    </font>
    <font>
      <i/>
      <sz val="12"/>
      <color indexed="60"/>
      <name val="Arial"/>
      <family val="2"/>
    </font>
    <font>
      <sz val="10"/>
      <name val="Arial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9"/>
      <name val="Calibri"/>
      <family val="2"/>
    </font>
    <font>
      <sz val="9"/>
      <name val="Calibri"/>
      <family val="2"/>
    </font>
    <font>
      <b/>
      <i/>
      <sz val="8"/>
      <color indexed="10"/>
      <name val="Arial"/>
      <family val="2"/>
    </font>
    <font>
      <b/>
      <sz val="12"/>
      <name val="MS Sans Serif"/>
      <family val="2"/>
    </font>
    <font>
      <b/>
      <sz val="14"/>
      <name val="Arial Black"/>
      <family val="2"/>
    </font>
    <font>
      <sz val="14"/>
      <name val="Arial Black"/>
      <family val="2"/>
    </font>
    <font>
      <sz val="10"/>
      <name val="Arial"/>
      <family val="2"/>
    </font>
    <font>
      <sz val="10"/>
      <color indexed="53"/>
      <name val="Arial"/>
      <family val="2"/>
    </font>
    <font>
      <sz val="10"/>
      <name val="Arial Bold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i/>
      <sz val="10"/>
      <color rgb="FFFF000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FF0000"/>
      <name val="Times New Roman"/>
      <family val="1"/>
    </font>
    <font>
      <i/>
      <sz val="10"/>
      <color theme="1"/>
      <name val="Arial"/>
      <family val="2"/>
    </font>
    <font>
      <b/>
      <sz val="10"/>
      <color theme="8"/>
      <name val="Times New Roman"/>
      <family val="1"/>
    </font>
    <font>
      <sz val="10"/>
      <color rgb="FF00B0F0"/>
      <name val="Arial"/>
      <family val="2"/>
    </font>
    <font>
      <sz val="10"/>
      <color rgb="FF00B0F0"/>
      <name val="Comic Sans MS"/>
      <family val="4"/>
    </font>
    <font>
      <b/>
      <sz val="10"/>
      <color theme="8"/>
      <name val="Arial"/>
      <family val="2"/>
    </font>
    <font>
      <b/>
      <sz val="12"/>
      <color theme="1"/>
      <name val="Arial"/>
      <family val="2"/>
    </font>
    <font>
      <b/>
      <sz val="14"/>
      <name val="Calibri"/>
      <family val="2"/>
      <scheme val="minor"/>
    </font>
    <font>
      <sz val="14"/>
      <name val="Calibri"/>
      <family val="2"/>
      <scheme val="minor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b/>
      <i/>
      <sz val="11"/>
      <color theme="1"/>
      <name val="Calibri"/>
      <family val="2"/>
      <scheme val="minor"/>
    </font>
    <font>
      <b/>
      <i/>
      <sz val="12"/>
      <color rgb="FF00B0F0"/>
      <name val="Arial"/>
      <family val="2"/>
    </font>
    <font>
      <sz val="11"/>
      <color rgb="FF00B0F0"/>
      <name val="Calibri"/>
      <family val="2"/>
      <scheme val="minor"/>
    </font>
    <font>
      <b/>
      <sz val="12"/>
      <color rgb="FF00B0F0"/>
      <name val="Arial"/>
      <family val="2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1"/>
      <name val="Calibri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i/>
      <sz val="12"/>
      <color theme="1"/>
      <name val="Calibri"/>
      <family val="2"/>
    </font>
    <font>
      <b/>
      <i/>
      <sz val="12"/>
      <color rgb="FF00B0F0"/>
      <name val="Calibri"/>
      <family val="2"/>
    </font>
    <font>
      <b/>
      <sz val="12"/>
      <color rgb="FF00B0F0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color rgb="FF002060"/>
      <name val="MS Sans Serif"/>
      <family val="2"/>
    </font>
    <font>
      <i/>
      <sz val="8"/>
      <color rgb="FFFF0000"/>
      <name val="Arial"/>
      <family val="2"/>
    </font>
    <font>
      <sz val="10"/>
      <color rgb="FFFF0000"/>
      <name val="MS Sans Serif"/>
      <family val="2"/>
    </font>
    <font>
      <b/>
      <sz val="11"/>
      <color rgb="FFFF0000"/>
      <name val="Arial Black"/>
      <family val="2"/>
    </font>
    <font>
      <i/>
      <sz val="9"/>
      <color rgb="FFFF0000"/>
      <name val="Arial"/>
      <family val="2"/>
    </font>
    <font>
      <sz val="10"/>
      <color theme="0"/>
      <name val="Arial"/>
      <family val="2"/>
    </font>
    <font>
      <i/>
      <sz val="12"/>
      <color rgb="FFFF0000"/>
      <name val="Times New Roman"/>
      <family val="1"/>
    </font>
    <font>
      <sz val="8"/>
      <color rgb="FFFF0000"/>
      <name val="Arial"/>
      <family val="2"/>
    </font>
    <font>
      <sz val="9"/>
      <color theme="1"/>
      <name val="Calibri"/>
      <family val="2"/>
    </font>
    <font>
      <sz val="12"/>
      <color rgb="FFFF0000"/>
      <name val="Arial Bold"/>
    </font>
    <font>
      <b/>
      <sz val="9"/>
      <color rgb="FFFF0000"/>
      <name val="Arial"/>
      <family val="2"/>
    </font>
    <font>
      <sz val="9"/>
      <color indexed="63"/>
      <name val="Arial"/>
      <family val="2"/>
    </font>
    <font>
      <sz val="12"/>
      <name val="MS Sans Serif"/>
      <family val="2"/>
    </font>
    <font>
      <sz val="12"/>
      <color rgb="FFFF0000"/>
      <name val="Calibri"/>
      <family val="2"/>
      <scheme val="minor"/>
    </font>
    <font>
      <b/>
      <sz val="12"/>
      <name val="MS Sans Serif"/>
      <family val="2"/>
    </font>
    <font>
      <sz val="16"/>
      <name val="Calibri"/>
      <family val="2"/>
      <scheme val="minor"/>
    </font>
    <font>
      <b/>
      <sz val="16"/>
      <name val="Calibri"/>
      <family val="2"/>
      <scheme val="minor"/>
    </font>
    <font>
      <sz val="16"/>
      <color rgb="FFFF0000"/>
      <name val="Calibri"/>
      <family val="2"/>
      <scheme val="minor"/>
    </font>
    <font>
      <sz val="16"/>
      <color indexed="10"/>
      <name val="Calibri"/>
      <family val="2"/>
      <scheme val="minor"/>
    </font>
    <font>
      <b/>
      <sz val="16"/>
      <color indexed="1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FF0000"/>
      <name val="Calibri"/>
      <family val="2"/>
      <scheme val="minor"/>
    </font>
    <font>
      <i/>
      <sz val="16"/>
      <name val="Calibri"/>
      <family val="2"/>
      <scheme val="minor"/>
    </font>
    <font>
      <b/>
      <i/>
      <sz val="16"/>
      <color rgb="FFFF0000"/>
      <name val="Calibri"/>
      <family val="2"/>
      <scheme val="minor"/>
    </font>
    <font>
      <b/>
      <i/>
      <sz val="16"/>
      <name val="Calibri"/>
      <family val="2"/>
      <scheme val="minor"/>
    </font>
    <font>
      <b/>
      <sz val="20"/>
      <name val="Calibri"/>
      <family val="2"/>
      <scheme val="minor"/>
    </font>
    <font>
      <sz val="20"/>
      <name val="Calibri"/>
      <family val="2"/>
      <scheme val="minor"/>
    </font>
    <font>
      <sz val="20"/>
      <color indexed="1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0"/>
      <color rgb="FFFF0000"/>
      <name val="Calibri"/>
      <family val="2"/>
      <scheme val="minor"/>
    </font>
    <font>
      <i/>
      <sz val="20"/>
      <name val="Calibri"/>
      <family val="2"/>
      <scheme val="minor"/>
    </font>
    <font>
      <sz val="20"/>
      <color theme="9" tint="-0.249977111117893"/>
      <name val="Calibri"/>
      <family val="2"/>
      <scheme val="minor"/>
    </font>
    <font>
      <b/>
      <sz val="20"/>
      <color theme="4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20"/>
      <color theme="9" tint="-0.249977111117893"/>
      <name val="Calibri"/>
      <family val="2"/>
      <scheme val="minor"/>
    </font>
    <font>
      <u/>
      <sz val="10"/>
      <color theme="10"/>
      <name val="Arial"/>
      <family val="2"/>
    </font>
    <font>
      <b/>
      <i/>
      <u/>
      <sz val="10"/>
      <color theme="10"/>
      <name val="Arial"/>
      <family val="2"/>
    </font>
    <font>
      <b/>
      <i/>
      <sz val="10"/>
      <color theme="1"/>
      <name val="Arial"/>
      <family val="2"/>
    </font>
    <font>
      <i/>
      <u/>
      <sz val="10"/>
      <color theme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3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/>
        <bgColor indexed="64"/>
      </patternFill>
    </fill>
  </fills>
  <borders count="161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8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45">
    <xf numFmtId="0" fontId="0" fillId="0" borderId="0"/>
    <xf numFmtId="43" fontId="126" fillId="0" borderId="0" applyFont="0" applyFill="0" applyBorder="0" applyAlignment="0" applyProtection="0"/>
    <xf numFmtId="165" fontId="6" fillId="0" borderId="1">
      <alignment horizontal="center"/>
    </xf>
    <xf numFmtId="170" fontId="1" fillId="0" borderId="0" applyFont="0" applyFill="0" applyBorder="0" applyAlignment="0" applyProtection="0"/>
    <xf numFmtId="37" fontId="9" fillId="0" borderId="0" applyNumberFormat="0" applyFont="0" applyFill="0"/>
    <xf numFmtId="171" fontId="3" fillId="0" borderId="0" applyFont="0" applyFill="0" applyBorder="0" applyAlignment="0" applyProtection="0"/>
    <xf numFmtId="0" fontId="10" fillId="0" borderId="0"/>
    <xf numFmtId="0" fontId="22" fillId="0" borderId="0"/>
    <xf numFmtId="0" fontId="22" fillId="0" borderId="0"/>
    <xf numFmtId="0" fontId="126" fillId="0" borderId="0"/>
    <xf numFmtId="0" fontId="126" fillId="0" borderId="0"/>
    <xf numFmtId="0" fontId="127" fillId="0" borderId="0"/>
    <xf numFmtId="0" fontId="22" fillId="0" borderId="0"/>
    <xf numFmtId="0" fontId="22" fillId="0" borderId="0"/>
    <xf numFmtId="0" fontId="12" fillId="0" borderId="0">
      <alignment vertical="top"/>
    </xf>
    <xf numFmtId="0" fontId="12" fillId="0" borderId="0">
      <alignment vertical="top"/>
    </xf>
    <xf numFmtId="0" fontId="22" fillId="0" borderId="0"/>
    <xf numFmtId="0" fontId="126" fillId="0" borderId="0"/>
    <xf numFmtId="0" fontId="126" fillId="0" borderId="0"/>
    <xf numFmtId="0" fontId="12" fillId="0" borderId="0"/>
    <xf numFmtId="0" fontId="126" fillId="0" borderId="0"/>
    <xf numFmtId="0" fontId="126" fillId="0" borderId="0"/>
    <xf numFmtId="0" fontId="126" fillId="0" borderId="0"/>
    <xf numFmtId="0" fontId="126" fillId="0" borderId="0"/>
    <xf numFmtId="166" fontId="9" fillId="0" borderId="0" applyFill="0" applyBorder="0" applyAlignment="0" applyProtection="0">
      <alignment horizontal="right"/>
    </xf>
    <xf numFmtId="0" fontId="6" fillId="0" borderId="0"/>
    <xf numFmtId="0" fontId="5" fillId="0" borderId="0"/>
    <xf numFmtId="0" fontId="6" fillId="0" borderId="0"/>
    <xf numFmtId="0" fontId="1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3" fillId="0" borderId="0"/>
    <xf numFmtId="0" fontId="61" fillId="0" borderId="0"/>
    <xf numFmtId="0" fontId="3" fillId="0" borderId="0"/>
    <xf numFmtId="4" fontId="9" fillId="0" borderId="0" applyFont="0" applyFill="0" applyBorder="0" applyAlignment="0" applyProtection="0">
      <alignment horizontal="left"/>
    </xf>
    <xf numFmtId="9" fontId="1" fillId="0" borderId="0" applyFont="0" applyFill="0" applyBorder="0" applyAlignment="0" applyProtection="0"/>
    <xf numFmtId="9" fontId="126" fillId="0" borderId="0" applyFont="0" applyFill="0" applyBorder="0" applyAlignment="0" applyProtection="0"/>
    <xf numFmtId="0" fontId="11" fillId="0" borderId="0"/>
    <xf numFmtId="43" fontId="1" fillId="0" borderId="0" applyFont="0" applyFill="0" applyBorder="0" applyAlignment="0" applyProtection="0"/>
    <xf numFmtId="43" fontId="126" fillId="0" borderId="0" applyFont="0" applyFill="0" applyBorder="0" applyAlignment="0" applyProtection="0"/>
    <xf numFmtId="43" fontId="126" fillId="0" borderId="0" applyFont="0" applyFill="0" applyBorder="0" applyAlignment="0" applyProtection="0"/>
    <xf numFmtId="0" fontId="199" fillId="0" borderId="0" applyNumberFormat="0" applyFill="0" applyBorder="0" applyAlignment="0" applyProtection="0"/>
  </cellStyleXfs>
  <cellXfs count="2291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4" fillId="0" borderId="4" xfId="0" applyFont="1" applyBorder="1"/>
    <xf numFmtId="0" fontId="0" fillId="0" borderId="4" xfId="0" quotePrefix="1" applyBorder="1"/>
    <xf numFmtId="3" fontId="0" fillId="0" borderId="0" xfId="0" applyNumberFormat="1"/>
    <xf numFmtId="0" fontId="7" fillId="0" borderId="5" xfId="0" applyFont="1" applyBorder="1"/>
    <xf numFmtId="0" fontId="8" fillId="0" borderId="6" xfId="0" applyFont="1" applyBorder="1"/>
    <xf numFmtId="0" fontId="8" fillId="0" borderId="5" xfId="0" applyFont="1" applyBorder="1"/>
    <xf numFmtId="0" fontId="0" fillId="0" borderId="4" xfId="0" applyFill="1" applyBorder="1"/>
    <xf numFmtId="4" fontId="8" fillId="0" borderId="9" xfId="0" applyNumberFormat="1" applyFont="1" applyBorder="1"/>
    <xf numFmtId="4" fontId="8" fillId="0" borderId="10" xfId="0" applyNumberFormat="1" applyFont="1" applyBorder="1"/>
    <xf numFmtId="4" fontId="0" fillId="0" borderId="11" xfId="0" applyNumberFormat="1" applyBorder="1"/>
    <xf numFmtId="4" fontId="0" fillId="0" borderId="11" xfId="0" applyNumberFormat="1" applyFill="1" applyBorder="1"/>
    <xf numFmtId="4" fontId="0" fillId="2" borderId="11" xfId="0" applyNumberFormat="1" applyFill="1" applyBorder="1"/>
    <xf numFmtId="4" fontId="4" fillId="0" borderId="11" xfId="0" applyNumberFormat="1" applyFont="1" applyBorder="1"/>
    <xf numFmtId="4" fontId="0" fillId="0" borderId="10" xfId="0" applyNumberFormat="1" applyBorder="1"/>
    <xf numFmtId="4" fontId="0" fillId="0" borderId="0" xfId="0" applyNumberFormat="1"/>
    <xf numFmtId="0" fontId="17" fillId="0" borderId="6" xfId="0" applyFont="1" applyBorder="1" applyAlignment="1">
      <alignment horizontal="center"/>
    </xf>
    <xf numFmtId="3" fontId="18" fillId="0" borderId="6" xfId="0" applyNumberFormat="1" applyFont="1" applyBorder="1"/>
    <xf numFmtId="3" fontId="17" fillId="0" borderId="6" xfId="0" applyNumberFormat="1" applyFont="1" applyBorder="1"/>
    <xf numFmtId="3" fontId="17" fillId="0" borderId="0" xfId="0" applyNumberFormat="1" applyFont="1"/>
    <xf numFmtId="0" fontId="17" fillId="0" borderId="0" xfId="0" applyFont="1"/>
    <xf numFmtId="0" fontId="20" fillId="0" borderId="0" xfId="0" applyFont="1"/>
    <xf numFmtId="0" fontId="21" fillId="0" borderId="0" xfId="0" applyFont="1" applyAlignment="1">
      <alignment horizontal="center"/>
    </xf>
    <xf numFmtId="3" fontId="23" fillId="0" borderId="0" xfId="0" applyNumberFormat="1" applyFont="1"/>
    <xf numFmtId="0" fontId="25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/>
    <xf numFmtId="0" fontId="29" fillId="0" borderId="0" xfId="0" applyFont="1"/>
    <xf numFmtId="3" fontId="22" fillId="0" borderId="4" xfId="0" applyNumberFormat="1" applyFont="1" applyBorder="1"/>
    <xf numFmtId="3" fontId="15" fillId="0" borderId="6" xfId="0" applyNumberFormat="1" applyFont="1" applyBorder="1"/>
    <xf numFmtId="0" fontId="12" fillId="0" borderId="0" xfId="36" applyFont="1" applyFill="1" applyAlignment="1">
      <alignment horizontal="left" indent="3"/>
    </xf>
    <xf numFmtId="3" fontId="6" fillId="0" borderId="4" xfId="27" applyNumberFormat="1" applyBorder="1"/>
    <xf numFmtId="168" fontId="6" fillId="0" borderId="4" xfId="27" applyNumberFormat="1" applyFill="1" applyBorder="1"/>
    <xf numFmtId="0" fontId="6" fillId="0" borderId="8" xfId="27" applyBorder="1"/>
    <xf numFmtId="0" fontId="6" fillId="0" borderId="11" xfId="27" applyBorder="1"/>
    <xf numFmtId="168" fontId="6" fillId="0" borderId="4" xfId="27" applyNumberFormat="1" applyBorder="1"/>
    <xf numFmtId="168" fontId="6" fillId="0" borderId="11" xfId="27" applyNumberFormat="1" applyBorder="1"/>
    <xf numFmtId="3" fontId="6" fillId="0" borderId="11" xfId="27" applyNumberFormat="1" applyBorder="1"/>
    <xf numFmtId="0" fontId="6" fillId="0" borderId="0" xfId="27"/>
    <xf numFmtId="168" fontId="6" fillId="0" borderId="0" xfId="27" applyNumberFormat="1"/>
    <xf numFmtId="0" fontId="6" fillId="0" borderId="12" xfId="27" applyBorder="1"/>
    <xf numFmtId="0" fontId="6" fillId="0" borderId="9" xfId="27" applyBorder="1"/>
    <xf numFmtId="0" fontId="6" fillId="0" borderId="9" xfId="27" applyBorder="1" applyAlignment="1">
      <alignment horizontal="center" vertical="top" wrapText="1"/>
    </xf>
    <xf numFmtId="0" fontId="30" fillId="0" borderId="7" xfId="27" applyFont="1" applyBorder="1"/>
    <xf numFmtId="0" fontId="30" fillId="0" borderId="2" xfId="27" applyFont="1" applyBorder="1"/>
    <xf numFmtId="168" fontId="30" fillId="0" borderId="3" xfId="27" applyNumberFormat="1" applyFont="1" applyBorder="1"/>
    <xf numFmtId="168" fontId="30" fillId="0" borderId="2" xfId="27" applyNumberFormat="1" applyFont="1" applyBorder="1"/>
    <xf numFmtId="3" fontId="30" fillId="0" borderId="2" xfId="27" applyNumberFormat="1" applyFont="1" applyBorder="1"/>
    <xf numFmtId="0" fontId="6" fillId="0" borderId="13" xfId="27" applyBorder="1"/>
    <xf numFmtId="0" fontId="6" fillId="0" borderId="14" xfId="27" applyBorder="1"/>
    <xf numFmtId="168" fontId="6" fillId="0" borderId="15" xfId="27" applyNumberFormat="1" applyFill="1" applyBorder="1"/>
    <xf numFmtId="168" fontId="6" fillId="0" borderId="14" xfId="27" applyNumberFormat="1" applyBorder="1"/>
    <xf numFmtId="3" fontId="6" fillId="0" borderId="14" xfId="27" applyNumberFormat="1" applyBorder="1"/>
    <xf numFmtId="0" fontId="6" fillId="0" borderId="16" xfId="27" applyBorder="1"/>
    <xf numFmtId="0" fontId="6" fillId="0" borderId="10" xfId="27" applyBorder="1"/>
    <xf numFmtId="168" fontId="6" fillId="0" borderId="5" xfId="27" applyNumberFormat="1" applyBorder="1"/>
    <xf numFmtId="168" fontId="6" fillId="0" borderId="10" xfId="27" applyNumberFormat="1" applyBorder="1"/>
    <xf numFmtId="3" fontId="6" fillId="0" borderId="10" xfId="27" applyNumberFormat="1" applyBorder="1"/>
    <xf numFmtId="3" fontId="30" fillId="0" borderId="3" xfId="27" applyNumberFormat="1" applyFont="1" applyBorder="1"/>
    <xf numFmtId="0" fontId="8" fillId="0" borderId="12" xfId="27" applyFont="1" applyBorder="1"/>
    <xf numFmtId="0" fontId="8" fillId="0" borderId="9" xfId="27" applyFont="1" applyBorder="1"/>
    <xf numFmtId="168" fontId="8" fillId="0" borderId="6" xfId="27" applyNumberFormat="1" applyFont="1" applyBorder="1"/>
    <xf numFmtId="168" fontId="8" fillId="0" borderId="9" xfId="27" applyNumberFormat="1" applyFont="1" applyBorder="1"/>
    <xf numFmtId="3" fontId="8" fillId="0" borderId="9" xfId="27" applyNumberFormat="1" applyFont="1" applyBorder="1"/>
    <xf numFmtId="0" fontId="6" fillId="0" borderId="3" xfId="27" applyFont="1" applyBorder="1"/>
    <xf numFmtId="0" fontId="6" fillId="0" borderId="2" xfId="27" applyFont="1" applyBorder="1"/>
    <xf numFmtId="168" fontId="6" fillId="0" borderId="2" xfId="27" applyNumberFormat="1" applyFont="1" applyBorder="1"/>
    <xf numFmtId="3" fontId="6" fillId="0" borderId="2" xfId="27" applyNumberFormat="1" applyBorder="1"/>
    <xf numFmtId="0" fontId="6" fillId="0" borderId="2" xfId="27" applyBorder="1"/>
    <xf numFmtId="0" fontId="6" fillId="0" borderId="16" xfId="27" quotePrefix="1" applyFont="1" applyBorder="1"/>
    <xf numFmtId="0" fontId="6" fillId="0" borderId="10" xfId="27" applyFont="1" applyBorder="1"/>
    <xf numFmtId="168" fontId="6" fillId="0" borderId="10" xfId="27" applyNumberFormat="1" applyFont="1" applyBorder="1"/>
    <xf numFmtId="0" fontId="8" fillId="0" borderId="6" xfId="27" applyFont="1" applyBorder="1"/>
    <xf numFmtId="3" fontId="6" fillId="0" borderId="9" xfId="27" applyNumberFormat="1" applyBorder="1"/>
    <xf numFmtId="0" fontId="6" fillId="0" borderId="0" xfId="27" quotePrefix="1"/>
    <xf numFmtId="3" fontId="6" fillId="0" borderId="0" xfId="27" applyNumberFormat="1"/>
    <xf numFmtId="3" fontId="8" fillId="0" borderId="6" xfId="27" applyNumberFormat="1" applyFont="1" applyBorder="1"/>
    <xf numFmtId="14" fontId="6" fillId="0" borderId="0" xfId="27" applyNumberFormat="1"/>
    <xf numFmtId="4" fontId="6" fillId="0" borderId="0" xfId="27" applyNumberFormat="1"/>
    <xf numFmtId="0" fontId="6" fillId="0" borderId="0" xfId="27" applyFont="1"/>
    <xf numFmtId="0" fontId="6" fillId="0" borderId="6" xfId="27" applyFont="1" applyBorder="1" applyAlignment="1">
      <alignment horizontal="center" vertical="top" wrapText="1"/>
    </xf>
    <xf numFmtId="0" fontId="6" fillId="0" borderId="11" xfId="27" applyFont="1" applyBorder="1"/>
    <xf numFmtId="0" fontId="6" fillId="0" borderId="9" xfId="27" applyFont="1" applyBorder="1" applyAlignment="1">
      <alignment horizontal="center" vertical="top" wrapText="1"/>
    </xf>
    <xf numFmtId="0" fontId="6" fillId="0" borderId="0" xfId="30"/>
    <xf numFmtId="3" fontId="6" fillId="0" borderId="0" xfId="30" applyNumberFormat="1"/>
    <xf numFmtId="3" fontId="2" fillId="0" borderId="17" xfId="32" applyNumberFormat="1" applyFont="1" applyFill="1" applyBorder="1" applyAlignment="1" applyProtection="1"/>
    <xf numFmtId="3" fontId="6" fillId="0" borderId="11" xfId="30" applyNumberFormat="1" applyBorder="1"/>
    <xf numFmtId="0" fontId="6" fillId="0" borderId="12" xfId="30" applyBorder="1"/>
    <xf numFmtId="0" fontId="6" fillId="0" borderId="1" xfId="30" applyBorder="1"/>
    <xf numFmtId="0" fontId="6" fillId="0" borderId="9" xfId="30" applyBorder="1" applyAlignment="1">
      <alignment horizontal="centerContinuous"/>
    </xf>
    <xf numFmtId="0" fontId="6" fillId="0" borderId="2" xfId="30" applyBorder="1" applyAlignment="1">
      <alignment horizontal="centerContinuous"/>
    </xf>
    <xf numFmtId="0" fontId="32" fillId="0" borderId="7" xfId="30" applyFont="1" applyBorder="1"/>
    <xf numFmtId="0" fontId="32" fillId="0" borderId="2" xfId="30" applyFont="1" applyBorder="1"/>
    <xf numFmtId="3" fontId="32" fillId="0" borderId="2" xfId="30" applyNumberFormat="1" applyFont="1" applyBorder="1"/>
    <xf numFmtId="169" fontId="32" fillId="0" borderId="2" xfId="38" applyNumberFormat="1" applyFont="1" applyBorder="1"/>
    <xf numFmtId="0" fontId="6" fillId="0" borderId="13" xfId="30" applyBorder="1"/>
    <xf numFmtId="0" fontId="6" fillId="0" borderId="14" xfId="30" applyBorder="1"/>
    <xf numFmtId="3" fontId="6" fillId="0" borderId="14" xfId="30" applyNumberFormat="1" applyBorder="1"/>
    <xf numFmtId="3" fontId="5" fillId="0" borderId="14" xfId="30" applyNumberFormat="1" applyFont="1" applyBorder="1"/>
    <xf numFmtId="169" fontId="6" fillId="0" borderId="14" xfId="38" applyNumberFormat="1" applyFont="1" applyBorder="1"/>
    <xf numFmtId="3" fontId="6" fillId="0" borderId="14" xfId="30" applyNumberFormat="1" applyFill="1" applyBorder="1"/>
    <xf numFmtId="0" fontId="5" fillId="0" borderId="0" xfId="30" applyFont="1"/>
    <xf numFmtId="0" fontId="32" fillId="0" borderId="8" xfId="30" applyFont="1" applyBorder="1"/>
    <xf numFmtId="0" fontId="32" fillId="0" borderId="11" xfId="30" applyFont="1" applyBorder="1"/>
    <xf numFmtId="3" fontId="32" fillId="0" borderId="11" xfId="30" applyNumberFormat="1" applyFont="1" applyBorder="1"/>
    <xf numFmtId="169" fontId="32" fillId="0" borderId="11" xfId="38" applyNumberFormat="1" applyFont="1" applyBorder="1"/>
    <xf numFmtId="0" fontId="1" fillId="0" borderId="13" xfId="28" applyBorder="1"/>
    <xf numFmtId="0" fontId="1" fillId="0" borderId="14" xfId="28" applyFont="1" applyBorder="1"/>
    <xf numFmtId="0" fontId="6" fillId="0" borderId="8" xfId="30" applyBorder="1"/>
    <xf numFmtId="0" fontId="6" fillId="0" borderId="11" xfId="30" applyBorder="1"/>
    <xf numFmtId="3" fontId="6" fillId="0" borderId="10" xfId="30" applyNumberFormat="1" applyBorder="1"/>
    <xf numFmtId="0" fontId="6" fillId="0" borderId="14" xfId="30" applyFont="1" applyBorder="1"/>
    <xf numFmtId="3" fontId="0" fillId="0" borderId="4" xfId="0" applyNumberFormat="1" applyBorder="1"/>
    <xf numFmtId="4" fontId="0" fillId="0" borderId="4" xfId="0" applyNumberFormat="1" applyBorder="1"/>
    <xf numFmtId="3" fontId="0" fillId="0" borderId="6" xfId="0" applyNumberFormat="1" applyBorder="1"/>
    <xf numFmtId="0" fontId="12" fillId="0" borderId="0" xfId="0" applyFont="1" applyFill="1" applyAlignment="1">
      <alignment horizontal="left" indent="3"/>
    </xf>
    <xf numFmtId="3" fontId="23" fillId="0" borderId="4" xfId="0" applyNumberFormat="1" applyFont="1" applyBorder="1"/>
    <xf numFmtId="0" fontId="6" fillId="0" borderId="11" xfId="30" applyFont="1" applyBorder="1"/>
    <xf numFmtId="0" fontId="7" fillId="0" borderId="11" xfId="27" applyFont="1" applyBorder="1"/>
    <xf numFmtId="0" fontId="30" fillId="0" borderId="8" xfId="27" applyFont="1" applyBorder="1"/>
    <xf numFmtId="0" fontId="30" fillId="0" borderId="11" xfId="27" applyFont="1" applyBorder="1"/>
    <xf numFmtId="168" fontId="30" fillId="0" borderId="4" xfId="27" applyNumberFormat="1" applyFont="1" applyBorder="1"/>
    <xf numFmtId="3" fontId="30" fillId="0" borderId="4" xfId="27" applyNumberFormat="1" applyFont="1" applyBorder="1"/>
    <xf numFmtId="168" fontId="7" fillId="0" borderId="4" xfId="27" applyNumberFormat="1" applyFont="1" applyBorder="1"/>
    <xf numFmtId="0" fontId="31" fillId="0" borderId="0" xfId="25" applyFont="1"/>
    <xf numFmtId="168" fontId="31" fillId="0" borderId="0" xfId="25" applyNumberFormat="1" applyFont="1" applyProtection="1"/>
    <xf numFmtId="168" fontId="31" fillId="0" borderId="0" xfId="25" applyNumberFormat="1" applyFont="1"/>
    <xf numFmtId="0" fontId="31" fillId="0" borderId="0" xfId="25" applyFont="1" applyBorder="1" applyAlignment="1">
      <alignment horizontal="centerContinuous" vertical="top" wrapText="1"/>
    </xf>
    <xf numFmtId="168" fontId="31" fillId="0" borderId="0" xfId="25" applyNumberFormat="1" applyFont="1" applyBorder="1" applyAlignment="1">
      <alignment horizontal="centerContinuous" vertical="top" wrapText="1"/>
    </xf>
    <xf numFmtId="168" fontId="31" fillId="0" borderId="0" xfId="25" applyNumberFormat="1" applyFont="1" applyAlignment="1">
      <alignment horizontal="centerContinuous" wrapText="1"/>
    </xf>
    <xf numFmtId="0" fontId="31" fillId="0" borderId="0" xfId="25" applyFont="1" applyAlignment="1">
      <alignment horizontal="centerContinuous" wrapText="1"/>
    </xf>
    <xf numFmtId="22" fontId="31" fillId="0" borderId="0" xfId="25" applyNumberFormat="1" applyFont="1"/>
    <xf numFmtId="0" fontId="31" fillId="0" borderId="9" xfId="25" applyFont="1" applyBorder="1" applyAlignment="1">
      <alignment horizontal="center" vertical="top" wrapText="1"/>
    </xf>
    <xf numFmtId="0" fontId="31" fillId="0" borderId="2" xfId="25" applyFont="1" applyBorder="1" applyAlignment="1">
      <alignment horizontal="center" vertical="top" wrapText="1"/>
    </xf>
    <xf numFmtId="0" fontId="33" fillId="0" borderId="3" xfId="25" applyFont="1" applyBorder="1"/>
    <xf numFmtId="168" fontId="33" fillId="0" borderId="2" xfId="25" applyNumberFormat="1" applyFont="1" applyBorder="1" applyProtection="1"/>
    <xf numFmtId="168" fontId="33" fillId="0" borderId="11" xfId="25" applyNumberFormat="1" applyFont="1" applyBorder="1"/>
    <xf numFmtId="0" fontId="33" fillId="0" borderId="4" xfId="25" applyFont="1" applyBorder="1"/>
    <xf numFmtId="168" fontId="33" fillId="0" borderId="11" xfId="25" applyNumberFormat="1" applyFont="1" applyBorder="1" applyProtection="1"/>
    <xf numFmtId="0" fontId="31" fillId="0" borderId="4" xfId="25" applyFont="1" applyBorder="1"/>
    <xf numFmtId="168" fontId="31" fillId="0" borderId="11" xfId="25" applyNumberFormat="1" applyFont="1" applyBorder="1" applyProtection="1"/>
    <xf numFmtId="168" fontId="31" fillId="0" borderId="11" xfId="25" applyNumberFormat="1" applyFont="1" applyFill="1" applyBorder="1" applyProtection="1"/>
    <xf numFmtId="168" fontId="31" fillId="0" borderId="11" xfId="25" applyNumberFormat="1" applyFont="1" applyBorder="1"/>
    <xf numFmtId="0" fontId="31" fillId="0" borderId="11" xfId="25" applyFont="1" applyBorder="1" applyProtection="1"/>
    <xf numFmtId="0" fontId="34" fillId="0" borderId="3" xfId="25" applyFont="1" applyBorder="1"/>
    <xf numFmtId="168" fontId="33" fillId="0" borderId="2" xfId="25" applyNumberFormat="1" applyFont="1" applyBorder="1"/>
    <xf numFmtId="0" fontId="31" fillId="0" borderId="5" xfId="25" applyFont="1" applyBorder="1"/>
    <xf numFmtId="168" fontId="31" fillId="0" borderId="10" xfId="25" applyNumberFormat="1" applyFont="1" applyBorder="1" applyProtection="1"/>
    <xf numFmtId="168" fontId="31" fillId="0" borderId="10" xfId="25" applyNumberFormat="1" applyFont="1" applyBorder="1"/>
    <xf numFmtId="0" fontId="33" fillId="0" borderId="4" xfId="25" applyFont="1" applyFill="1" applyBorder="1" applyAlignment="1">
      <alignment wrapText="1"/>
    </xf>
    <xf numFmtId="168" fontId="33" fillId="0" borderId="11" xfId="25" applyNumberFormat="1" applyFont="1" applyFill="1" applyBorder="1" applyProtection="1"/>
    <xf numFmtId="168" fontId="34" fillId="0" borderId="2" xfId="25" applyNumberFormat="1" applyFont="1" applyBorder="1" applyProtection="1"/>
    <xf numFmtId="168" fontId="34" fillId="0" borderId="2" xfId="25" applyNumberFormat="1" applyFont="1" applyBorder="1"/>
    <xf numFmtId="0" fontId="31" fillId="0" borderId="0" xfId="25" applyFont="1" applyAlignment="1">
      <alignment wrapText="1"/>
    </xf>
    <xf numFmtId="168" fontId="31" fillId="0" borderId="0" xfId="25" applyNumberFormat="1" applyFont="1" applyAlignment="1"/>
    <xf numFmtId="0" fontId="31" fillId="0" borderId="0" xfId="25" applyFont="1" applyProtection="1"/>
    <xf numFmtId="0" fontId="31" fillId="0" borderId="0" xfId="25" applyFont="1" applyAlignment="1">
      <alignment vertical="top" wrapText="1"/>
    </xf>
    <xf numFmtId="0" fontId="31" fillId="0" borderId="0" xfId="25" applyFont="1" applyAlignment="1" applyProtection="1">
      <alignment vertical="top"/>
    </xf>
    <xf numFmtId="0" fontId="31" fillId="0" borderId="0" xfId="25" applyFont="1" applyAlignment="1" applyProtection="1">
      <alignment horizontal="centerContinuous" wrapText="1"/>
    </xf>
    <xf numFmtId="0" fontId="31" fillId="0" borderId="0" xfId="25" applyFont="1" applyAlignment="1" applyProtection="1">
      <alignment horizontal="centerContinuous" vertical="top" wrapText="1"/>
    </xf>
    <xf numFmtId="0" fontId="31" fillId="0" borderId="6" xfId="25" applyFont="1" applyBorder="1" applyAlignment="1">
      <alignment horizontal="center" vertical="top" wrapText="1"/>
    </xf>
    <xf numFmtId="0" fontId="31" fillId="0" borderId="0" xfId="25" applyFont="1" applyAlignment="1">
      <alignment vertical="top"/>
    </xf>
    <xf numFmtId="168" fontId="34" fillId="0" borderId="9" xfId="25" applyNumberFormat="1" applyFont="1" applyBorder="1"/>
    <xf numFmtId="0" fontId="15" fillId="0" borderId="4" xfId="0" applyFont="1" applyBorder="1"/>
    <xf numFmtId="3" fontId="15" fillId="0" borderId="4" xfId="0" applyNumberFormat="1" applyFont="1" applyBorder="1"/>
    <xf numFmtId="0" fontId="3" fillId="0" borderId="0" xfId="29"/>
    <xf numFmtId="0" fontId="13" fillId="0" borderId="0" xfId="29" applyFont="1" applyAlignment="1">
      <alignment horizontal="center"/>
    </xf>
    <xf numFmtId="3" fontId="13" fillId="3" borderId="18" xfId="29" applyNumberFormat="1" applyFont="1" applyFill="1" applyBorder="1" applyAlignment="1">
      <alignment horizontal="center" vertical="center"/>
    </xf>
    <xf numFmtId="168" fontId="36" fillId="4" borderId="9" xfId="29" applyNumberFormat="1" applyFont="1" applyFill="1" applyBorder="1" applyAlignment="1">
      <alignment horizontal="centerContinuous"/>
    </xf>
    <xf numFmtId="3" fontId="13" fillId="5" borderId="19" xfId="29" applyNumberFormat="1" applyFont="1" applyFill="1" applyBorder="1" applyAlignment="1">
      <alignment horizontal="center" vertical="center"/>
    </xf>
    <xf numFmtId="168" fontId="13" fillId="5" borderId="9" xfId="29" applyNumberFormat="1" applyFont="1" applyFill="1" applyBorder="1" applyAlignment="1"/>
    <xf numFmtId="49" fontId="9" fillId="0" borderId="0" xfId="29" applyNumberFormat="1" applyFont="1" applyBorder="1" applyAlignment="1">
      <alignment horizontal="center" vertical="center"/>
    </xf>
    <xf numFmtId="168" fontId="9" fillId="0" borderId="11" xfId="29" applyNumberFormat="1" applyFont="1" applyBorder="1" applyAlignment="1">
      <alignment horizontal="centerContinuous"/>
    </xf>
    <xf numFmtId="0" fontId="37" fillId="5" borderId="20" xfId="29" applyFont="1" applyFill="1" applyBorder="1" applyAlignment="1">
      <alignment horizontal="center" vertical="center"/>
    </xf>
    <xf numFmtId="49" fontId="37" fillId="5" borderId="20" xfId="29" applyNumberFormat="1" applyFont="1" applyFill="1" applyBorder="1" applyAlignment="1">
      <alignment horizontal="center" vertical="center"/>
    </xf>
    <xf numFmtId="0" fontId="37" fillId="5" borderId="21" xfId="29" applyFont="1" applyFill="1" applyBorder="1" applyAlignment="1">
      <alignment horizontal="center" vertical="center"/>
    </xf>
    <xf numFmtId="49" fontId="37" fillId="5" borderId="21" xfId="29" quotePrefix="1" applyNumberFormat="1" applyFont="1" applyFill="1" applyBorder="1" applyAlignment="1">
      <alignment horizontal="center" vertical="center"/>
    </xf>
    <xf numFmtId="49" fontId="37" fillId="5" borderId="21" xfId="29" applyNumberFormat="1" applyFont="1" applyFill="1" applyBorder="1" applyAlignment="1">
      <alignment horizontal="center" vertical="center"/>
    </xf>
    <xf numFmtId="49" fontId="37" fillId="5" borderId="21" xfId="29" applyNumberFormat="1" applyFont="1" applyFill="1" applyBorder="1" applyAlignment="1">
      <alignment horizontal="center" vertical="center" wrapText="1"/>
    </xf>
    <xf numFmtId="49" fontId="37" fillId="5" borderId="22" xfId="29" applyNumberFormat="1" applyFont="1" applyFill="1" applyBorder="1" applyAlignment="1">
      <alignment horizontal="center" vertical="center" wrapText="1"/>
    </xf>
    <xf numFmtId="0" fontId="9" fillId="0" borderId="0" xfId="29" applyFont="1" applyBorder="1" applyAlignment="1">
      <alignment horizontal="center" vertical="center"/>
    </xf>
    <xf numFmtId="168" fontId="9" fillId="0" borderId="0" xfId="29" applyNumberFormat="1" applyFont="1" applyBorder="1" applyAlignment="1">
      <alignment horizontal="center" vertical="center"/>
    </xf>
    <xf numFmtId="168" fontId="38" fillId="0" borderId="0" xfId="29" applyNumberFormat="1" applyFont="1" applyBorder="1" applyAlignment="1">
      <alignment horizontal="center" vertical="center"/>
    </xf>
    <xf numFmtId="168" fontId="38" fillId="0" borderId="11" xfId="29" applyNumberFormat="1" applyFont="1" applyBorder="1" applyAlignment="1">
      <alignment horizontal="right"/>
    </xf>
    <xf numFmtId="49" fontId="13" fillId="5" borderId="23" xfId="29" applyNumberFormat="1" applyFont="1" applyFill="1" applyBorder="1" applyAlignment="1">
      <alignment horizontal="center"/>
    </xf>
    <xf numFmtId="0" fontId="13" fillId="5" borderId="24" xfId="29" applyFont="1" applyFill="1" applyBorder="1" applyAlignment="1">
      <alignment horizontal="center"/>
    </xf>
    <xf numFmtId="0" fontId="13" fillId="5" borderId="25" xfId="29" applyFont="1" applyFill="1" applyBorder="1" applyAlignment="1">
      <alignment horizontal="center"/>
    </xf>
    <xf numFmtId="49" fontId="13" fillId="5" borderId="25" xfId="29" applyNumberFormat="1" applyFont="1" applyFill="1" applyBorder="1" applyAlignment="1"/>
    <xf numFmtId="168" fontId="13" fillId="5" borderId="25" xfId="29" applyNumberFormat="1" applyFont="1" applyFill="1" applyBorder="1" applyAlignment="1"/>
    <xf numFmtId="2" fontId="13" fillId="5" borderId="25" xfId="29" applyNumberFormat="1" applyFont="1" applyFill="1" applyBorder="1" applyAlignment="1">
      <alignment horizontal="center"/>
    </xf>
    <xf numFmtId="2" fontId="13" fillId="5" borderId="26" xfId="29" applyNumberFormat="1" applyFont="1" applyFill="1" applyBorder="1" applyAlignment="1">
      <alignment horizontal="center"/>
    </xf>
    <xf numFmtId="2" fontId="13" fillId="5" borderId="9" xfId="29" applyNumberFormat="1" applyFont="1" applyFill="1" applyBorder="1" applyAlignment="1">
      <alignment horizontal="center"/>
    </xf>
    <xf numFmtId="49" fontId="39" fillId="5" borderId="27" xfId="29" applyNumberFormat="1" applyFont="1" applyFill="1" applyBorder="1" applyAlignment="1">
      <alignment horizontal="center"/>
    </xf>
    <xf numFmtId="0" fontId="39" fillId="5" borderId="28" xfId="29" applyFont="1" applyFill="1" applyBorder="1"/>
    <xf numFmtId="0" fontId="39" fillId="5" borderId="4" xfId="29" applyFont="1" applyFill="1" applyBorder="1"/>
    <xf numFmtId="49" fontId="39" fillId="5" borderId="11" xfId="29" applyNumberFormat="1" applyFont="1" applyFill="1" applyBorder="1" applyAlignment="1"/>
    <xf numFmtId="168" fontId="39" fillId="5" borderId="11" xfId="29" applyNumberFormat="1" applyFont="1" applyFill="1" applyBorder="1" applyAlignment="1"/>
    <xf numFmtId="2" fontId="39" fillId="5" borderId="11" xfId="29" applyNumberFormat="1" applyFont="1" applyFill="1" applyBorder="1" applyAlignment="1">
      <alignment horizontal="center"/>
    </xf>
    <xf numFmtId="2" fontId="39" fillId="5" borderId="29" xfId="29" applyNumberFormat="1" applyFont="1" applyFill="1" applyBorder="1" applyAlignment="1">
      <alignment horizontal="center"/>
    </xf>
    <xf numFmtId="168" fontId="3" fillId="0" borderId="0" xfId="29" applyNumberFormat="1"/>
    <xf numFmtId="49" fontId="38" fillId="3" borderId="27" xfId="29" applyNumberFormat="1" applyFont="1" applyFill="1" applyBorder="1" applyAlignment="1">
      <alignment horizontal="center"/>
    </xf>
    <xf numFmtId="0" fontId="38" fillId="3" borderId="28" xfId="29" applyFont="1" applyFill="1" applyBorder="1"/>
    <xf numFmtId="0" fontId="38" fillId="3" borderId="4" xfId="29" applyFont="1" applyFill="1" applyBorder="1"/>
    <xf numFmtId="49" fontId="38" fillId="3" borderId="11" xfId="29" applyNumberFormat="1" applyFont="1" applyFill="1" applyBorder="1" applyAlignment="1"/>
    <xf numFmtId="168" fontId="38" fillId="3" borderId="11" xfId="29" applyNumberFormat="1" applyFont="1" applyFill="1" applyBorder="1" applyAlignment="1"/>
    <xf numFmtId="2" fontId="38" fillId="3" borderId="11" xfId="29" applyNumberFormat="1" applyFont="1" applyFill="1" applyBorder="1" applyAlignment="1">
      <alignment horizontal="center"/>
    </xf>
    <xf numFmtId="3" fontId="38" fillId="3" borderId="11" xfId="29" applyNumberFormat="1" applyFont="1" applyFill="1" applyBorder="1" applyAlignment="1"/>
    <xf numFmtId="2" fontId="38" fillId="3" borderId="29" xfId="29" applyNumberFormat="1" applyFont="1" applyFill="1" applyBorder="1" applyAlignment="1">
      <alignment horizontal="center"/>
    </xf>
    <xf numFmtId="49" fontId="40" fillId="3" borderId="27" xfId="29" applyNumberFormat="1" applyFont="1" applyFill="1" applyBorder="1" applyAlignment="1">
      <alignment horizontal="center"/>
    </xf>
    <xf numFmtId="0" fontId="40" fillId="3" borderId="28" xfId="29" applyFont="1" applyFill="1" applyBorder="1"/>
    <xf numFmtId="0" fontId="40" fillId="3" borderId="4" xfId="29" applyFont="1" applyFill="1" applyBorder="1"/>
    <xf numFmtId="49" fontId="40" fillId="3" borderId="11" xfId="29" quotePrefix="1" applyNumberFormat="1" applyFont="1" applyFill="1" applyBorder="1" applyAlignment="1">
      <alignment horizontal="center"/>
    </xf>
    <xf numFmtId="168" fontId="40" fillId="3" borderId="11" xfId="29" applyNumberFormat="1" applyFont="1" applyFill="1" applyBorder="1" applyAlignment="1"/>
    <xf numFmtId="2" fontId="40" fillId="3" borderId="11" xfId="29" applyNumberFormat="1" applyFont="1" applyFill="1" applyBorder="1" applyAlignment="1">
      <alignment horizontal="center"/>
    </xf>
    <xf numFmtId="2" fontId="40" fillId="3" borderId="29" xfId="29" applyNumberFormat="1" applyFont="1" applyFill="1" applyBorder="1" applyAlignment="1">
      <alignment horizontal="center"/>
    </xf>
    <xf numFmtId="49" fontId="40" fillId="3" borderId="11" xfId="29" applyNumberFormat="1" applyFont="1" applyFill="1" applyBorder="1" applyAlignment="1"/>
    <xf numFmtId="3" fontId="3" fillId="0" borderId="0" xfId="29" applyNumberFormat="1"/>
    <xf numFmtId="49" fontId="41" fillId="3" borderId="27" xfId="29" applyNumberFormat="1" applyFont="1" applyFill="1" applyBorder="1" applyAlignment="1">
      <alignment horizontal="center"/>
    </xf>
    <xf numFmtId="0" fontId="41" fillId="3" borderId="28" xfId="29" applyFont="1" applyFill="1" applyBorder="1"/>
    <xf numFmtId="0" fontId="41" fillId="3" borderId="4" xfId="29" applyFont="1" applyFill="1" applyBorder="1"/>
    <xf numFmtId="168" fontId="41" fillId="3" borderId="11" xfId="29" applyNumberFormat="1" applyFont="1" applyFill="1" applyBorder="1" applyAlignment="1"/>
    <xf numFmtId="2" fontId="41" fillId="3" borderId="11" xfId="29" applyNumberFormat="1" applyFont="1" applyFill="1" applyBorder="1" applyAlignment="1">
      <alignment horizontal="center"/>
    </xf>
    <xf numFmtId="2" fontId="41" fillId="3" borderId="29" xfId="29" applyNumberFormat="1" applyFont="1" applyFill="1" applyBorder="1" applyAlignment="1">
      <alignment horizontal="center"/>
    </xf>
    <xf numFmtId="49" fontId="42" fillId="3" borderId="27" xfId="29" applyNumberFormat="1" applyFont="1" applyFill="1" applyBorder="1" applyAlignment="1">
      <alignment horizontal="center"/>
    </xf>
    <xf numFmtId="0" fontId="42" fillId="3" borderId="28" xfId="29" applyFont="1" applyFill="1" applyBorder="1"/>
    <xf numFmtId="0" fontId="42" fillId="3" borderId="4" xfId="29" applyFont="1" applyFill="1" applyBorder="1"/>
    <xf numFmtId="49" fontId="42" fillId="3" borderId="11" xfId="29" applyNumberFormat="1" applyFont="1" applyFill="1" applyBorder="1" applyAlignment="1"/>
    <xf numFmtId="2" fontId="3" fillId="0" borderId="4" xfId="29" applyNumberFormat="1" applyBorder="1"/>
    <xf numFmtId="2" fontId="3" fillId="0" borderId="30" xfId="29" applyNumberFormat="1" applyBorder="1"/>
    <xf numFmtId="2" fontId="3" fillId="0" borderId="11" xfId="29" applyNumberFormat="1" applyBorder="1"/>
    <xf numFmtId="0" fontId="3" fillId="0" borderId="0" xfId="29" applyBorder="1"/>
    <xf numFmtId="49" fontId="39" fillId="3" borderId="27" xfId="29" applyNumberFormat="1" applyFont="1" applyFill="1" applyBorder="1" applyAlignment="1">
      <alignment horizontal="center"/>
    </xf>
    <xf numFmtId="0" fontId="38" fillId="0" borderId="28" xfId="29" applyFont="1" applyBorder="1"/>
    <xf numFmtId="0" fontId="38" fillId="0" borderId="4" xfId="29" applyFont="1" applyBorder="1"/>
    <xf numFmtId="49" fontId="38" fillId="0" borderId="11" xfId="29" applyNumberFormat="1" applyFont="1" applyBorder="1" applyAlignment="1"/>
    <xf numFmtId="168" fontId="38" fillId="0" borderId="11" xfId="29" applyNumberFormat="1" applyFont="1" applyBorder="1" applyAlignment="1"/>
    <xf numFmtId="2" fontId="38" fillId="0" borderId="11" xfId="29" applyNumberFormat="1" applyFont="1" applyBorder="1" applyAlignment="1">
      <alignment horizontal="center"/>
    </xf>
    <xf numFmtId="2" fontId="38" fillId="0" borderId="29" xfId="29" applyNumberFormat="1" applyFont="1" applyBorder="1" applyAlignment="1">
      <alignment horizontal="center"/>
    </xf>
    <xf numFmtId="0" fontId="40" fillId="0" borderId="28" xfId="29" applyFont="1" applyBorder="1"/>
    <xf numFmtId="0" fontId="40" fillId="0" borderId="4" xfId="29" applyFont="1" applyBorder="1"/>
    <xf numFmtId="49" fontId="40" fillId="0" borderId="11" xfId="29" applyNumberFormat="1" applyFont="1" applyBorder="1" applyAlignment="1"/>
    <xf numFmtId="168" fontId="40" fillId="0" borderId="11" xfId="29" applyNumberFormat="1" applyFont="1" applyBorder="1" applyAlignment="1"/>
    <xf numFmtId="2" fontId="40" fillId="0" borderId="11" xfId="29" applyNumberFormat="1" applyFont="1" applyBorder="1" applyAlignment="1">
      <alignment horizontal="center"/>
    </xf>
    <xf numFmtId="3" fontId="40" fillId="0" borderId="11" xfId="29" applyNumberFormat="1" applyFont="1" applyBorder="1" applyAlignment="1"/>
    <xf numFmtId="2" fontId="40" fillId="0" borderId="29" xfId="29" applyNumberFormat="1" applyFont="1" applyBorder="1" applyAlignment="1">
      <alignment horizontal="center"/>
    </xf>
    <xf numFmtId="49" fontId="13" fillId="5" borderId="31" xfId="29" applyNumberFormat="1" applyFont="1" applyFill="1" applyBorder="1" applyAlignment="1">
      <alignment horizontal="center"/>
    </xf>
    <xf numFmtId="0" fontId="13" fillId="5" borderId="32" xfId="29" applyFont="1" applyFill="1" applyBorder="1" applyAlignment="1">
      <alignment horizontal="center"/>
    </xf>
    <xf numFmtId="0" fontId="13" fillId="5" borderId="6" xfId="29" applyFont="1" applyFill="1" applyBorder="1" applyAlignment="1">
      <alignment horizontal="center"/>
    </xf>
    <xf numFmtId="49" fontId="13" fillId="5" borderId="6" xfId="29" applyNumberFormat="1" applyFont="1" applyFill="1" applyBorder="1" applyAlignment="1"/>
    <xf numFmtId="168" fontId="13" fillId="5" borderId="6" xfId="29" applyNumberFormat="1" applyFont="1" applyFill="1" applyBorder="1" applyAlignment="1"/>
    <xf numFmtId="2" fontId="13" fillId="5" borderId="6" xfId="29" applyNumberFormat="1" applyFont="1" applyFill="1" applyBorder="1" applyAlignment="1">
      <alignment horizontal="center"/>
    </xf>
    <xf numFmtId="2" fontId="13" fillId="5" borderId="33" xfId="29" applyNumberFormat="1" applyFont="1" applyFill="1" applyBorder="1" applyAlignment="1">
      <alignment horizontal="center"/>
    </xf>
    <xf numFmtId="4" fontId="38" fillId="3" borderId="29" xfId="29" applyNumberFormat="1" applyFont="1" applyFill="1" applyBorder="1" applyAlignment="1">
      <alignment horizontal="center"/>
    </xf>
    <xf numFmtId="4" fontId="40" fillId="3" borderId="29" xfId="29" applyNumberFormat="1" applyFont="1" applyFill="1" applyBorder="1" applyAlignment="1">
      <alignment horizontal="center"/>
    </xf>
    <xf numFmtId="4" fontId="41" fillId="3" borderId="29" xfId="29" applyNumberFormat="1" applyFont="1" applyFill="1" applyBorder="1" applyAlignment="1">
      <alignment horizontal="center"/>
    </xf>
    <xf numFmtId="168" fontId="38" fillId="3" borderId="4" xfId="29" applyNumberFormat="1" applyFont="1" applyFill="1" applyBorder="1" applyAlignment="1"/>
    <xf numFmtId="168" fontId="38" fillId="6" borderId="11" xfId="29" applyNumberFormat="1" applyFont="1" applyFill="1" applyBorder="1" applyAlignment="1"/>
    <xf numFmtId="49" fontId="3" fillId="3" borderId="27" xfId="29" applyNumberFormat="1" applyFill="1" applyBorder="1" applyAlignment="1">
      <alignment horizontal="center"/>
    </xf>
    <xf numFmtId="0" fontId="3" fillId="3" borderId="28" xfId="29" applyFill="1" applyBorder="1"/>
    <xf numFmtId="0" fontId="3" fillId="3" borderId="4" xfId="29" applyFill="1" applyBorder="1"/>
    <xf numFmtId="49" fontId="3" fillId="3" borderId="11" xfId="29" applyNumberFormat="1" applyFill="1" applyBorder="1" applyAlignment="1"/>
    <xf numFmtId="3" fontId="3" fillId="3" borderId="11" xfId="29" applyNumberFormat="1" applyFill="1" applyBorder="1" applyAlignment="1"/>
    <xf numFmtId="2" fontId="3" fillId="3" borderId="11" xfId="29" applyNumberFormat="1" applyFill="1" applyBorder="1" applyAlignment="1">
      <alignment horizontal="center"/>
    </xf>
    <xf numFmtId="4" fontId="3" fillId="3" borderId="29" xfId="29" applyNumberFormat="1" applyFill="1" applyBorder="1" applyAlignment="1">
      <alignment horizontal="center"/>
    </xf>
    <xf numFmtId="4" fontId="39" fillId="5" borderId="29" xfId="29" applyNumberFormat="1" applyFont="1" applyFill="1" applyBorder="1" applyAlignment="1">
      <alignment horizontal="center"/>
    </xf>
    <xf numFmtId="49" fontId="43" fillId="3" borderId="27" xfId="29" applyNumberFormat="1" applyFont="1" applyFill="1" applyBorder="1" applyAlignment="1">
      <alignment horizontal="center"/>
    </xf>
    <xf numFmtId="0" fontId="43" fillId="0" borderId="28" xfId="29" applyFont="1" applyBorder="1"/>
    <xf numFmtId="0" fontId="43" fillId="0" borderId="4" xfId="29" applyFont="1" applyBorder="1"/>
    <xf numFmtId="168" fontId="43" fillId="0" borderId="11" xfId="29" applyNumberFormat="1" applyFont="1" applyBorder="1" applyAlignment="1"/>
    <xf numFmtId="2" fontId="43" fillId="0" borderId="11" xfId="29" applyNumberFormat="1" applyFont="1" applyBorder="1" applyAlignment="1">
      <alignment horizontal="center"/>
    </xf>
    <xf numFmtId="4" fontId="43" fillId="0" borderId="29" xfId="29" applyNumberFormat="1" applyFont="1" applyBorder="1" applyAlignment="1">
      <alignment horizontal="center"/>
    </xf>
    <xf numFmtId="49" fontId="38" fillId="3" borderId="11" xfId="29" quotePrefix="1" applyNumberFormat="1" applyFont="1" applyFill="1" applyBorder="1" applyAlignment="1">
      <alignment horizontal="center"/>
    </xf>
    <xf numFmtId="49" fontId="40" fillId="3" borderId="11" xfId="29" applyNumberFormat="1" applyFont="1" applyFill="1" applyBorder="1" applyAlignment="1">
      <alignment horizontal="center"/>
    </xf>
    <xf numFmtId="49" fontId="3" fillId="0" borderId="34" xfId="29" applyNumberFormat="1" applyBorder="1" applyAlignment="1">
      <alignment horizontal="center"/>
    </xf>
    <xf numFmtId="0" fontId="3" fillId="3" borderId="35" xfId="29" applyFill="1" applyBorder="1"/>
    <xf numFmtId="0" fontId="3" fillId="3" borderId="5" xfId="29" applyFill="1" applyBorder="1"/>
    <xf numFmtId="49" fontId="3" fillId="3" borderId="10" xfId="29" applyNumberFormat="1" applyFill="1" applyBorder="1" applyAlignment="1"/>
    <xf numFmtId="3" fontId="3" fillId="3" borderId="10" xfId="29" applyNumberFormat="1" applyFill="1" applyBorder="1" applyAlignment="1"/>
    <xf numFmtId="2" fontId="3" fillId="3" borderId="10" xfId="29" applyNumberFormat="1" applyFill="1" applyBorder="1" applyAlignment="1">
      <alignment horizontal="center"/>
    </xf>
    <xf numFmtId="4" fontId="3" fillId="3" borderId="36" xfId="29" applyNumberFormat="1" applyFill="1" applyBorder="1" applyAlignment="1">
      <alignment horizontal="center"/>
    </xf>
    <xf numFmtId="49" fontId="13" fillId="7" borderId="31" xfId="29" applyNumberFormat="1" applyFont="1" applyFill="1" applyBorder="1" applyAlignment="1">
      <alignment horizontal="center"/>
    </xf>
    <xf numFmtId="0" fontId="13" fillId="7" borderId="32" xfId="29" applyFont="1" applyFill="1" applyBorder="1" applyAlignment="1">
      <alignment horizontal="center"/>
    </xf>
    <xf numFmtId="0" fontId="13" fillId="7" borderId="6" xfId="29" applyFont="1" applyFill="1" applyBorder="1" applyAlignment="1">
      <alignment horizontal="center"/>
    </xf>
    <xf numFmtId="49" fontId="13" fillId="7" borderId="6" xfId="29" applyNumberFormat="1" applyFont="1" applyFill="1" applyBorder="1" applyAlignment="1"/>
    <xf numFmtId="168" fontId="13" fillId="7" borderId="6" xfId="29" applyNumberFormat="1" applyFont="1" applyFill="1" applyBorder="1" applyAlignment="1"/>
    <xf numFmtId="2" fontId="13" fillId="7" borderId="6" xfId="29" applyNumberFormat="1" applyFont="1" applyFill="1" applyBorder="1" applyAlignment="1">
      <alignment horizontal="center"/>
    </xf>
    <xf numFmtId="4" fontId="13" fillId="7" borderId="33" xfId="29" applyNumberFormat="1" applyFont="1" applyFill="1" applyBorder="1" applyAlignment="1">
      <alignment horizontal="center"/>
    </xf>
    <xf numFmtId="2" fontId="13" fillId="7" borderId="9" xfId="29" applyNumberFormat="1" applyFont="1" applyFill="1" applyBorder="1" applyAlignment="1">
      <alignment horizontal="center"/>
    </xf>
    <xf numFmtId="49" fontId="37" fillId="8" borderId="37" xfId="29" applyNumberFormat="1" applyFont="1" applyFill="1" applyBorder="1" applyAlignment="1">
      <alignment horizontal="centerContinuous"/>
    </xf>
    <xf numFmtId="49" fontId="37" fillId="8" borderId="38" xfId="29" applyNumberFormat="1" applyFont="1" applyFill="1" applyBorder="1" applyAlignment="1">
      <alignment horizontal="center"/>
    </xf>
    <xf numFmtId="49" fontId="37" fillId="8" borderId="39" xfId="29" applyNumberFormat="1" applyFont="1" applyFill="1" applyBorder="1" applyAlignment="1">
      <alignment horizontal="center"/>
    </xf>
    <xf numFmtId="49" fontId="37" fillId="8" borderId="21" xfId="29" applyNumberFormat="1" applyFont="1" applyFill="1" applyBorder="1" applyAlignment="1"/>
    <xf numFmtId="2" fontId="37" fillId="8" borderId="21" xfId="29" applyNumberFormat="1" applyFont="1" applyFill="1" applyBorder="1" applyAlignment="1">
      <alignment horizontal="center"/>
    </xf>
    <xf numFmtId="4" fontId="37" fillId="8" borderId="22" xfId="29" applyNumberFormat="1" applyFont="1" applyFill="1" applyBorder="1" applyAlignment="1">
      <alignment horizontal="center"/>
    </xf>
    <xf numFmtId="2" fontId="37" fillId="8" borderId="10" xfId="29" applyNumberFormat="1" applyFont="1" applyFill="1" applyBorder="1" applyAlignment="1">
      <alignment horizontal="center"/>
    </xf>
    <xf numFmtId="49" fontId="13" fillId="7" borderId="40" xfId="29" applyNumberFormat="1" applyFont="1" applyFill="1" applyBorder="1" applyAlignment="1">
      <alignment horizontal="center"/>
    </xf>
    <xf numFmtId="0" fontId="13" fillId="7" borderId="35" xfId="29" applyFont="1" applyFill="1" applyBorder="1" applyAlignment="1">
      <alignment horizontal="center"/>
    </xf>
    <xf numFmtId="0" fontId="13" fillId="7" borderId="5" xfId="29" applyFont="1" applyFill="1" applyBorder="1" applyAlignment="1">
      <alignment horizontal="center"/>
    </xf>
    <xf numFmtId="49" fontId="13" fillId="7" borderId="5" xfId="29" applyNumberFormat="1" applyFont="1" applyFill="1" applyBorder="1" applyAlignment="1"/>
    <xf numFmtId="168" fontId="13" fillId="7" borderId="5" xfId="29" applyNumberFormat="1" applyFont="1" applyFill="1" applyBorder="1" applyAlignment="1"/>
    <xf numFmtId="168" fontId="13" fillId="7" borderId="5" xfId="29" applyNumberFormat="1" applyFont="1" applyFill="1" applyBorder="1" applyAlignment="1">
      <alignment horizontal="center"/>
    </xf>
    <xf numFmtId="4" fontId="13" fillId="7" borderId="5" xfId="29" applyNumberFormat="1" applyFont="1" applyFill="1" applyBorder="1" applyAlignment="1">
      <alignment horizontal="center"/>
    </xf>
    <xf numFmtId="49" fontId="35" fillId="8" borderId="41" xfId="29" applyNumberFormat="1" applyFont="1" applyFill="1" applyBorder="1" applyAlignment="1">
      <alignment horizontal="center"/>
    </xf>
    <xf numFmtId="0" fontId="35" fillId="8" borderId="28" xfId="29" applyFont="1" applyFill="1" applyBorder="1"/>
    <xf numFmtId="0" fontId="35" fillId="8" borderId="4" xfId="29" applyFont="1" applyFill="1" applyBorder="1"/>
    <xf numFmtId="49" fontId="35" fillId="8" borderId="11" xfId="29" applyNumberFormat="1" applyFont="1" applyFill="1" applyBorder="1" applyAlignment="1"/>
    <xf numFmtId="168" fontId="35" fillId="8" borderId="11" xfId="29" applyNumberFormat="1" applyFont="1" applyFill="1" applyBorder="1" applyAlignment="1"/>
    <xf numFmtId="168" fontId="35" fillId="8" borderId="11" xfId="29" applyNumberFormat="1" applyFont="1" applyFill="1" applyBorder="1" applyAlignment="1">
      <alignment horizontal="center"/>
    </xf>
    <xf numFmtId="4" fontId="35" fillId="8" borderId="11" xfId="29" applyNumberFormat="1" applyFont="1" applyFill="1" applyBorder="1" applyAlignment="1">
      <alignment horizontal="center"/>
    </xf>
    <xf numFmtId="49" fontId="38" fillId="3" borderId="41" xfId="29" applyNumberFormat="1" applyFont="1" applyFill="1" applyBorder="1" applyAlignment="1">
      <alignment horizontal="center"/>
    </xf>
    <xf numFmtId="168" fontId="38" fillId="3" borderId="11" xfId="29" applyNumberFormat="1" applyFont="1" applyFill="1" applyBorder="1" applyAlignment="1">
      <alignment horizontal="center"/>
    </xf>
    <xf numFmtId="4" fontId="38" fillId="3" borderId="11" xfId="29" applyNumberFormat="1" applyFont="1" applyFill="1" applyBorder="1" applyAlignment="1">
      <alignment horizontal="center"/>
    </xf>
    <xf numFmtId="49" fontId="40" fillId="3" borderId="41" xfId="29" applyNumberFormat="1" applyFont="1" applyFill="1" applyBorder="1" applyAlignment="1">
      <alignment horizontal="center"/>
    </xf>
    <xf numFmtId="168" fontId="40" fillId="3" borderId="11" xfId="29" applyNumberFormat="1" applyFont="1" applyFill="1" applyBorder="1" applyAlignment="1">
      <alignment horizontal="center"/>
    </xf>
    <xf numFmtId="4" fontId="40" fillId="3" borderId="11" xfId="29" applyNumberFormat="1" applyFont="1" applyFill="1" applyBorder="1" applyAlignment="1">
      <alignment horizontal="center"/>
    </xf>
    <xf numFmtId="0" fontId="11" fillId="3" borderId="42" xfId="29" applyFont="1" applyFill="1" applyBorder="1"/>
    <xf numFmtId="49" fontId="41" fillId="3" borderId="41" xfId="29" applyNumberFormat="1" applyFont="1" applyFill="1" applyBorder="1" applyAlignment="1">
      <alignment horizontal="center"/>
    </xf>
    <xf numFmtId="168" fontId="41" fillId="3" borderId="11" xfId="29" applyNumberFormat="1" applyFont="1" applyFill="1" applyBorder="1" applyAlignment="1">
      <alignment horizontal="center"/>
    </xf>
    <xf numFmtId="4" fontId="41" fillId="3" borderId="11" xfId="29" applyNumberFormat="1" applyFont="1" applyFill="1" applyBorder="1" applyAlignment="1">
      <alignment horizontal="center"/>
    </xf>
    <xf numFmtId="0" fontId="41" fillId="3" borderId="28" xfId="29" quotePrefix="1" applyFont="1" applyFill="1" applyBorder="1" applyAlignment="1">
      <alignment horizontal="left"/>
    </xf>
    <xf numFmtId="49" fontId="38" fillId="0" borderId="41" xfId="29" applyNumberFormat="1" applyFont="1" applyBorder="1" applyAlignment="1">
      <alignment horizontal="center"/>
    </xf>
    <xf numFmtId="49" fontId="13" fillId="7" borderId="43" xfId="29" applyNumberFormat="1" applyFont="1" applyFill="1" applyBorder="1" applyAlignment="1">
      <alignment horizontal="center"/>
    </xf>
    <xf numFmtId="49" fontId="13" fillId="7" borderId="44" xfId="29" applyNumberFormat="1" applyFont="1" applyFill="1" applyBorder="1" applyAlignment="1">
      <alignment horizontal="center"/>
    </xf>
    <xf numFmtId="49" fontId="13" fillId="7" borderId="12" xfId="29" applyNumberFormat="1" applyFont="1" applyFill="1" applyBorder="1" applyAlignment="1">
      <alignment horizontal="center"/>
    </xf>
    <xf numFmtId="168" fontId="13" fillId="7" borderId="6" xfId="29" applyNumberFormat="1" applyFont="1" applyFill="1" applyBorder="1" applyAlignment="1">
      <alignment horizontal="center"/>
    </xf>
    <xf numFmtId="4" fontId="13" fillId="7" borderId="6" xfId="29" applyNumberFormat="1" applyFont="1" applyFill="1" applyBorder="1" applyAlignment="1">
      <alignment horizontal="center"/>
    </xf>
    <xf numFmtId="49" fontId="14" fillId="0" borderId="41" xfId="29" applyNumberFormat="1" applyFont="1" applyBorder="1" applyAlignment="1">
      <alignment horizontal="center"/>
    </xf>
    <xf numFmtId="0" fontId="14" fillId="0" borderId="28" xfId="29" applyFont="1" applyBorder="1"/>
    <xf numFmtId="0" fontId="14" fillId="0" borderId="0" xfId="29" applyFont="1" applyBorder="1"/>
    <xf numFmtId="49" fontId="14" fillId="0" borderId="0" xfId="29" applyNumberFormat="1" applyFont="1" applyBorder="1" applyAlignment="1"/>
    <xf numFmtId="4" fontId="14" fillId="0" borderId="11" xfId="29" applyNumberFormat="1" applyFont="1" applyBorder="1" applyAlignment="1">
      <alignment horizontal="center"/>
    </xf>
    <xf numFmtId="49" fontId="13" fillId="9" borderId="43" xfId="29" applyNumberFormat="1" applyFont="1" applyFill="1" applyBorder="1" applyAlignment="1">
      <alignment horizontal="center"/>
    </xf>
    <xf numFmtId="49" fontId="13" fillId="9" borderId="44" xfId="29" applyNumberFormat="1" applyFont="1" applyFill="1" applyBorder="1" applyAlignment="1">
      <alignment horizontal="center"/>
    </xf>
    <xf numFmtId="49" fontId="13" fillId="9" borderId="12" xfId="29" applyNumberFormat="1" applyFont="1" applyFill="1" applyBorder="1" applyAlignment="1">
      <alignment horizontal="center"/>
    </xf>
    <xf numFmtId="49" fontId="13" fillId="9" borderId="6" xfId="29" applyNumberFormat="1" applyFont="1" applyFill="1" applyBorder="1" applyAlignment="1"/>
    <xf numFmtId="168" fontId="13" fillId="9" borderId="6" xfId="29" applyNumberFormat="1" applyFont="1" applyFill="1" applyBorder="1" applyAlignment="1"/>
    <xf numFmtId="4" fontId="13" fillId="9" borderId="6" xfId="29" applyNumberFormat="1" applyFont="1" applyFill="1" applyBorder="1" applyAlignment="1">
      <alignment horizontal="center"/>
    </xf>
    <xf numFmtId="49" fontId="45" fillId="0" borderId="41" xfId="29" applyNumberFormat="1" applyFont="1" applyBorder="1" applyAlignment="1">
      <alignment horizontal="center"/>
    </xf>
    <xf numFmtId="0" fontId="46" fillId="0" borderId="28" xfId="29" applyFont="1" applyBorder="1"/>
    <xf numFmtId="0" fontId="46" fillId="0" borderId="4" xfId="29" applyFont="1" applyBorder="1"/>
    <xf numFmtId="49" fontId="45" fillId="0" borderId="11" xfId="29" applyNumberFormat="1" applyFont="1" applyBorder="1" applyAlignment="1"/>
    <xf numFmtId="168" fontId="45" fillId="0" borderId="11" xfId="29" applyNumberFormat="1" applyFont="1" applyBorder="1" applyAlignment="1"/>
    <xf numFmtId="168" fontId="45" fillId="0" borderId="11" xfId="29" applyNumberFormat="1" applyFont="1" applyBorder="1" applyAlignment="1">
      <alignment horizontal="center"/>
    </xf>
    <xf numFmtId="4" fontId="45" fillId="0" borderId="11" xfId="29" applyNumberFormat="1" applyFont="1" applyBorder="1" applyAlignment="1">
      <alignment horizontal="center"/>
    </xf>
    <xf numFmtId="49" fontId="35" fillId="10" borderId="41" xfId="29" applyNumberFormat="1" applyFont="1" applyFill="1" applyBorder="1" applyAlignment="1">
      <alignment horizontal="center"/>
    </xf>
    <xf numFmtId="0" fontId="35" fillId="10" borderId="28" xfId="29" applyFont="1" applyFill="1" applyBorder="1"/>
    <xf numFmtId="0" fontId="35" fillId="10" borderId="4" xfId="29" applyFont="1" applyFill="1" applyBorder="1"/>
    <xf numFmtId="49" fontId="35" fillId="10" borderId="11" xfId="29" applyNumberFormat="1" applyFont="1" applyFill="1" applyBorder="1" applyAlignment="1"/>
    <xf numFmtId="168" fontId="35" fillId="10" borderId="11" xfId="29" applyNumberFormat="1" applyFont="1" applyFill="1" applyBorder="1" applyAlignment="1"/>
    <xf numFmtId="168" fontId="35" fillId="10" borderId="11" xfId="29" applyNumberFormat="1" applyFont="1" applyFill="1" applyBorder="1" applyAlignment="1">
      <alignment horizontal="center"/>
    </xf>
    <xf numFmtId="3" fontId="35" fillId="10" borderId="11" xfId="29" applyNumberFormat="1" applyFont="1" applyFill="1" applyBorder="1" applyAlignment="1"/>
    <xf numFmtId="4" fontId="35" fillId="10" borderId="11" xfId="29" applyNumberFormat="1" applyFont="1" applyFill="1" applyBorder="1" applyAlignment="1">
      <alignment horizontal="center"/>
    </xf>
    <xf numFmtId="49" fontId="47" fillId="3" borderId="41" xfId="29" applyNumberFormat="1" applyFont="1" applyFill="1" applyBorder="1" applyAlignment="1">
      <alignment horizontal="center"/>
    </xf>
    <xf numFmtId="0" fontId="47" fillId="3" borderId="28" xfId="29" applyFont="1" applyFill="1" applyBorder="1"/>
    <xf numFmtId="0" fontId="47" fillId="3" borderId="4" xfId="29" applyFont="1" applyFill="1" applyBorder="1"/>
    <xf numFmtId="49" fontId="47" fillId="3" borderId="11" xfId="29" applyNumberFormat="1" applyFont="1" applyFill="1" applyBorder="1" applyAlignment="1"/>
    <xf numFmtId="168" fontId="47" fillId="3" borderId="11" xfId="29" applyNumberFormat="1" applyFont="1" applyFill="1" applyBorder="1" applyAlignment="1"/>
    <xf numFmtId="168" fontId="47" fillId="3" borderId="11" xfId="29" applyNumberFormat="1" applyFont="1" applyFill="1" applyBorder="1" applyAlignment="1">
      <alignment horizontal="center"/>
    </xf>
    <xf numFmtId="4" fontId="47" fillId="3" borderId="11" xfId="29" applyNumberFormat="1" applyFont="1" applyFill="1" applyBorder="1" applyAlignment="1">
      <alignment horizontal="center"/>
    </xf>
    <xf numFmtId="49" fontId="48" fillId="3" borderId="41" xfId="29" applyNumberFormat="1" applyFont="1" applyFill="1" applyBorder="1" applyAlignment="1">
      <alignment horizontal="center"/>
    </xf>
    <xf numFmtId="49" fontId="48" fillId="3" borderId="11" xfId="29" applyNumberFormat="1" applyFont="1" applyFill="1" applyBorder="1" applyAlignment="1"/>
    <xf numFmtId="168" fontId="48" fillId="3" borderId="11" xfId="29" applyNumberFormat="1" applyFont="1" applyFill="1" applyBorder="1" applyAlignment="1"/>
    <xf numFmtId="168" fontId="9" fillId="3" borderId="11" xfId="29" applyNumberFormat="1" applyFont="1" applyFill="1" applyBorder="1" applyAlignment="1">
      <alignment horizontal="center"/>
    </xf>
    <xf numFmtId="4" fontId="9" fillId="3" borderId="11" xfId="29" applyNumberFormat="1" applyFont="1" applyFill="1" applyBorder="1" applyAlignment="1">
      <alignment horizontal="center"/>
    </xf>
    <xf numFmtId="49" fontId="49" fillId="3" borderId="41" xfId="29" applyNumberFormat="1" applyFont="1" applyFill="1" applyBorder="1" applyAlignment="1">
      <alignment horizontal="center"/>
    </xf>
    <xf numFmtId="0" fontId="42" fillId="3" borderId="11" xfId="29" applyFont="1" applyFill="1" applyBorder="1"/>
    <xf numFmtId="49" fontId="50" fillId="3" borderId="41" xfId="29" applyNumberFormat="1" applyFont="1" applyFill="1" applyBorder="1" applyAlignment="1">
      <alignment horizontal="center"/>
    </xf>
    <xf numFmtId="0" fontId="40" fillId="3" borderId="11" xfId="29" applyFont="1" applyFill="1" applyBorder="1"/>
    <xf numFmtId="168" fontId="50" fillId="3" borderId="11" xfId="29" applyNumberFormat="1" applyFont="1" applyFill="1" applyBorder="1" applyAlignment="1">
      <alignment horizontal="center"/>
    </xf>
    <xf numFmtId="4" fontId="50" fillId="3" borderId="11" xfId="29" applyNumberFormat="1" applyFont="1" applyFill="1" applyBorder="1" applyAlignment="1">
      <alignment horizontal="center"/>
    </xf>
    <xf numFmtId="2" fontId="42" fillId="3" borderId="11" xfId="29" applyNumberFormat="1" applyFont="1" applyFill="1" applyBorder="1"/>
    <xf numFmtId="49" fontId="51" fillId="3" borderId="11" xfId="29" quotePrefix="1" applyNumberFormat="1" applyFont="1" applyFill="1" applyBorder="1" applyAlignment="1">
      <alignment horizontal="center"/>
    </xf>
    <xf numFmtId="168" fontId="11" fillId="3" borderId="11" xfId="29" applyNumberFormat="1" applyFont="1" applyFill="1" applyBorder="1" applyAlignment="1">
      <alignment horizontal="center"/>
    </xf>
    <xf numFmtId="49" fontId="45" fillId="3" borderId="41" xfId="29" applyNumberFormat="1" applyFont="1" applyFill="1" applyBorder="1" applyAlignment="1">
      <alignment horizontal="center"/>
    </xf>
    <xf numFmtId="0" fontId="45" fillId="3" borderId="28" xfId="29" applyFont="1" applyFill="1" applyBorder="1"/>
    <xf numFmtId="0" fontId="45" fillId="3" borderId="4" xfId="29" applyFont="1" applyFill="1" applyBorder="1"/>
    <xf numFmtId="49" fontId="45" fillId="3" borderId="11" xfId="29" applyNumberFormat="1" applyFont="1" applyFill="1" applyBorder="1" applyAlignment="1"/>
    <xf numFmtId="168" fontId="45" fillId="3" borderId="11" xfId="29" applyNumberFormat="1" applyFont="1" applyFill="1" applyBorder="1" applyAlignment="1"/>
    <xf numFmtId="168" fontId="45" fillId="3" borderId="11" xfId="29" applyNumberFormat="1" applyFont="1" applyFill="1" applyBorder="1" applyAlignment="1">
      <alignment horizontal="center"/>
    </xf>
    <xf numFmtId="4" fontId="45" fillId="3" borderId="11" xfId="29" applyNumberFormat="1" applyFont="1" applyFill="1" applyBorder="1" applyAlignment="1">
      <alignment horizontal="center"/>
    </xf>
    <xf numFmtId="49" fontId="42" fillId="3" borderId="41" xfId="29" applyNumberFormat="1" applyFont="1" applyFill="1" applyBorder="1" applyAlignment="1">
      <alignment horizontal="center"/>
    </xf>
    <xf numFmtId="168" fontId="42" fillId="3" borderId="11" xfId="29" applyNumberFormat="1" applyFont="1" applyFill="1" applyBorder="1" applyAlignment="1"/>
    <xf numFmtId="168" fontId="42" fillId="3" borderId="11" xfId="29" applyNumberFormat="1" applyFont="1" applyFill="1" applyBorder="1" applyAlignment="1">
      <alignment horizontal="center"/>
    </xf>
    <xf numFmtId="3" fontId="42" fillId="3" borderId="11" xfId="29" applyNumberFormat="1" applyFont="1" applyFill="1" applyBorder="1" applyAlignment="1"/>
    <xf numFmtId="4" fontId="42" fillId="3" borderId="11" xfId="29" applyNumberFormat="1" applyFont="1" applyFill="1" applyBorder="1" applyAlignment="1">
      <alignment horizontal="center"/>
    </xf>
    <xf numFmtId="168" fontId="13" fillId="9" borderId="6" xfId="29" applyNumberFormat="1" applyFont="1" applyFill="1" applyBorder="1" applyAlignment="1">
      <alignment horizontal="center"/>
    </xf>
    <xf numFmtId="49" fontId="40" fillId="0" borderId="41" xfId="29" applyNumberFormat="1" applyFont="1" applyBorder="1" applyAlignment="1">
      <alignment horizontal="center"/>
    </xf>
    <xf numFmtId="168" fontId="40" fillId="0" borderId="11" xfId="29" applyNumberFormat="1" applyFont="1" applyBorder="1" applyAlignment="1">
      <alignment horizontal="center"/>
    </xf>
    <xf numFmtId="4" fontId="40" fillId="0" borderId="11" xfId="29" applyNumberFormat="1" applyFont="1" applyBorder="1" applyAlignment="1">
      <alignment horizontal="center"/>
    </xf>
    <xf numFmtId="49" fontId="52" fillId="11" borderId="43" xfId="29" applyNumberFormat="1" applyFont="1" applyFill="1" applyBorder="1" applyAlignment="1">
      <alignment horizontal="center"/>
    </xf>
    <xf numFmtId="0" fontId="52" fillId="11" borderId="32" xfId="29" applyFont="1" applyFill="1" applyBorder="1" applyAlignment="1">
      <alignment horizontal="center"/>
    </xf>
    <xf numFmtId="0" fontId="52" fillId="11" borderId="6" xfId="29" applyFont="1" applyFill="1" applyBorder="1" applyAlignment="1">
      <alignment horizontal="center"/>
    </xf>
    <xf numFmtId="49" fontId="52" fillId="11" borderId="9" xfId="29" applyNumberFormat="1" applyFont="1" applyFill="1" applyBorder="1" applyAlignment="1"/>
    <xf numFmtId="168" fontId="52" fillId="11" borderId="9" xfId="29" applyNumberFormat="1" applyFont="1" applyFill="1" applyBorder="1" applyAlignment="1"/>
    <xf numFmtId="168" fontId="52" fillId="11" borderId="9" xfId="29" applyNumberFormat="1" applyFont="1" applyFill="1" applyBorder="1" applyAlignment="1">
      <alignment horizontal="center"/>
    </xf>
    <xf numFmtId="4" fontId="52" fillId="11" borderId="9" xfId="29" applyNumberFormat="1" applyFont="1" applyFill="1" applyBorder="1" applyAlignment="1">
      <alignment horizontal="center"/>
    </xf>
    <xf numFmtId="0" fontId="45" fillId="3" borderId="45" xfId="29" applyFont="1" applyFill="1" applyBorder="1" applyAlignment="1">
      <alignment horizontal="center"/>
    </xf>
    <xf numFmtId="0" fontId="39" fillId="3" borderId="2" xfId="29" applyFont="1" applyFill="1" applyBorder="1"/>
    <xf numFmtId="49" fontId="45" fillId="3" borderId="2" xfId="29" applyNumberFormat="1" applyFont="1" applyFill="1" applyBorder="1" applyAlignment="1"/>
    <xf numFmtId="0" fontId="45" fillId="3" borderId="2" xfId="29" applyFont="1" applyFill="1" applyBorder="1"/>
    <xf numFmtId="0" fontId="45" fillId="3" borderId="2" xfId="29" applyFont="1" applyFill="1" applyBorder="1" applyAlignment="1">
      <alignment horizontal="center"/>
    </xf>
    <xf numFmtId="4" fontId="45" fillId="3" borderId="2" xfId="29" applyNumberFormat="1" applyFont="1" applyFill="1" applyBorder="1" applyAlignment="1">
      <alignment horizontal="center"/>
    </xf>
    <xf numFmtId="0" fontId="45" fillId="3" borderId="41" xfId="29" applyFont="1" applyFill="1" applyBorder="1" applyAlignment="1">
      <alignment horizontal="center"/>
    </xf>
    <xf numFmtId="0" fontId="39" fillId="3" borderId="11" xfId="29" applyFont="1" applyFill="1" applyBorder="1"/>
    <xf numFmtId="0" fontId="45" fillId="3" borderId="11" xfId="29" applyFont="1" applyFill="1" applyBorder="1"/>
    <xf numFmtId="0" fontId="45" fillId="3" borderId="11" xfId="29" applyFont="1" applyFill="1" applyBorder="1" applyAlignment="1">
      <alignment horizontal="center"/>
    </xf>
    <xf numFmtId="0" fontId="45" fillId="3" borderId="40" xfId="29" applyFont="1" applyFill="1" applyBorder="1" applyAlignment="1">
      <alignment horizontal="center"/>
    </xf>
    <xf numFmtId="0" fontId="39" fillId="3" borderId="10" xfId="29" applyFont="1" applyFill="1" applyBorder="1"/>
    <xf numFmtId="49" fontId="45" fillId="3" borderId="10" xfId="29" applyNumberFormat="1" applyFont="1" applyFill="1" applyBorder="1" applyAlignment="1"/>
    <xf numFmtId="0" fontId="45" fillId="3" borderId="10" xfId="29" applyFont="1" applyFill="1" applyBorder="1"/>
    <xf numFmtId="0" fontId="45" fillId="3" borderId="10" xfId="29" applyFont="1" applyFill="1" applyBorder="1" applyAlignment="1">
      <alignment horizontal="center"/>
    </xf>
    <xf numFmtId="4" fontId="45" fillId="3" borderId="10" xfId="29" applyNumberFormat="1" applyFont="1" applyFill="1" applyBorder="1" applyAlignment="1">
      <alignment horizontal="center"/>
    </xf>
    <xf numFmtId="0" fontId="3" fillId="0" borderId="0" xfId="29" applyFont="1"/>
    <xf numFmtId="0" fontId="22" fillId="0" borderId="0" xfId="33" applyFont="1"/>
    <xf numFmtId="0" fontId="22" fillId="0" borderId="0" xfId="29" applyFont="1"/>
    <xf numFmtId="0" fontId="0" fillId="0" borderId="0" xfId="0" applyAlignment="1" applyProtection="1">
      <alignment horizontal="center" vertical="center"/>
      <protection locked="0"/>
    </xf>
    <xf numFmtId="9" fontId="0" fillId="0" borderId="0" xfId="0" applyNumberFormat="1" applyFill="1" applyAlignment="1" applyProtection="1">
      <alignment horizontal="center" vertical="center"/>
      <protection locked="0"/>
    </xf>
    <xf numFmtId="0" fontId="55" fillId="0" borderId="0" xfId="33" applyFont="1"/>
    <xf numFmtId="0" fontId="15" fillId="0" borderId="0" xfId="33" applyFont="1" applyAlignment="1">
      <alignment horizontal="center"/>
    </xf>
    <xf numFmtId="17" fontId="15" fillId="2" borderId="18" xfId="33" applyNumberFormat="1" applyFont="1" applyFill="1" applyBorder="1" applyAlignment="1">
      <alignment vertical="center"/>
    </xf>
    <xf numFmtId="0" fontId="22" fillId="0" borderId="46" xfId="0" applyFont="1" applyBorder="1" applyAlignment="1">
      <alignment vertical="center"/>
    </xf>
    <xf numFmtId="0" fontId="22" fillId="0" borderId="0" xfId="33" applyFont="1" applyBorder="1"/>
    <xf numFmtId="0" fontId="54" fillId="0" borderId="0" xfId="33" applyFont="1" applyAlignment="1">
      <alignment horizontal="center"/>
    </xf>
    <xf numFmtId="0" fontId="56" fillId="12" borderId="47" xfId="33" applyFont="1" applyFill="1" applyBorder="1" applyAlignment="1">
      <alignment horizontal="center"/>
    </xf>
    <xf numFmtId="0" fontId="56" fillId="12" borderId="48" xfId="33" applyFont="1" applyFill="1" applyBorder="1" applyAlignment="1">
      <alignment horizontal="left"/>
    </xf>
    <xf numFmtId="172" fontId="56" fillId="13" borderId="48" xfId="5" applyNumberFormat="1" applyFont="1" applyFill="1" applyBorder="1"/>
    <xf numFmtId="0" fontId="22" fillId="0" borderId="49" xfId="33" applyFont="1" applyBorder="1" applyAlignment="1">
      <alignment horizontal="center"/>
    </xf>
    <xf numFmtId="0" fontId="22" fillId="0" borderId="11" xfId="33" applyFont="1" applyBorder="1"/>
    <xf numFmtId="0" fontId="57" fillId="3" borderId="0" xfId="33" applyFont="1" applyFill="1" applyAlignment="1">
      <alignment horizontal="center"/>
    </xf>
    <xf numFmtId="0" fontId="56" fillId="14" borderId="50" xfId="33" applyFont="1" applyFill="1" applyBorder="1" applyAlignment="1">
      <alignment horizontal="center"/>
    </xf>
    <xf numFmtId="0" fontId="56" fillId="14" borderId="9" xfId="33" applyFont="1" applyFill="1" applyBorder="1" applyAlignment="1">
      <alignment horizontal="center"/>
    </xf>
    <xf numFmtId="172" fontId="56" fillId="14" borderId="9" xfId="5" applyNumberFormat="1" applyFont="1" applyFill="1" applyBorder="1" applyAlignment="1"/>
    <xf numFmtId="0" fontId="58" fillId="15" borderId="50" xfId="33" applyFont="1" applyFill="1" applyBorder="1" applyAlignment="1">
      <alignment horizontal="center"/>
    </xf>
    <xf numFmtId="0" fontId="58" fillId="15" borderId="9" xfId="33" applyFont="1" applyFill="1" applyBorder="1"/>
    <xf numFmtId="172" fontId="58" fillId="15" borderId="9" xfId="5" applyNumberFormat="1" applyFont="1" applyFill="1" applyBorder="1"/>
    <xf numFmtId="0" fontId="22" fillId="16" borderId="49" xfId="33" applyFont="1" applyFill="1" applyBorder="1" applyAlignment="1">
      <alignment horizontal="center"/>
    </xf>
    <xf numFmtId="172" fontId="22" fillId="0" borderId="11" xfId="5" applyNumberFormat="1" applyFont="1" applyBorder="1" applyAlignment="1">
      <alignment horizontal="right"/>
    </xf>
    <xf numFmtId="0" fontId="55" fillId="0" borderId="0" xfId="33" applyFont="1" applyAlignment="1">
      <alignment horizontal="center"/>
    </xf>
    <xf numFmtId="0" fontId="24" fillId="16" borderId="49" xfId="33" applyFont="1" applyFill="1" applyBorder="1" applyAlignment="1">
      <alignment horizontal="center"/>
    </xf>
    <xf numFmtId="0" fontId="24" fillId="0" borderId="11" xfId="33" applyFont="1" applyBorder="1" applyAlignment="1">
      <alignment horizontal="left"/>
    </xf>
    <xf numFmtId="172" fontId="24" fillId="0" borderId="11" xfId="5" quotePrefix="1" applyNumberFormat="1" applyFont="1" applyBorder="1" applyAlignment="1">
      <alignment horizontal="right"/>
    </xf>
    <xf numFmtId="0" fontId="24" fillId="0" borderId="11" xfId="33" applyFont="1" applyBorder="1"/>
    <xf numFmtId="0" fontId="24" fillId="0" borderId="49" xfId="33" applyFont="1" applyBorder="1" applyAlignment="1">
      <alignment horizontal="center"/>
    </xf>
    <xf numFmtId="172" fontId="58" fillId="15" borderId="9" xfId="5" applyNumberFormat="1" applyFont="1" applyFill="1" applyBorder="1" applyAlignment="1">
      <alignment horizontal="right"/>
    </xf>
    <xf numFmtId="172" fontId="24" fillId="0" borderId="11" xfId="5" applyNumberFormat="1" applyFont="1" applyBorder="1" applyAlignment="1">
      <alignment horizontal="right"/>
    </xf>
    <xf numFmtId="0" fontId="24" fillId="2" borderId="49" xfId="33" applyFont="1" applyFill="1" applyBorder="1" applyAlignment="1">
      <alignment horizontal="center"/>
    </xf>
    <xf numFmtId="0" fontId="22" fillId="2" borderId="49" xfId="33" applyFont="1" applyFill="1" applyBorder="1" applyAlignment="1">
      <alignment horizontal="center"/>
    </xf>
    <xf numFmtId="0" fontId="60" fillId="0" borderId="0" xfId="33" applyFont="1" applyAlignment="1">
      <alignment horizontal="center"/>
    </xf>
    <xf numFmtId="172" fontId="15" fillId="2" borderId="6" xfId="5" applyNumberFormat="1" applyFont="1" applyFill="1" applyBorder="1" applyAlignment="1">
      <alignment horizontal="right"/>
    </xf>
    <xf numFmtId="0" fontId="24" fillId="16" borderId="51" xfId="33" applyFont="1" applyFill="1" applyBorder="1" applyAlignment="1">
      <alignment horizontal="center"/>
    </xf>
    <xf numFmtId="172" fontId="24" fillId="0" borderId="52" xfId="5" applyNumberFormat="1" applyFont="1" applyBorder="1" applyAlignment="1">
      <alignment horizontal="right"/>
    </xf>
    <xf numFmtId="0" fontId="59" fillId="0" borderId="49" xfId="33" applyFont="1" applyBorder="1" applyAlignment="1">
      <alignment horizontal="center"/>
    </xf>
    <xf numFmtId="0" fontId="15" fillId="0" borderId="11" xfId="33" applyFont="1" applyBorder="1"/>
    <xf numFmtId="172" fontId="59" fillId="0" borderId="11" xfId="5" applyNumberFormat="1" applyFont="1" applyBorder="1" applyAlignment="1">
      <alignment horizontal="right"/>
    </xf>
    <xf numFmtId="0" fontId="56" fillId="12" borderId="48" xfId="33" applyFont="1" applyFill="1" applyBorder="1" applyAlignment="1">
      <alignment horizontal="center"/>
    </xf>
    <xf numFmtId="172" fontId="56" fillId="12" borderId="48" xfId="5" applyNumberFormat="1" applyFont="1" applyFill="1" applyBorder="1" applyAlignment="1">
      <alignment horizontal="right"/>
    </xf>
    <xf numFmtId="0" fontId="24" fillId="17" borderId="49" xfId="33" applyFont="1" applyFill="1" applyBorder="1" applyAlignment="1">
      <alignment horizontal="center"/>
    </xf>
    <xf numFmtId="0" fontId="22" fillId="17" borderId="49" xfId="33" applyFont="1" applyFill="1" applyBorder="1" applyAlignment="1">
      <alignment horizontal="center"/>
    </xf>
    <xf numFmtId="0" fontId="15" fillId="0" borderId="0" xfId="33" quotePrefix="1" applyFont="1" applyAlignment="1">
      <alignment horizontal="center"/>
    </xf>
    <xf numFmtId="0" fontId="24" fillId="2" borderId="11" xfId="33" applyFont="1" applyFill="1" applyBorder="1"/>
    <xf numFmtId="0" fontId="58" fillId="15" borderId="51" xfId="33" quotePrefix="1" applyFont="1" applyFill="1" applyBorder="1" applyAlignment="1">
      <alignment horizontal="center"/>
    </xf>
    <xf numFmtId="0" fontId="58" fillId="15" borderId="52" xfId="33" applyFont="1" applyFill="1" applyBorder="1"/>
    <xf numFmtId="172" fontId="58" fillId="15" borderId="52" xfId="5" applyNumberFormat="1" applyFont="1" applyFill="1" applyBorder="1" applyAlignment="1">
      <alignment horizontal="right"/>
    </xf>
    <xf numFmtId="0" fontId="24" fillId="3" borderId="11" xfId="33" applyFont="1" applyFill="1" applyBorder="1"/>
    <xf numFmtId="0" fontId="58" fillId="15" borderId="50" xfId="33" quotePrefix="1" applyFont="1" applyFill="1" applyBorder="1" applyAlignment="1">
      <alignment horizontal="center" vertical="center"/>
    </xf>
    <xf numFmtId="0" fontId="15" fillId="15" borderId="9" xfId="33" applyFont="1" applyFill="1" applyBorder="1" applyAlignment="1">
      <alignment horizontal="left" vertical="center" wrapText="1"/>
    </xf>
    <xf numFmtId="172" fontId="15" fillId="15" borderId="9" xfId="5" applyNumberFormat="1" applyFont="1" applyFill="1" applyBorder="1" applyAlignment="1">
      <alignment horizontal="right"/>
    </xf>
    <xf numFmtId="0" fontId="22" fillId="0" borderId="49" xfId="33" quotePrefix="1" applyFont="1" applyBorder="1" applyAlignment="1">
      <alignment horizontal="center"/>
    </xf>
    <xf numFmtId="0" fontId="58" fillId="15" borderId="50" xfId="33" quotePrefix="1" applyFont="1" applyFill="1" applyBorder="1" applyAlignment="1">
      <alignment horizontal="center" vertical="center" wrapText="1"/>
    </xf>
    <xf numFmtId="0" fontId="58" fillId="15" borderId="50" xfId="33" quotePrefix="1" applyFont="1" applyFill="1" applyBorder="1" applyAlignment="1">
      <alignment horizontal="center"/>
    </xf>
    <xf numFmtId="0" fontId="24" fillId="0" borderId="49" xfId="33" quotePrefix="1" applyFont="1" applyBorder="1" applyAlignment="1">
      <alignment horizontal="center"/>
    </xf>
    <xf numFmtId="0" fontId="24" fillId="16" borderId="49" xfId="33" quotePrefix="1" applyFont="1" applyFill="1" applyBorder="1" applyAlignment="1">
      <alignment horizontal="center"/>
    </xf>
    <xf numFmtId="0" fontId="24" fillId="0" borderId="11" xfId="33" quotePrefix="1" applyFont="1" applyBorder="1" applyAlignment="1">
      <alignment horizontal="left"/>
    </xf>
    <xf numFmtId="172" fontId="22" fillId="0" borderId="0" xfId="33" applyNumberFormat="1" applyFont="1"/>
    <xf numFmtId="0" fontId="58" fillId="15" borderId="53" xfId="33" quotePrefix="1" applyFont="1" applyFill="1" applyBorder="1" applyAlignment="1">
      <alignment horizontal="center"/>
    </xf>
    <xf numFmtId="0" fontId="58" fillId="15" borderId="54" xfId="33" applyFont="1" applyFill="1" applyBorder="1"/>
    <xf numFmtId="172" fontId="58" fillId="15" borderId="54" xfId="5" applyNumberFormat="1" applyFont="1" applyFill="1" applyBorder="1" applyAlignment="1">
      <alignment horizontal="right"/>
    </xf>
    <xf numFmtId="0" fontId="22" fillId="0" borderId="51" xfId="33" quotePrefix="1" applyFont="1" applyBorder="1" applyAlignment="1">
      <alignment horizontal="center"/>
    </xf>
    <xf numFmtId="0" fontId="22" fillId="0" borderId="52" xfId="33" applyFont="1" applyBorder="1"/>
    <xf numFmtId="172" fontId="22" fillId="0" borderId="52" xfId="5" applyNumberFormat="1" applyFont="1" applyBorder="1" applyAlignment="1">
      <alignment horizontal="right"/>
    </xf>
    <xf numFmtId="0" fontId="24" fillId="17" borderId="49" xfId="33" quotePrefix="1" applyFont="1" applyFill="1" applyBorder="1" applyAlignment="1">
      <alignment horizontal="center"/>
    </xf>
    <xf numFmtId="0" fontId="24" fillId="0" borderId="11" xfId="33" quotePrefix="1" applyFont="1" applyBorder="1"/>
    <xf numFmtId="0" fontId="18" fillId="0" borderId="0" xfId="33" applyFont="1" applyAlignment="1">
      <alignment horizontal="center"/>
    </xf>
    <xf numFmtId="0" fontId="24" fillId="18" borderId="49" xfId="33" quotePrefix="1" applyFont="1" applyFill="1" applyBorder="1" applyAlignment="1">
      <alignment horizontal="center"/>
    </xf>
    <xf numFmtId="0" fontId="22" fillId="16" borderId="49" xfId="33" quotePrefix="1" applyFont="1" applyFill="1" applyBorder="1" applyAlignment="1">
      <alignment horizontal="center"/>
    </xf>
    <xf numFmtId="0" fontId="22" fillId="0" borderId="11" xfId="33" quotePrefix="1" applyFont="1" applyBorder="1"/>
    <xf numFmtId="0" fontId="22" fillId="0" borderId="49" xfId="33" applyFont="1" applyBorder="1"/>
    <xf numFmtId="0" fontId="15" fillId="0" borderId="55" xfId="33" applyFont="1" applyBorder="1" applyAlignment="1">
      <alignment horizontal="center"/>
    </xf>
    <xf numFmtId="0" fontId="15" fillId="0" borderId="0" xfId="33" applyFont="1" applyBorder="1" applyAlignment="1">
      <alignment horizontal="center"/>
    </xf>
    <xf numFmtId="172" fontId="15" fillId="0" borderId="0" xfId="5" applyNumberFormat="1" applyFont="1" applyBorder="1" applyAlignment="1">
      <alignment horizontal="center"/>
    </xf>
    <xf numFmtId="0" fontId="22" fillId="0" borderId="56" xfId="33" applyFont="1" applyBorder="1" applyAlignment="1">
      <alignment horizontal="center"/>
    </xf>
    <xf numFmtId="0" fontId="22" fillId="0" borderId="2" xfId="33" applyFont="1" applyBorder="1"/>
    <xf numFmtId="172" fontId="22" fillId="0" borderId="2" xfId="5" applyNumberFormat="1" applyFont="1" applyBorder="1" applyAlignment="1">
      <alignment horizontal="right"/>
    </xf>
    <xf numFmtId="0" fontId="58" fillId="16" borderId="50" xfId="33" applyFont="1" applyFill="1" applyBorder="1" applyAlignment="1">
      <alignment horizontal="center"/>
    </xf>
    <xf numFmtId="0" fontId="56" fillId="4" borderId="47" xfId="33" applyFont="1" applyFill="1" applyBorder="1" applyAlignment="1">
      <alignment horizontal="centerContinuous"/>
    </xf>
    <xf numFmtId="0" fontId="56" fillId="4" borderId="48" xfId="33" applyFont="1" applyFill="1" applyBorder="1" applyAlignment="1">
      <alignment horizontal="centerContinuous"/>
    </xf>
    <xf numFmtId="172" fontId="56" fillId="4" borderId="48" xfId="5" applyNumberFormat="1" applyFont="1" applyFill="1" applyBorder="1" applyAlignment="1">
      <alignment horizontal="right"/>
    </xf>
    <xf numFmtId="0" fontId="56" fillId="4" borderId="49" xfId="33" applyFont="1" applyFill="1" applyBorder="1" applyAlignment="1">
      <alignment horizontal="centerContinuous"/>
    </xf>
    <xf numFmtId="0" fontId="56" fillId="4" borderId="11" xfId="33" applyFont="1" applyFill="1" applyBorder="1" applyAlignment="1">
      <alignment horizontal="centerContinuous"/>
    </xf>
    <xf numFmtId="172" fontId="56" fillId="4" borderId="11" xfId="5" applyNumberFormat="1" applyFont="1" applyFill="1" applyBorder="1" applyAlignment="1">
      <alignment horizontal="right"/>
    </xf>
    <xf numFmtId="0" fontId="58" fillId="0" borderId="49" xfId="33" applyFont="1" applyFill="1" applyBorder="1" applyAlignment="1">
      <alignment horizontal="center"/>
    </xf>
    <xf numFmtId="0" fontId="61" fillId="0" borderId="11" xfId="33" applyFont="1" applyFill="1" applyBorder="1"/>
    <xf numFmtId="172" fontId="58" fillId="0" borderId="11" xfId="5" applyNumberFormat="1" applyFont="1" applyFill="1" applyBorder="1" applyAlignment="1">
      <alignment horizontal="right"/>
    </xf>
    <xf numFmtId="0" fontId="22" fillId="0" borderId="55" xfId="33" applyFont="1" applyBorder="1" applyAlignment="1">
      <alignment horizontal="center"/>
    </xf>
    <xf numFmtId="172" fontId="22" fillId="0" borderId="0" xfId="5" applyNumberFormat="1" applyFont="1" applyBorder="1"/>
    <xf numFmtId="0" fontId="56" fillId="4" borderId="50" xfId="33" applyFont="1" applyFill="1" applyBorder="1" applyAlignment="1">
      <alignment horizontal="centerContinuous"/>
    </xf>
    <xf numFmtId="0" fontId="56" fillId="4" borderId="9" xfId="33" applyFont="1" applyFill="1" applyBorder="1" applyAlignment="1">
      <alignment horizontal="centerContinuous"/>
    </xf>
    <xf numFmtId="172" fontId="56" fillId="4" borderId="10" xfId="5" applyNumberFormat="1" applyFont="1" applyFill="1" applyBorder="1"/>
    <xf numFmtId="0" fontId="22" fillId="0" borderId="57" xfId="33" applyFont="1" applyBorder="1"/>
    <xf numFmtId="0" fontId="22" fillId="0" borderId="58" xfId="33" applyFont="1" applyBorder="1"/>
    <xf numFmtId="0" fontId="15" fillId="0" borderId="0" xfId="33" applyFont="1"/>
    <xf numFmtId="3" fontId="22" fillId="0" borderId="0" xfId="33" applyNumberFormat="1" applyFont="1"/>
    <xf numFmtId="0" fontId="18" fillId="0" borderId="6" xfId="0" applyFont="1" applyBorder="1"/>
    <xf numFmtId="167" fontId="18" fillId="0" borderId="6" xfId="0" applyNumberFormat="1" applyFont="1" applyBorder="1"/>
    <xf numFmtId="0" fontId="17" fillId="0" borderId="6" xfId="0" applyFont="1" applyBorder="1"/>
    <xf numFmtId="0" fontId="17" fillId="2" borderId="6" xfId="0" applyFont="1" applyFill="1" applyBorder="1"/>
    <xf numFmtId="3" fontId="18" fillId="0" borderId="4" xfId="0" applyNumberFormat="1" applyFont="1" applyFill="1" applyBorder="1"/>
    <xf numFmtId="0" fontId="63" fillId="0" borderId="0" xfId="0" applyFont="1"/>
    <xf numFmtId="0" fontId="15" fillId="0" borderId="59" xfId="0" applyFont="1" applyBorder="1" applyAlignment="1"/>
    <xf numFmtId="3" fontId="15" fillId="0" borderId="60" xfId="0" applyNumberFormat="1" applyFont="1" applyBorder="1"/>
    <xf numFmtId="0" fontId="22" fillId="0" borderId="1" xfId="0" applyFont="1" applyBorder="1" applyAlignment="1"/>
    <xf numFmtId="3" fontId="22" fillId="0" borderId="61" xfId="0" applyNumberFormat="1" applyFont="1" applyBorder="1"/>
    <xf numFmtId="0" fontId="24" fillId="0" borderId="1" xfId="0" applyFont="1" applyBorder="1" applyAlignment="1"/>
    <xf numFmtId="3" fontId="17" fillId="0" borderId="62" xfId="0" applyNumberFormat="1" applyFont="1" applyBorder="1"/>
    <xf numFmtId="3" fontId="15" fillId="0" borderId="61" xfId="0" applyNumberFormat="1" applyFont="1" applyBorder="1"/>
    <xf numFmtId="3" fontId="22" fillId="0" borderId="62" xfId="0" applyNumberFormat="1" applyFont="1" applyBorder="1"/>
    <xf numFmtId="3" fontId="66" fillId="0" borderId="62" xfId="0" applyNumberFormat="1" applyFont="1" applyBorder="1"/>
    <xf numFmtId="3" fontId="24" fillId="0" borderId="62" xfId="0" applyNumberFormat="1" applyFont="1" applyBorder="1"/>
    <xf numFmtId="3" fontId="67" fillId="0" borderId="62" xfId="0" applyNumberFormat="1" applyFont="1" applyBorder="1"/>
    <xf numFmtId="0" fontId="15" fillId="0" borderId="1" xfId="0" applyFont="1" applyBorder="1" applyAlignment="1"/>
    <xf numFmtId="3" fontId="15" fillId="0" borderId="62" xfId="0" applyNumberFormat="1" applyFont="1" applyBorder="1"/>
    <xf numFmtId="3" fontId="66" fillId="0" borderId="62" xfId="0" applyNumberFormat="1" applyFont="1" applyBorder="1" applyAlignment="1">
      <alignment horizontal="center"/>
    </xf>
    <xf numFmtId="0" fontId="24" fillId="0" borderId="63" xfId="0" applyFont="1" applyBorder="1" applyAlignment="1"/>
    <xf numFmtId="0" fontId="24" fillId="0" borderId="64" xfId="0" applyFont="1" applyBorder="1" applyAlignment="1"/>
    <xf numFmtId="3" fontId="24" fillId="0" borderId="29" xfId="0" applyNumberFormat="1" applyFont="1" applyBorder="1"/>
    <xf numFmtId="0" fontId="15" fillId="0" borderId="65" xfId="0" applyFont="1" applyBorder="1" applyAlignment="1"/>
    <xf numFmtId="3" fontId="15" fillId="0" borderId="66" xfId="0" applyNumberFormat="1" applyFont="1" applyBorder="1"/>
    <xf numFmtId="0" fontId="15" fillId="0" borderId="67" xfId="0" applyFont="1" applyBorder="1" applyAlignment="1"/>
    <xf numFmtId="3" fontId="15" fillId="0" borderId="68" xfId="0" applyNumberFormat="1" applyFont="1" applyBorder="1"/>
    <xf numFmtId="0" fontId="22" fillId="0" borderId="62" xfId="0" applyFont="1" applyBorder="1" applyAlignment="1"/>
    <xf numFmtId="3" fontId="22" fillId="3" borderId="69" xfId="0" applyNumberFormat="1" applyFont="1" applyFill="1" applyBorder="1"/>
    <xf numFmtId="0" fontId="24" fillId="0" borderId="62" xfId="0" applyFont="1" applyBorder="1" applyAlignment="1"/>
    <xf numFmtId="0" fontId="22" fillId="0" borderId="70" xfId="0" applyFont="1" applyBorder="1" applyAlignment="1"/>
    <xf numFmtId="3" fontId="22" fillId="0" borderId="71" xfId="0" applyNumberFormat="1" applyFont="1" applyBorder="1"/>
    <xf numFmtId="0" fontId="15" fillId="0" borderId="33" xfId="0" applyFont="1" applyBorder="1" applyAlignment="1">
      <alignment horizontal="center"/>
    </xf>
    <xf numFmtId="3" fontId="15" fillId="3" borderId="61" xfId="0" applyNumberFormat="1" applyFont="1" applyFill="1" applyBorder="1"/>
    <xf numFmtId="0" fontId="22" fillId="0" borderId="36" xfId="0" applyFont="1" applyBorder="1" applyAlignment="1"/>
    <xf numFmtId="3" fontId="15" fillId="0" borderId="69" xfId="0" applyNumberFormat="1" applyFont="1" applyBorder="1"/>
    <xf numFmtId="0" fontId="68" fillId="0" borderId="62" xfId="0" applyFont="1" applyBorder="1" applyAlignment="1"/>
    <xf numFmtId="0" fontId="15" fillId="0" borderId="72" xfId="0" applyFont="1" applyBorder="1" applyAlignment="1"/>
    <xf numFmtId="0" fontId="15" fillId="0" borderId="0" xfId="0" applyFont="1"/>
    <xf numFmtId="0" fontId="22" fillId="0" borderId="0" xfId="0" applyFont="1"/>
    <xf numFmtId="3" fontId="22" fillId="3" borderId="9" xfId="0" applyNumberFormat="1" applyFont="1" applyFill="1" applyBorder="1"/>
    <xf numFmtId="3" fontId="22" fillId="0" borderId="1" xfId="0" applyNumberFormat="1" applyFont="1" applyBorder="1"/>
    <xf numFmtId="3" fontId="22" fillId="0" borderId="9" xfId="0" applyNumberFormat="1" applyFont="1" applyBorder="1"/>
    <xf numFmtId="0" fontId="18" fillId="0" borderId="6" xfId="0" applyFont="1" applyBorder="1" applyAlignment="1">
      <alignment horizontal="center"/>
    </xf>
    <xf numFmtId="3" fontId="15" fillId="0" borderId="10" xfId="0" applyNumberFormat="1" applyFont="1" applyBorder="1"/>
    <xf numFmtId="0" fontId="15" fillId="0" borderId="6" xfId="0" applyFont="1" applyBorder="1"/>
    <xf numFmtId="0" fontId="12" fillId="0" borderId="0" xfId="0" applyFont="1" applyFill="1" applyAlignment="1">
      <alignment horizontal="left" indent="4"/>
    </xf>
    <xf numFmtId="0" fontId="0" fillId="0" borderId="4" xfId="0" applyBorder="1" applyAlignment="1">
      <alignment horizontal="left" indent="4"/>
    </xf>
    <xf numFmtId="0" fontId="30" fillId="0" borderId="4" xfId="0" applyFont="1" applyBorder="1"/>
    <xf numFmtId="17" fontId="15" fillId="0" borderId="6" xfId="0" applyNumberFormat="1" applyFont="1" applyBorder="1"/>
    <xf numFmtId="168" fontId="0" fillId="0" borderId="4" xfId="0" applyNumberFormat="1" applyBorder="1"/>
    <xf numFmtId="0" fontId="0" fillId="0" borderId="4" xfId="0" applyBorder="1" applyAlignment="1">
      <alignment horizontal="left" indent="1"/>
    </xf>
    <xf numFmtId="0" fontId="0" fillId="0" borderId="4" xfId="0" applyBorder="1" applyAlignment="1">
      <alignment horizontal="left" indent="2"/>
    </xf>
    <xf numFmtId="168" fontId="15" fillId="0" borderId="6" xfId="0" applyNumberFormat="1" applyFont="1" applyBorder="1"/>
    <xf numFmtId="168" fontId="0" fillId="0" borderId="3" xfId="0" applyNumberFormat="1" applyBorder="1"/>
    <xf numFmtId="168" fontId="0" fillId="0" borderId="0" xfId="0" applyNumberFormat="1"/>
    <xf numFmtId="168" fontId="0" fillId="0" borderId="5" xfId="0" applyNumberFormat="1" applyBorder="1"/>
    <xf numFmtId="0" fontId="0" fillId="0" borderId="4" xfId="0" applyBorder="1" applyAlignment="1">
      <alignment horizontal="left" indent="3"/>
    </xf>
    <xf numFmtId="0" fontId="0" fillId="0" borderId="4" xfId="0" quotePrefix="1" applyBorder="1" applyAlignment="1">
      <alignment horizontal="left" indent="3"/>
    </xf>
    <xf numFmtId="168" fontId="33" fillId="0" borderId="11" xfId="25" applyNumberFormat="1" applyFont="1" applyBorder="1" applyAlignment="1">
      <alignment horizontal="center"/>
    </xf>
    <xf numFmtId="168" fontId="31" fillId="0" borderId="11" xfId="25" applyNumberFormat="1" applyFont="1" applyBorder="1" applyAlignment="1">
      <alignment horizontal="center"/>
    </xf>
    <xf numFmtId="168" fontId="6" fillId="0" borderId="11" xfId="27" applyNumberFormat="1" applyFill="1" applyBorder="1"/>
    <xf numFmtId="0" fontId="70" fillId="0" borderId="0" xfId="0" applyFont="1"/>
    <xf numFmtId="3" fontId="22" fillId="0" borderId="0" xfId="0" applyNumberFormat="1" applyFont="1"/>
    <xf numFmtId="172" fontId="22" fillId="0" borderId="0" xfId="29" applyNumberFormat="1" applyFont="1"/>
    <xf numFmtId="0" fontId="0" fillId="0" borderId="4" xfId="0" applyBorder="1" applyAlignment="1">
      <alignment horizontal="left"/>
    </xf>
    <xf numFmtId="3" fontId="30" fillId="0" borderId="11" xfId="27" applyNumberFormat="1" applyFont="1" applyBorder="1"/>
    <xf numFmtId="0" fontId="8" fillId="0" borderId="19" xfId="27" applyFont="1" applyBorder="1"/>
    <xf numFmtId="0" fontId="7" fillId="0" borderId="54" xfId="27" applyFont="1" applyBorder="1"/>
    <xf numFmtId="0" fontId="22" fillId="0" borderId="11" xfId="33" applyFont="1" applyBorder="1" applyAlignment="1"/>
    <xf numFmtId="0" fontId="24" fillId="0" borderId="11" xfId="33" applyFont="1" applyBorder="1" applyAlignment="1"/>
    <xf numFmtId="0" fontId="0" fillId="0" borderId="4" xfId="0" applyBorder="1" applyAlignment="1"/>
    <xf numFmtId="0" fontId="0" fillId="0" borderId="5" xfId="0" applyBorder="1" applyAlignment="1"/>
    <xf numFmtId="3" fontId="6" fillId="0" borderId="14" xfId="30" applyNumberFormat="1" applyFont="1" applyBorder="1"/>
    <xf numFmtId="172" fontId="71" fillId="0" borderId="11" xfId="5" applyNumberFormat="1" applyFont="1" applyBorder="1" applyAlignment="1">
      <alignment horizontal="right"/>
    </xf>
    <xf numFmtId="172" fontId="61" fillId="0" borderId="11" xfId="5" applyNumberFormat="1" applyFont="1" applyBorder="1" applyAlignment="1">
      <alignment horizontal="right"/>
    </xf>
    <xf numFmtId="0" fontId="72" fillId="0" borderId="4" xfId="25" applyFont="1" applyBorder="1"/>
    <xf numFmtId="3" fontId="5" fillId="0" borderId="14" xfId="30" applyNumberFormat="1" applyFont="1" applyFill="1" applyBorder="1"/>
    <xf numFmtId="168" fontId="73" fillId="0" borderId="4" xfId="27" applyNumberFormat="1" applyFont="1" applyBorder="1"/>
    <xf numFmtId="177" fontId="0" fillId="0" borderId="4" xfId="0" applyNumberFormat="1" applyBorder="1"/>
    <xf numFmtId="3" fontId="17" fillId="0" borderId="6" xfId="0" applyNumberFormat="1" applyFont="1" applyFill="1" applyBorder="1"/>
    <xf numFmtId="3" fontId="17" fillId="3" borderId="6" xfId="0" applyNumberFormat="1" applyFont="1" applyFill="1" applyBorder="1"/>
    <xf numFmtId="3" fontId="75" fillId="0" borderId="4" xfId="0" applyNumberFormat="1" applyFont="1" applyBorder="1"/>
    <xf numFmtId="3" fontId="74" fillId="0" borderId="4" xfId="0" applyNumberFormat="1" applyFont="1" applyBorder="1"/>
    <xf numFmtId="3" fontId="74" fillId="0" borderId="6" xfId="0" applyNumberFormat="1" applyFont="1" applyBorder="1"/>
    <xf numFmtId="0" fontId="74" fillId="0" borderId="0" xfId="0" applyFont="1"/>
    <xf numFmtId="3" fontId="1" fillId="0" borderId="4" xfId="0" applyNumberFormat="1" applyFont="1" applyBorder="1"/>
    <xf numFmtId="3" fontId="74" fillId="0" borderId="0" xfId="0" applyNumberFormat="1" applyFont="1"/>
    <xf numFmtId="3" fontId="62" fillId="0" borderId="4" xfId="0" applyNumberFormat="1" applyFont="1" applyBorder="1"/>
    <xf numFmtId="172" fontId="56" fillId="13" borderId="73" xfId="5" applyNumberFormat="1" applyFont="1" applyFill="1" applyBorder="1"/>
    <xf numFmtId="172" fontId="56" fillId="14" borderId="1" xfId="5" applyNumberFormat="1" applyFont="1" applyFill="1" applyBorder="1" applyAlignment="1"/>
    <xf numFmtId="172" fontId="58" fillId="15" borderId="1" xfId="5" applyNumberFormat="1" applyFont="1" applyFill="1" applyBorder="1"/>
    <xf numFmtId="0" fontId="22" fillId="5" borderId="59" xfId="33" applyFont="1" applyFill="1" applyBorder="1"/>
    <xf numFmtId="0" fontId="22" fillId="5" borderId="4" xfId="33" applyFont="1" applyFill="1" applyBorder="1"/>
    <xf numFmtId="0" fontId="22" fillId="5" borderId="5" xfId="33" applyFont="1" applyFill="1" applyBorder="1"/>
    <xf numFmtId="2" fontId="15" fillId="16" borderId="20" xfId="33" applyNumberFormat="1" applyFont="1" applyFill="1" applyBorder="1" applyAlignment="1">
      <alignment horizontal="center"/>
    </xf>
    <xf numFmtId="2" fontId="15" fillId="16" borderId="74" xfId="33" applyNumberFormat="1" applyFont="1" applyFill="1" applyBorder="1" applyAlignment="1">
      <alignment horizontal="center"/>
    </xf>
    <xf numFmtId="0" fontId="22" fillId="0" borderId="0" xfId="33" applyFont="1" applyFill="1"/>
    <xf numFmtId="172" fontId="22" fillId="5" borderId="4" xfId="33" applyNumberFormat="1" applyFont="1" applyFill="1" applyBorder="1"/>
    <xf numFmtId="17" fontId="15" fillId="2" borderId="75" xfId="33" applyNumberFormat="1" applyFont="1" applyFill="1" applyBorder="1" applyAlignment="1">
      <alignment horizontal="center" vertical="center" wrapText="1"/>
    </xf>
    <xf numFmtId="1" fontId="15" fillId="2" borderId="75" xfId="33" applyNumberFormat="1" applyFont="1" applyFill="1" applyBorder="1" applyAlignment="1">
      <alignment horizontal="center" vertical="center"/>
    </xf>
    <xf numFmtId="172" fontId="76" fillId="0" borderId="11" xfId="5" quotePrefix="1" applyNumberFormat="1" applyFont="1" applyBorder="1" applyAlignment="1">
      <alignment horizontal="right"/>
    </xf>
    <xf numFmtId="172" fontId="76" fillId="0" borderId="11" xfId="5" applyNumberFormat="1" applyFont="1" applyBorder="1" applyAlignment="1">
      <alignment horizontal="right"/>
    </xf>
    <xf numFmtId="172" fontId="69" fillId="0" borderId="11" xfId="5" applyNumberFormat="1" applyFont="1" applyBorder="1" applyAlignment="1">
      <alignment horizontal="right"/>
    </xf>
    <xf numFmtId="3" fontId="55" fillId="0" borderId="6" xfId="0" applyNumberFormat="1" applyFont="1" applyBorder="1"/>
    <xf numFmtId="168" fontId="15" fillId="0" borderId="4" xfId="0" applyNumberFormat="1" applyFont="1" applyBorder="1"/>
    <xf numFmtId="168" fontId="77" fillId="0" borderId="4" xfId="27" applyNumberFormat="1" applyFont="1" applyBorder="1"/>
    <xf numFmtId="43" fontId="0" fillId="0" borderId="0" xfId="41" applyFont="1"/>
    <xf numFmtId="3" fontId="18" fillId="0" borderId="0" xfId="0" applyNumberFormat="1" applyFont="1" applyBorder="1"/>
    <xf numFmtId="3" fontId="0" fillId="0" borderId="0" xfId="0" applyNumberFormat="1" applyBorder="1"/>
    <xf numFmtId="168" fontId="6" fillId="0" borderId="4" xfId="27" applyNumberFormat="1" applyFont="1" applyBorder="1"/>
    <xf numFmtId="0" fontId="0" fillId="0" borderId="63" xfId="0" applyBorder="1"/>
    <xf numFmtId="0" fontId="15" fillId="0" borderId="76" xfId="0" applyFont="1" applyBorder="1" applyAlignment="1">
      <alignment horizontal="center"/>
    </xf>
    <xf numFmtId="0" fontId="15" fillId="0" borderId="77" xfId="0" applyFont="1" applyBorder="1" applyAlignment="1">
      <alignment horizontal="center"/>
    </xf>
    <xf numFmtId="0" fontId="15" fillId="0" borderId="78" xfId="0" applyFont="1" applyBorder="1" applyAlignment="1">
      <alignment horizontal="center"/>
    </xf>
    <xf numFmtId="9" fontId="15" fillId="0" borderId="68" xfId="0" applyNumberFormat="1" applyFont="1" applyBorder="1" applyAlignment="1">
      <alignment horizontal="center"/>
    </xf>
    <xf numFmtId="0" fontId="0" fillId="0" borderId="33" xfId="0" applyBorder="1" applyAlignment="1">
      <alignment horizontal="center"/>
    </xf>
    <xf numFmtId="9" fontId="22" fillId="0" borderId="68" xfId="0" applyNumberFormat="1" applyFont="1" applyBorder="1" applyAlignment="1">
      <alignment horizontal="center"/>
    </xf>
    <xf numFmtId="0" fontId="66" fillId="0" borderId="33" xfId="0" applyFont="1" applyBorder="1" applyAlignment="1">
      <alignment horizontal="center"/>
    </xf>
    <xf numFmtId="0" fontId="17" fillId="0" borderId="33" xfId="0" applyFont="1" applyBorder="1" applyAlignment="1">
      <alignment horizontal="center"/>
    </xf>
    <xf numFmtId="0" fontId="66" fillId="0" borderId="79" xfId="0" applyFont="1" applyBorder="1" applyAlignment="1">
      <alignment horizontal="center"/>
    </xf>
    <xf numFmtId="9" fontId="15" fillId="0" borderId="77" xfId="0" applyNumberFormat="1" applyFont="1" applyBorder="1" applyAlignment="1">
      <alignment horizontal="center"/>
    </xf>
    <xf numFmtId="0" fontId="15" fillId="0" borderId="26" xfId="0" applyFont="1" applyBorder="1" applyAlignment="1">
      <alignment horizontal="center"/>
    </xf>
    <xf numFmtId="9" fontId="22" fillId="0" borderId="80" xfId="0" applyNumberFormat="1" applyFont="1" applyBorder="1" applyAlignment="1">
      <alignment horizontal="center"/>
    </xf>
    <xf numFmtId="0" fontId="0" fillId="0" borderId="78" xfId="0" applyBorder="1" applyAlignment="1">
      <alignment horizontal="center"/>
    </xf>
    <xf numFmtId="9" fontId="15" fillId="0" borderId="69" xfId="0" applyNumberFormat="1" applyFont="1" applyBorder="1" applyAlignment="1">
      <alignment horizontal="center"/>
    </xf>
    <xf numFmtId="0" fontId="0" fillId="0" borderId="79" xfId="0" applyBorder="1" applyAlignment="1">
      <alignment horizontal="center"/>
    </xf>
    <xf numFmtId="9" fontId="22" fillId="0" borderId="81" xfId="0" applyNumberFormat="1" applyFont="1" applyBorder="1" applyAlignment="1">
      <alignment horizontal="center"/>
    </xf>
    <xf numFmtId="9" fontId="15" fillId="0" borderId="82" xfId="0" applyNumberFormat="1" applyFont="1" applyBorder="1" applyAlignment="1">
      <alignment horizontal="center"/>
    </xf>
    <xf numFmtId="9" fontId="15" fillId="0" borderId="80" xfId="0" applyNumberFormat="1" applyFont="1" applyBorder="1" applyAlignment="1">
      <alignment horizontal="center"/>
    </xf>
    <xf numFmtId="0" fontId="0" fillId="0" borderId="4" xfId="0" applyBorder="1" applyAlignment="1">
      <alignment horizontal="center"/>
    </xf>
    <xf numFmtId="3" fontId="0" fillId="0" borderId="4" xfId="0" applyNumberFormat="1" applyBorder="1" applyAlignment="1">
      <alignment horizontal="center"/>
    </xf>
    <xf numFmtId="3" fontId="15" fillId="0" borderId="4" xfId="0" applyNumberFormat="1" applyFont="1" applyFill="1" applyBorder="1" applyAlignment="1">
      <alignment horizontal="center"/>
    </xf>
    <xf numFmtId="3" fontId="15" fillId="0" borderId="4" xfId="0" applyNumberFormat="1" applyFont="1" applyBorder="1" applyAlignment="1">
      <alignment horizontal="center"/>
    </xf>
    <xf numFmtId="0" fontId="0" fillId="0" borderId="0" xfId="0" applyBorder="1"/>
    <xf numFmtId="3" fontId="0" fillId="0" borderId="11" xfId="0" applyNumberFormat="1" applyBorder="1"/>
    <xf numFmtId="3" fontId="0" fillId="0" borderId="4" xfId="0" applyNumberFormat="1" applyBorder="1" applyAlignment="1">
      <alignment horizontal="left"/>
    </xf>
    <xf numFmtId="168" fontId="7" fillId="0" borderId="0" xfId="27" applyNumberFormat="1" applyFont="1"/>
    <xf numFmtId="0" fontId="15" fillId="0" borderId="3" xfId="0" applyFont="1" applyBorder="1" applyAlignment="1">
      <alignment horizontal="center"/>
    </xf>
    <xf numFmtId="0" fontId="15" fillId="0" borderId="0" xfId="0" applyFont="1" applyAlignment="1">
      <alignment horizontal="center"/>
    </xf>
    <xf numFmtId="168" fontId="31" fillId="0" borderId="5" xfId="25" applyNumberFormat="1" applyFont="1" applyBorder="1" applyProtection="1"/>
    <xf numFmtId="4" fontId="0" fillId="0" borderId="87" xfId="0" applyNumberFormat="1" applyBorder="1"/>
    <xf numFmtId="4" fontId="8" fillId="0" borderId="88" xfId="0" applyNumberFormat="1" applyFont="1" applyBorder="1"/>
    <xf numFmtId="4" fontId="8" fillId="0" borderId="89" xfId="0" applyNumberFormat="1" applyFont="1" applyBorder="1"/>
    <xf numFmtId="4" fontId="4" fillId="0" borderId="87" xfId="0" applyNumberFormat="1" applyFont="1" applyBorder="1"/>
    <xf numFmtId="4" fontId="0" fillId="0" borderId="89" xfId="0" applyNumberFormat="1" applyBorder="1"/>
    <xf numFmtId="4" fontId="0" fillId="0" borderId="90" xfId="0" applyNumberFormat="1" applyBorder="1"/>
    <xf numFmtId="4" fontId="15" fillId="0" borderId="87" xfId="0" applyNumberFormat="1" applyFont="1" applyBorder="1"/>
    <xf numFmtId="0" fontId="15" fillId="5" borderId="4" xfId="0" applyFont="1" applyFill="1" applyBorder="1"/>
    <xf numFmtId="0" fontId="0" fillId="0" borderId="5" xfId="0" applyBorder="1" applyAlignment="1">
      <alignment horizontal="left" indent="2"/>
    </xf>
    <xf numFmtId="0" fontId="79" fillId="0" borderId="91" xfId="0" applyFont="1" applyFill="1" applyBorder="1" applyAlignment="1">
      <alignment horizontal="left" vertical="center" wrapText="1"/>
    </xf>
    <xf numFmtId="168" fontId="74" fillId="0" borderId="4" xfId="0" applyNumberFormat="1" applyFont="1" applyBorder="1"/>
    <xf numFmtId="3" fontId="23" fillId="3" borderId="4" xfId="0" applyNumberFormat="1" applyFont="1" applyFill="1" applyBorder="1"/>
    <xf numFmtId="3" fontId="0" fillId="3" borderId="4" xfId="0" applyNumberFormat="1" applyFill="1" applyBorder="1"/>
    <xf numFmtId="3" fontId="15" fillId="5" borderId="60" xfId="0" applyNumberFormat="1" applyFont="1" applyFill="1" applyBorder="1"/>
    <xf numFmtId="3" fontId="31" fillId="0" borderId="0" xfId="25" applyNumberFormat="1" applyFont="1"/>
    <xf numFmtId="0" fontId="16" fillId="2" borderId="6" xfId="0" applyFont="1" applyFill="1" applyBorder="1" applyAlignment="1">
      <alignment horizontal="center"/>
    </xf>
    <xf numFmtId="0" fontId="17" fillId="2" borderId="6" xfId="0" applyFont="1" applyFill="1" applyBorder="1" applyAlignment="1">
      <alignment horizontal="center"/>
    </xf>
    <xf numFmtId="0" fontId="15" fillId="2" borderId="76" xfId="0" applyFont="1" applyFill="1" applyBorder="1" applyAlignment="1">
      <alignment horizontal="center"/>
    </xf>
    <xf numFmtId="0" fontId="15" fillId="2" borderId="65" xfId="0" applyFont="1" applyFill="1" applyBorder="1" applyAlignment="1">
      <alignment horizontal="center"/>
    </xf>
    <xf numFmtId="16" fontId="65" fillId="2" borderId="66" xfId="0" applyNumberFormat="1" applyFont="1" applyFill="1" applyBorder="1" applyAlignment="1">
      <alignment horizontal="center"/>
    </xf>
    <xf numFmtId="0" fontId="65" fillId="2" borderId="66" xfId="0" applyFont="1" applyFill="1" applyBorder="1" applyAlignment="1">
      <alignment horizontal="center"/>
    </xf>
    <xf numFmtId="168" fontId="15" fillId="0" borderId="3" xfId="0" applyNumberFormat="1" applyFont="1" applyBorder="1"/>
    <xf numFmtId="168" fontId="30" fillId="0" borderId="2" xfId="25" applyNumberFormat="1" applyFont="1" applyBorder="1"/>
    <xf numFmtId="168" fontId="80" fillId="0" borderId="11" xfId="25" applyNumberFormat="1" applyFont="1" applyBorder="1" applyProtection="1"/>
    <xf numFmtId="17" fontId="15" fillId="0" borderId="3" xfId="0" applyNumberFormat="1" applyFont="1" applyBorder="1" applyAlignment="1">
      <alignment horizontal="center"/>
    </xf>
    <xf numFmtId="3" fontId="0" fillId="0" borderId="4" xfId="0" applyNumberFormat="1" applyBorder="1" applyAlignment="1">
      <alignment horizontal="left" indent="2"/>
    </xf>
    <xf numFmtId="3" fontId="0" fillId="0" borderId="5" xfId="0" applyNumberFormat="1" applyBorder="1" applyAlignment="1">
      <alignment horizontal="left" indent="2"/>
    </xf>
    <xf numFmtId="168" fontId="0" fillId="0" borderId="4" xfId="0" applyNumberFormat="1" applyBorder="1" applyAlignment="1">
      <alignment horizontal="left" indent="2"/>
    </xf>
    <xf numFmtId="168" fontId="0" fillId="0" borderId="4" xfId="0" applyNumberFormat="1" applyBorder="1" applyAlignment="1">
      <alignment horizontal="left"/>
    </xf>
    <xf numFmtId="168" fontId="22" fillId="0" borderId="4" xfId="0" applyNumberFormat="1" applyFont="1" applyBorder="1"/>
    <xf numFmtId="168" fontId="1" fillId="0" borderId="4" xfId="0" applyNumberFormat="1" applyFont="1" applyBorder="1"/>
    <xf numFmtId="0" fontId="22" fillId="5" borderId="0" xfId="33" applyFont="1" applyFill="1" applyBorder="1"/>
    <xf numFmtId="0" fontId="22" fillId="0" borderId="59" xfId="33" applyFont="1" applyBorder="1"/>
    <xf numFmtId="0" fontId="22" fillId="0" borderId="1" xfId="33" applyFont="1" applyBorder="1"/>
    <xf numFmtId="17" fontId="15" fillId="2" borderId="6" xfId="33" applyNumberFormat="1" applyFont="1" applyFill="1" applyBorder="1" applyAlignment="1">
      <alignment horizontal="center" vertical="center" wrapText="1"/>
    </xf>
    <xf numFmtId="3" fontId="81" fillId="19" borderId="61" xfId="5" applyNumberFormat="1" applyFont="1" applyFill="1" applyBorder="1"/>
    <xf numFmtId="0" fontId="82" fillId="0" borderId="0" xfId="33" applyFont="1"/>
    <xf numFmtId="0" fontId="69" fillId="0" borderId="0" xfId="33" applyFont="1"/>
    <xf numFmtId="3" fontId="56" fillId="3" borderId="61" xfId="33" applyNumberFormat="1" applyFont="1" applyFill="1" applyBorder="1"/>
    <xf numFmtId="168" fontId="15" fillId="0" borderId="21" xfId="0" applyNumberFormat="1" applyFont="1" applyBorder="1"/>
    <xf numFmtId="168" fontId="15" fillId="0" borderId="94" xfId="0" applyNumberFormat="1" applyFont="1" applyBorder="1"/>
    <xf numFmtId="0" fontId="15" fillId="0" borderId="95" xfId="0" applyFont="1" applyBorder="1"/>
    <xf numFmtId="168" fontId="23" fillId="0" borderId="94" xfId="0" applyNumberFormat="1" applyFont="1" applyBorder="1"/>
    <xf numFmtId="168" fontId="15" fillId="0" borderId="94" xfId="0" applyNumberFormat="1" applyFont="1" applyFill="1" applyBorder="1"/>
    <xf numFmtId="4" fontId="1" fillId="0" borderId="11" xfId="0" applyNumberFormat="1" applyFont="1" applyBorder="1"/>
    <xf numFmtId="176" fontId="0" fillId="0" borderId="0" xfId="41" applyNumberFormat="1" applyFont="1"/>
    <xf numFmtId="3" fontId="83" fillId="0" borderId="6" xfId="0" applyNumberFormat="1" applyFont="1" applyBorder="1"/>
    <xf numFmtId="17" fontId="15" fillId="2" borderId="6" xfId="0" applyNumberFormat="1" applyFont="1" applyFill="1" applyBorder="1"/>
    <xf numFmtId="168" fontId="22" fillId="0" borderId="4" xfId="0" applyNumberFormat="1" applyFont="1" applyFill="1" applyBorder="1"/>
    <xf numFmtId="0" fontId="22" fillId="0" borderId="4" xfId="0" applyFont="1" applyBorder="1"/>
    <xf numFmtId="0" fontId="22" fillId="0" borderId="4" xfId="0" applyFont="1" applyBorder="1" applyAlignment="1">
      <alignment horizontal="left" indent="1"/>
    </xf>
    <xf numFmtId="168" fontId="84" fillId="0" borderId="2" xfId="25" applyNumberFormat="1" applyFont="1" applyBorder="1" applyProtection="1"/>
    <xf numFmtId="168" fontId="84" fillId="0" borderId="11" xfId="25" applyNumberFormat="1" applyFont="1" applyBorder="1" applyProtection="1"/>
    <xf numFmtId="43" fontId="31" fillId="0" borderId="0" xfId="41" applyFont="1"/>
    <xf numFmtId="3" fontId="86" fillId="0" borderId="6" xfId="0" applyNumberFormat="1" applyFont="1" applyBorder="1"/>
    <xf numFmtId="0" fontId="58" fillId="15" borderId="2" xfId="33" applyFont="1" applyFill="1" applyBorder="1"/>
    <xf numFmtId="3" fontId="85" fillId="0" borderId="0" xfId="0" applyNumberFormat="1" applyFont="1"/>
    <xf numFmtId="168" fontId="72" fillId="0" borderId="11" xfId="25" applyNumberFormat="1" applyFont="1" applyBorder="1" applyProtection="1"/>
    <xf numFmtId="168" fontId="87" fillId="0" borderId="4" xfId="27" applyNumberFormat="1" applyFont="1" applyBorder="1"/>
    <xf numFmtId="0" fontId="19" fillId="2" borderId="6" xfId="0" applyFont="1" applyFill="1" applyBorder="1" applyAlignment="1">
      <alignment horizontal="center"/>
    </xf>
    <xf numFmtId="0" fontId="18" fillId="2" borderId="6" xfId="0" applyFont="1" applyFill="1" applyBorder="1" applyAlignment="1">
      <alignment horizontal="center"/>
    </xf>
    <xf numFmtId="0" fontId="55" fillId="2" borderId="12" xfId="0" applyFont="1" applyFill="1" applyBorder="1" applyAlignment="1">
      <alignment horizontal="center"/>
    </xf>
    <xf numFmtId="0" fontId="15" fillId="5" borderId="3" xfId="0" applyFont="1" applyFill="1" applyBorder="1"/>
    <xf numFmtId="0" fontId="15" fillId="5" borderId="3" xfId="0" applyFont="1" applyFill="1" applyBorder="1" applyAlignment="1">
      <alignment horizontal="centerContinuous"/>
    </xf>
    <xf numFmtId="0" fontId="15" fillId="5" borderId="1" xfId="0" applyFont="1" applyFill="1" applyBorder="1" applyAlignment="1">
      <alignment horizontal="centerContinuous"/>
    </xf>
    <xf numFmtId="17" fontId="15" fillId="5" borderId="1" xfId="0" applyNumberFormat="1" applyFont="1" applyFill="1" applyBorder="1" applyAlignment="1">
      <alignment horizontal="center"/>
    </xf>
    <xf numFmtId="0" fontId="15" fillId="5" borderId="89" xfId="0" applyFont="1" applyFill="1" applyBorder="1" applyAlignment="1">
      <alignment horizontal="centerContinuous"/>
    </xf>
    <xf numFmtId="0" fontId="15" fillId="5" borderId="4" xfId="0" applyFont="1" applyFill="1" applyBorder="1" applyAlignment="1">
      <alignment horizontal="center" vertical="top" wrapText="1"/>
    </xf>
    <xf numFmtId="0" fontId="15" fillId="5" borderId="2" xfId="0" applyFont="1" applyFill="1" applyBorder="1" applyAlignment="1">
      <alignment horizontal="center" vertical="top" wrapText="1"/>
    </xf>
    <xf numFmtId="0" fontId="15" fillId="5" borderId="96" xfId="0" applyFont="1" applyFill="1" applyBorder="1" applyAlignment="1">
      <alignment horizontal="center" vertical="top" wrapText="1"/>
    </xf>
    <xf numFmtId="0" fontId="15" fillId="5" borderId="0" xfId="0" applyFont="1" applyFill="1" applyAlignment="1"/>
    <xf numFmtId="0" fontId="15" fillId="5" borderId="0" xfId="0" applyFont="1" applyFill="1"/>
    <xf numFmtId="0" fontId="15" fillId="5" borderId="87" xfId="0" applyFont="1" applyFill="1" applyBorder="1"/>
    <xf numFmtId="3" fontId="15" fillId="5" borderId="0" xfId="0" applyNumberFormat="1" applyFont="1" applyFill="1"/>
    <xf numFmtId="0" fontId="15" fillId="5" borderId="6" xfId="0" applyFont="1" applyFill="1" applyBorder="1"/>
    <xf numFmtId="0" fontId="15" fillId="5" borderId="12" xfId="0" applyFont="1" applyFill="1" applyBorder="1"/>
    <xf numFmtId="0" fontId="15" fillId="5" borderId="88" xfId="0" applyFont="1" applyFill="1" applyBorder="1" applyAlignment="1">
      <alignment horizontal="centerContinuous"/>
    </xf>
    <xf numFmtId="176" fontId="74" fillId="0" borderId="0" xfId="41" applyNumberFormat="1" applyFont="1"/>
    <xf numFmtId="176" fontId="58" fillId="0" borderId="0" xfId="41" applyNumberFormat="1" applyFont="1"/>
    <xf numFmtId="0" fontId="88" fillId="3" borderId="0" xfId="0" applyFont="1" applyFill="1"/>
    <xf numFmtId="3" fontId="0" fillId="0" borderId="63" xfId="0" applyNumberFormat="1" applyBorder="1"/>
    <xf numFmtId="2" fontId="22" fillId="0" borderId="1" xfId="33" applyNumberFormat="1" applyFont="1" applyBorder="1"/>
    <xf numFmtId="17" fontId="15" fillId="0" borderId="97" xfId="0" applyNumberFormat="1" applyFont="1" applyBorder="1"/>
    <xf numFmtId="17" fontId="15" fillId="0" borderId="77" xfId="0" applyNumberFormat="1" applyFont="1" applyBorder="1"/>
    <xf numFmtId="0" fontId="89" fillId="2" borderId="6" xfId="25" applyFont="1" applyFill="1" applyBorder="1" applyAlignment="1">
      <alignment horizontal="left" vertical="top" wrapText="1"/>
    </xf>
    <xf numFmtId="0" fontId="89" fillId="2" borderId="9" xfId="25" applyFont="1" applyFill="1" applyBorder="1" applyAlignment="1">
      <alignment horizontal="center" vertical="top" wrapText="1"/>
    </xf>
    <xf numFmtId="0" fontId="89" fillId="2" borderId="2" xfId="25" applyFont="1" applyFill="1" applyBorder="1" applyAlignment="1">
      <alignment horizontal="center" vertical="top" wrapText="1"/>
    </xf>
    <xf numFmtId="0" fontId="90" fillId="2" borderId="9" xfId="25" applyFont="1" applyFill="1" applyBorder="1" applyAlignment="1">
      <alignment horizontal="center" vertical="top" wrapText="1"/>
    </xf>
    <xf numFmtId="0" fontId="0" fillId="2" borderId="3" xfId="0" applyFill="1" applyBorder="1"/>
    <xf numFmtId="17" fontId="15" fillId="2" borderId="3" xfId="0" applyNumberFormat="1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2" xfId="0" applyFont="1" applyFill="1" applyBorder="1"/>
    <xf numFmtId="0" fontId="15" fillId="2" borderId="2" xfId="0" applyFont="1" applyFill="1" applyBorder="1" applyAlignment="1">
      <alignment horizontal="center"/>
    </xf>
    <xf numFmtId="0" fontId="15" fillId="2" borderId="12" xfId="0" applyFont="1" applyFill="1" applyBorder="1"/>
    <xf numFmtId="0" fontId="15" fillId="2" borderId="1" xfId="0" applyFont="1" applyFill="1" applyBorder="1"/>
    <xf numFmtId="3" fontId="15" fillId="2" borderId="1" xfId="0" applyNumberFormat="1" applyFont="1" applyFill="1" applyBorder="1"/>
    <xf numFmtId="0" fontId="15" fillId="2" borderId="9" xfId="0" applyFont="1" applyFill="1" applyBorder="1"/>
    <xf numFmtId="0" fontId="15" fillId="2" borderId="9" xfId="0" applyFont="1" applyFill="1" applyBorder="1" applyAlignment="1">
      <alignment horizontal="center"/>
    </xf>
    <xf numFmtId="0" fontId="15" fillId="2" borderId="10" xfId="0" applyFont="1" applyFill="1" applyBorder="1"/>
    <xf numFmtId="0" fontId="15" fillId="2" borderId="10" xfId="0" applyNumberFormat="1" applyFont="1" applyFill="1" applyBorder="1" applyAlignment="1">
      <alignment horizontal="center" vertical="top" wrapText="1"/>
    </xf>
    <xf numFmtId="0" fontId="15" fillId="2" borderId="10" xfId="0" applyFont="1" applyFill="1" applyBorder="1" applyAlignment="1">
      <alignment horizontal="center" vertical="top" wrapText="1"/>
    </xf>
    <xf numFmtId="173" fontId="15" fillId="2" borderId="10" xfId="0" applyNumberFormat="1" applyFont="1" applyFill="1" applyBorder="1" applyAlignment="1">
      <alignment horizontal="center" vertical="top" wrapText="1"/>
    </xf>
    <xf numFmtId="49" fontId="15" fillId="2" borderId="10" xfId="0" applyNumberFormat="1" applyFont="1" applyFill="1" applyBorder="1" applyAlignment="1">
      <alignment horizontal="center" vertical="top" wrapText="1"/>
    </xf>
    <xf numFmtId="49" fontId="58" fillId="2" borderId="10" xfId="0" applyNumberFormat="1" applyFont="1" applyFill="1" applyBorder="1" applyAlignment="1">
      <alignment horizontal="center" vertical="top" wrapText="1"/>
    </xf>
    <xf numFmtId="0" fontId="32" fillId="2" borderId="7" xfId="30" applyFont="1" applyFill="1" applyBorder="1"/>
    <xf numFmtId="0" fontId="32" fillId="2" borderId="63" xfId="30" applyFont="1" applyFill="1" applyBorder="1"/>
    <xf numFmtId="0" fontId="32" fillId="2" borderId="2" xfId="30" applyFont="1" applyFill="1" applyBorder="1"/>
    <xf numFmtId="3" fontId="32" fillId="2" borderId="2" xfId="30" applyNumberFormat="1" applyFont="1" applyFill="1" applyBorder="1"/>
    <xf numFmtId="0" fontId="7" fillId="2" borderId="0" xfId="30" applyFont="1" applyFill="1"/>
    <xf numFmtId="0" fontId="7" fillId="2" borderId="12" xfId="30" applyFont="1" applyFill="1" applyBorder="1" applyAlignment="1">
      <alignment horizontal="center" vertical="top" wrapText="1"/>
    </xf>
    <xf numFmtId="0" fontId="7" fillId="2" borderId="9" xfId="30" applyFont="1" applyFill="1" applyBorder="1" applyAlignment="1">
      <alignment horizontal="center" vertical="top" wrapText="1"/>
    </xf>
    <xf numFmtId="0" fontId="91" fillId="2" borderId="9" xfId="30" applyFont="1" applyFill="1" applyBorder="1" applyAlignment="1">
      <alignment horizontal="center" vertical="top" wrapText="1"/>
    </xf>
    <xf numFmtId="3" fontId="7" fillId="2" borderId="10" xfId="30" applyNumberFormat="1" applyFont="1" applyFill="1" applyBorder="1" applyAlignment="1">
      <alignment horizontal="center" vertical="top" wrapText="1"/>
    </xf>
    <xf numFmtId="0" fontId="7" fillId="2" borderId="2" xfId="30" applyFont="1" applyFill="1" applyBorder="1" applyAlignment="1">
      <alignment horizontal="center"/>
    </xf>
    <xf numFmtId="17" fontId="7" fillId="2" borderId="9" xfId="30" applyNumberFormat="1" applyFont="1" applyFill="1" applyBorder="1" applyAlignment="1">
      <alignment horizontal="center" vertical="top" wrapText="1"/>
    </xf>
    <xf numFmtId="168" fontId="7" fillId="0" borderId="11" xfId="27" applyNumberFormat="1" applyFont="1" applyBorder="1"/>
    <xf numFmtId="0" fontId="7" fillId="2" borderId="12" xfId="27" applyFont="1" applyFill="1" applyBorder="1"/>
    <xf numFmtId="0" fontId="7" fillId="2" borderId="9" xfId="27" applyFont="1" applyFill="1" applyBorder="1"/>
    <xf numFmtId="0" fontId="7" fillId="2" borderId="6" xfId="27" applyFont="1" applyFill="1" applyBorder="1" applyAlignment="1">
      <alignment horizontal="center" vertical="top" wrapText="1"/>
    </xf>
    <xf numFmtId="0" fontId="7" fillId="2" borderId="9" xfId="27" applyFont="1" applyFill="1" applyBorder="1" applyAlignment="1">
      <alignment horizontal="center" vertical="top" wrapText="1"/>
    </xf>
    <xf numFmtId="0" fontId="65" fillId="2" borderId="98" xfId="0" applyFont="1" applyFill="1" applyBorder="1" applyAlignment="1">
      <alignment horizontal="center"/>
    </xf>
    <xf numFmtId="3" fontId="15" fillId="5" borderId="99" xfId="0" applyNumberFormat="1" applyFont="1" applyFill="1" applyBorder="1"/>
    <xf numFmtId="3" fontId="15" fillId="5" borderId="100" xfId="0" applyNumberFormat="1" applyFont="1" applyFill="1" applyBorder="1"/>
    <xf numFmtId="0" fontId="15" fillId="0" borderId="73" xfId="0" applyFont="1" applyBorder="1" applyAlignment="1">
      <alignment horizontal="center"/>
    </xf>
    <xf numFmtId="3" fontId="15" fillId="0" borderId="67" xfId="0" applyNumberFormat="1" applyFont="1" applyBorder="1"/>
    <xf numFmtId="3" fontId="66" fillId="0" borderId="36" xfId="0" applyNumberFormat="1" applyFont="1" applyBorder="1" applyAlignment="1">
      <alignment horizontal="right"/>
    </xf>
    <xf numFmtId="3" fontId="15" fillId="0" borderId="65" xfId="0" applyNumberFormat="1" applyFont="1" applyBorder="1"/>
    <xf numFmtId="3" fontId="24" fillId="0" borderId="1" xfId="0" applyNumberFormat="1" applyFont="1" applyBorder="1"/>
    <xf numFmtId="3" fontId="15" fillId="0" borderId="1" xfId="0" applyNumberFormat="1" applyFont="1" applyBorder="1" applyAlignment="1">
      <alignment horizontal="center"/>
    </xf>
    <xf numFmtId="3" fontId="17" fillId="0" borderId="1" xfId="0" applyNumberFormat="1" applyFont="1" applyBorder="1"/>
    <xf numFmtId="3" fontId="67" fillId="0" borderId="1" xfId="0" applyNumberFormat="1" applyFont="1" applyBorder="1"/>
    <xf numFmtId="3" fontId="59" fillId="0" borderId="1" xfId="0" applyNumberFormat="1" applyFont="1" applyBorder="1"/>
    <xf numFmtId="3" fontId="24" fillId="0" borderId="63" xfId="0" applyNumberFormat="1" applyFont="1" applyBorder="1"/>
    <xf numFmtId="3" fontId="15" fillId="3" borderId="9" xfId="0" applyNumberFormat="1" applyFont="1" applyFill="1" applyBorder="1"/>
    <xf numFmtId="3" fontId="22" fillId="0" borderId="59" xfId="0" applyNumberFormat="1" applyFont="1" applyBorder="1"/>
    <xf numFmtId="3" fontId="22" fillId="0" borderId="63" xfId="0" applyNumberFormat="1" applyFont="1" applyBorder="1"/>
    <xf numFmtId="3" fontId="22" fillId="0" borderId="101" xfId="0" applyNumberFormat="1" applyFont="1" applyBorder="1"/>
    <xf numFmtId="3" fontId="15" fillId="0" borderId="48" xfId="0" applyNumberFormat="1" applyFont="1" applyBorder="1"/>
    <xf numFmtId="0" fontId="53" fillId="7" borderId="102" xfId="0" applyFont="1" applyFill="1" applyBorder="1" applyAlignment="1">
      <alignment horizontal="center"/>
    </xf>
    <xf numFmtId="3" fontId="15" fillId="7" borderId="103" xfId="0" applyNumberFormat="1" applyFont="1" applyFill="1" applyBorder="1"/>
    <xf numFmtId="3" fontId="15" fillId="7" borderId="104" xfId="0" applyNumberFormat="1" applyFont="1" applyFill="1" applyBorder="1"/>
    <xf numFmtId="3" fontId="15" fillId="7" borderId="105" xfId="0" applyNumberFormat="1" applyFont="1" applyFill="1" applyBorder="1"/>
    <xf numFmtId="3" fontId="15" fillId="5" borderId="106" xfId="0" applyNumberFormat="1" applyFont="1" applyFill="1" applyBorder="1"/>
    <xf numFmtId="3" fontId="15" fillId="5" borderId="107" xfId="0" applyNumberFormat="1" applyFont="1" applyFill="1" applyBorder="1"/>
    <xf numFmtId="3" fontId="15" fillId="5" borderId="95" xfId="0" applyNumberFormat="1" applyFont="1" applyFill="1" applyBorder="1"/>
    <xf numFmtId="3" fontId="15" fillId="7" borderId="102" xfId="0" applyNumberFormat="1" applyFont="1" applyFill="1" applyBorder="1"/>
    <xf numFmtId="0" fontId="15" fillId="0" borderId="108" xfId="0" applyFont="1" applyBorder="1" applyAlignment="1">
      <alignment horizontal="center"/>
    </xf>
    <xf numFmtId="3" fontId="15" fillId="0" borderId="82" xfId="0" applyNumberFormat="1" applyFont="1" applyBorder="1"/>
    <xf numFmtId="3" fontId="15" fillId="5" borderId="82" xfId="0" applyNumberFormat="1" applyFont="1" applyFill="1" applyBorder="1"/>
    <xf numFmtId="3" fontId="15" fillId="5" borderId="98" xfId="0" applyNumberFormat="1" applyFont="1" applyFill="1" applyBorder="1"/>
    <xf numFmtId="0" fontId="15" fillId="0" borderId="109" xfId="0" applyFont="1" applyBorder="1" applyAlignment="1">
      <alignment horizontal="center"/>
    </xf>
    <xf numFmtId="3" fontId="15" fillId="0" borderId="110" xfId="0" applyNumberFormat="1" applyFont="1" applyBorder="1"/>
    <xf numFmtId="3" fontId="58" fillId="0" borderId="110" xfId="0" applyNumberFormat="1" applyFont="1" applyBorder="1"/>
    <xf numFmtId="3" fontId="15" fillId="5" borderId="110" xfId="0" applyNumberFormat="1" applyFont="1" applyFill="1" applyBorder="1"/>
    <xf numFmtId="3" fontId="15" fillId="5" borderId="111" xfId="0" applyNumberFormat="1" applyFont="1" applyFill="1" applyBorder="1"/>
    <xf numFmtId="3" fontId="15" fillId="7" borderId="112" xfId="0" applyNumberFormat="1" applyFont="1" applyFill="1" applyBorder="1"/>
    <xf numFmtId="0" fontId="0" fillId="0" borderId="113" xfId="0" applyBorder="1"/>
    <xf numFmtId="0" fontId="53" fillId="0" borderId="114" xfId="0" applyFont="1" applyFill="1" applyBorder="1" applyAlignment="1">
      <alignment horizontal="center"/>
    </xf>
    <xf numFmtId="3" fontId="22" fillId="0" borderId="115" xfId="0" applyNumberFormat="1" applyFont="1" applyFill="1" applyBorder="1"/>
    <xf numFmtId="3" fontId="15" fillId="5" borderId="115" xfId="0" applyNumberFormat="1" applyFont="1" applyFill="1" applyBorder="1"/>
    <xf numFmtId="3" fontId="15" fillId="7" borderId="116" xfId="0" applyNumberFormat="1" applyFont="1" applyFill="1" applyBorder="1"/>
    <xf numFmtId="3" fontId="92" fillId="0" borderId="73" xfId="0" applyNumberFormat="1" applyFont="1" applyBorder="1"/>
    <xf numFmtId="0" fontId="15" fillId="0" borderId="110" xfId="0" applyFont="1" applyBorder="1" applyAlignment="1">
      <alignment horizontal="center"/>
    </xf>
    <xf numFmtId="0" fontId="6" fillId="0" borderId="0" xfId="30" applyFont="1"/>
    <xf numFmtId="173" fontId="43" fillId="0" borderId="4" xfId="29" applyNumberFormat="1" applyFont="1" applyBorder="1"/>
    <xf numFmtId="168" fontId="45" fillId="3" borderId="2" xfId="29" applyNumberFormat="1" applyFont="1" applyFill="1" applyBorder="1"/>
    <xf numFmtId="168" fontId="9" fillId="3" borderId="11" xfId="29" applyNumberFormat="1" applyFont="1" applyFill="1" applyBorder="1" applyAlignment="1"/>
    <xf numFmtId="168" fontId="42" fillId="3" borderId="11" xfId="29" applyNumberFormat="1" applyFont="1" applyFill="1" applyBorder="1"/>
    <xf numFmtId="168" fontId="40" fillId="3" borderId="11" xfId="29" applyNumberFormat="1" applyFont="1" applyFill="1" applyBorder="1"/>
    <xf numFmtId="168" fontId="14" fillId="0" borderId="0" xfId="29" applyNumberFormat="1" applyFont="1" applyBorder="1"/>
    <xf numFmtId="168" fontId="3" fillId="3" borderId="11" xfId="29" applyNumberFormat="1" applyFill="1" applyBorder="1" applyAlignment="1"/>
    <xf numFmtId="168" fontId="78" fillId="3" borderId="11" xfId="29" applyNumberFormat="1" applyFont="1" applyFill="1" applyBorder="1" applyAlignment="1"/>
    <xf numFmtId="168" fontId="3" fillId="0" borderId="4" xfId="29" applyNumberFormat="1" applyBorder="1"/>
    <xf numFmtId="168" fontId="3" fillId="0" borderId="0" xfId="29" applyNumberFormat="1" applyBorder="1"/>
    <xf numFmtId="168" fontId="93" fillId="3" borderId="11" xfId="29" applyNumberFormat="1" applyFont="1" applyFill="1" applyBorder="1" applyAlignment="1"/>
    <xf numFmtId="168" fontId="93" fillId="3" borderId="11" xfId="29" applyNumberFormat="1" applyFont="1" applyFill="1" applyBorder="1" applyAlignment="1">
      <alignment horizontal="right"/>
    </xf>
    <xf numFmtId="168" fontId="94" fillId="3" borderId="11" xfId="29" applyNumberFormat="1" applyFont="1" applyFill="1" applyBorder="1" applyAlignment="1"/>
    <xf numFmtId="168" fontId="78" fillId="3" borderId="11" xfId="29" applyNumberFormat="1" applyFont="1" applyFill="1" applyBorder="1" applyAlignment="1">
      <alignment horizontal="right"/>
    </xf>
    <xf numFmtId="168" fontId="95" fillId="8" borderId="21" xfId="29" applyNumberFormat="1" applyFont="1" applyFill="1" applyBorder="1" applyAlignment="1"/>
    <xf numFmtId="0" fontId="15" fillId="0" borderId="0" xfId="0" applyFont="1" applyBorder="1"/>
    <xf numFmtId="3" fontId="92" fillId="0" borderId="0" xfId="0" applyNumberFormat="1" applyFont="1" applyBorder="1"/>
    <xf numFmtId="172" fontId="24" fillId="0" borderId="11" xfId="5" quotePrefix="1" applyNumberFormat="1" applyFont="1" applyBorder="1" applyAlignment="1">
      <alignment horizontal="center"/>
    </xf>
    <xf numFmtId="3" fontId="0" fillId="0" borderId="11" xfId="0" applyNumberFormat="1" applyFill="1" applyBorder="1"/>
    <xf numFmtId="3" fontId="8" fillId="0" borderId="9" xfId="0" applyNumberFormat="1" applyFont="1" applyBorder="1"/>
    <xf numFmtId="3" fontId="8" fillId="0" borderId="10" xfId="0" applyNumberFormat="1" applyFont="1" applyBorder="1"/>
    <xf numFmtId="3" fontId="8" fillId="0" borderId="88" xfId="0" applyNumberFormat="1" applyFont="1" applyBorder="1"/>
    <xf numFmtId="3" fontId="8" fillId="0" borderId="89" xfId="0" applyNumberFormat="1" applyFont="1" applyBorder="1"/>
    <xf numFmtId="174" fontId="0" fillId="0" borderId="11" xfId="0" applyNumberFormat="1" applyBorder="1"/>
    <xf numFmtId="174" fontId="0" fillId="0" borderId="11" xfId="0" applyNumberFormat="1" applyFill="1" applyBorder="1"/>
    <xf numFmtId="3" fontId="0" fillId="0" borderId="87" xfId="0" applyNumberFormat="1" applyBorder="1"/>
    <xf numFmtId="3" fontId="0" fillId="0" borderId="11" xfId="41" applyNumberFormat="1" applyFont="1" applyBorder="1"/>
    <xf numFmtId="0" fontId="5" fillId="0" borderId="11" xfId="27" applyFont="1" applyBorder="1"/>
    <xf numFmtId="0" fontId="19" fillId="0" borderId="6" xfId="0" applyFont="1" applyBorder="1" applyAlignment="1">
      <alignment horizontal="center"/>
    </xf>
    <xf numFmtId="49" fontId="17" fillId="0" borderId="6" xfId="0" applyNumberFormat="1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22" fillId="0" borderId="4" xfId="0" applyFont="1" applyBorder="1" applyAlignment="1">
      <alignment horizontal="left" indent="2"/>
    </xf>
    <xf numFmtId="0" fontId="5" fillId="0" borderId="11" xfId="30" applyFont="1" applyBorder="1"/>
    <xf numFmtId="0" fontId="5" fillId="0" borderId="14" xfId="30" applyFont="1" applyBorder="1"/>
    <xf numFmtId="0" fontId="22" fillId="0" borderId="4" xfId="0" applyFont="1" applyBorder="1" applyAlignment="1">
      <alignment horizontal="left" indent="3"/>
    </xf>
    <xf numFmtId="3" fontId="15" fillId="0" borderId="0" xfId="0" applyNumberFormat="1" applyFont="1"/>
    <xf numFmtId="176" fontId="0" fillId="0" borderId="0" xfId="0" applyNumberFormat="1"/>
    <xf numFmtId="4" fontId="31" fillId="0" borderId="0" xfId="25" applyNumberFormat="1" applyFont="1"/>
    <xf numFmtId="168" fontId="31" fillId="0" borderId="4" xfId="25" applyNumberFormat="1" applyFont="1" applyBorder="1" applyProtection="1"/>
    <xf numFmtId="4" fontId="22" fillId="0" borderId="11" xfId="0" applyNumberFormat="1" applyFont="1" applyFill="1" applyBorder="1"/>
    <xf numFmtId="172" fontId="56" fillId="22" borderId="48" xfId="5" applyNumberFormat="1" applyFont="1" applyFill="1" applyBorder="1"/>
    <xf numFmtId="0" fontId="53" fillId="22" borderId="0" xfId="33" applyFont="1" applyFill="1"/>
    <xf numFmtId="3" fontId="53" fillId="22" borderId="0" xfId="33" applyNumberFormat="1" applyFont="1" applyFill="1"/>
    <xf numFmtId="168" fontId="31" fillId="23" borderId="0" xfId="25" applyNumberFormat="1" applyFont="1" applyFill="1"/>
    <xf numFmtId="172" fontId="22" fillId="23" borderId="11" xfId="5" applyNumberFormat="1" applyFont="1" applyFill="1" applyBorder="1" applyAlignment="1">
      <alignment horizontal="right"/>
    </xf>
    <xf numFmtId="3" fontId="22" fillId="23" borderId="61" xfId="0" applyNumberFormat="1" applyFont="1" applyFill="1" applyBorder="1"/>
    <xf numFmtId="3" fontId="15" fillId="0" borderId="0" xfId="0" applyNumberFormat="1" applyFont="1" applyFill="1" applyBorder="1"/>
    <xf numFmtId="4" fontId="22" fillId="0" borderId="11" xfId="0" applyNumberFormat="1" applyFont="1" applyBorder="1"/>
    <xf numFmtId="4" fontId="131" fillId="0" borderId="11" xfId="0" applyNumberFormat="1" applyFont="1" applyBorder="1"/>
    <xf numFmtId="3" fontId="17" fillId="0" borderId="4" xfId="0" applyNumberFormat="1" applyFont="1" applyFill="1" applyBorder="1"/>
    <xf numFmtId="176" fontId="22" fillId="0" borderId="0" xfId="33" applyNumberFormat="1" applyFont="1"/>
    <xf numFmtId="3" fontId="0" fillId="0" borderId="0" xfId="0" applyNumberFormat="1" applyAlignment="1">
      <alignment horizontal="center"/>
    </xf>
    <xf numFmtId="176" fontId="31" fillId="0" borderId="0" xfId="41" applyNumberFormat="1" applyFont="1"/>
    <xf numFmtId="172" fontId="132" fillId="0" borderId="11" xfId="5" applyNumberFormat="1" applyFont="1" applyBorder="1" applyAlignment="1">
      <alignment horizontal="right"/>
    </xf>
    <xf numFmtId="178" fontId="53" fillId="22" borderId="0" xfId="33" applyNumberFormat="1" applyFont="1" applyFill="1" applyAlignment="1"/>
    <xf numFmtId="3" fontId="22" fillId="0" borderId="0" xfId="33" applyNumberFormat="1" applyFont="1" applyAlignment="1"/>
    <xf numFmtId="3" fontId="22" fillId="0" borderId="0" xfId="5" applyNumberFormat="1" applyFont="1"/>
    <xf numFmtId="168" fontId="5" fillId="0" borderId="4" xfId="27" applyNumberFormat="1" applyFont="1" applyBorder="1"/>
    <xf numFmtId="0" fontId="132" fillId="0" borderId="11" xfId="33" applyFont="1" applyBorder="1"/>
    <xf numFmtId="3" fontId="15" fillId="0" borderId="0" xfId="0" applyNumberFormat="1" applyFont="1" applyBorder="1"/>
    <xf numFmtId="0" fontId="22" fillId="0" borderId="4" xfId="0" applyFont="1" applyBorder="1" applyAlignment="1">
      <alignment horizontal="left"/>
    </xf>
    <xf numFmtId="167" fontId="18" fillId="0" borderId="12" xfId="0" applyNumberFormat="1" applyFont="1" applyBorder="1"/>
    <xf numFmtId="167" fontId="18" fillId="0" borderId="0" xfId="0" applyNumberFormat="1" applyFont="1" applyBorder="1"/>
    <xf numFmtId="168" fontId="15" fillId="0" borderId="0" xfId="0" applyNumberFormat="1" applyFont="1"/>
    <xf numFmtId="178" fontId="22" fillId="0" borderId="0" xfId="33" applyNumberFormat="1" applyFont="1"/>
    <xf numFmtId="176" fontId="15" fillId="0" borderId="0" xfId="41" applyNumberFormat="1" applyFont="1"/>
    <xf numFmtId="3" fontId="22" fillId="0" borderId="117" xfId="0" applyNumberFormat="1" applyFont="1" applyFill="1" applyBorder="1"/>
    <xf numFmtId="3" fontId="3" fillId="0" borderId="0" xfId="31" applyNumberFormat="1" applyFont="1"/>
    <xf numFmtId="0" fontId="3" fillId="0" borderId="0" xfId="31" applyFont="1"/>
    <xf numFmtId="3" fontId="134" fillId="24" borderId="4" xfId="35" applyNumberFormat="1" applyFont="1" applyFill="1" applyBorder="1" applyAlignment="1">
      <alignment horizontal="center"/>
    </xf>
    <xf numFmtId="3" fontId="134" fillId="24" borderId="30" xfId="35" applyNumberFormat="1" applyFont="1" applyFill="1" applyBorder="1" applyAlignment="1">
      <alignment horizontal="right"/>
    </xf>
    <xf numFmtId="3" fontId="3" fillId="25" borderId="4" xfId="31" applyNumberFormat="1" applyFont="1" applyFill="1" applyBorder="1"/>
    <xf numFmtId="3" fontId="3" fillId="0" borderId="4" xfId="31" applyNumberFormat="1" applyFont="1" applyBorder="1"/>
    <xf numFmtId="3" fontId="3" fillId="0" borderId="30" xfId="31" applyNumberFormat="1" applyFont="1" applyBorder="1" applyAlignment="1">
      <alignment horizontal="right"/>
    </xf>
    <xf numFmtId="3" fontId="134" fillId="24" borderId="30" xfId="35" applyNumberFormat="1" applyFont="1" applyFill="1" applyBorder="1" applyAlignment="1">
      <alignment horizontal="center"/>
    </xf>
    <xf numFmtId="3" fontId="3" fillId="0" borderId="4" xfId="31" applyNumberFormat="1" applyFont="1" applyFill="1" applyBorder="1"/>
    <xf numFmtId="3" fontId="22" fillId="0" borderId="4" xfId="15" applyNumberFormat="1" applyFont="1" applyFill="1" applyBorder="1" applyAlignment="1"/>
    <xf numFmtId="3" fontId="22" fillId="0" borderId="4" xfId="15" applyNumberFormat="1" applyFont="1" applyBorder="1" applyAlignment="1"/>
    <xf numFmtId="3" fontId="3" fillId="0" borderId="4" xfId="31" applyNumberFormat="1" applyFont="1" applyBorder="1" applyAlignment="1">
      <alignment horizontal="right"/>
    </xf>
    <xf numFmtId="3" fontId="134" fillId="24" borderId="4" xfId="35" applyNumberFormat="1" applyFont="1" applyFill="1" applyBorder="1" applyAlignment="1">
      <alignment horizontal="right"/>
    </xf>
    <xf numFmtId="0" fontId="3" fillId="0" borderId="4" xfId="31" applyFont="1" applyBorder="1"/>
    <xf numFmtId="3" fontId="62" fillId="0" borderId="4" xfId="15" applyNumberFormat="1" applyFont="1" applyBorder="1" applyAlignment="1"/>
    <xf numFmtId="0" fontId="13" fillId="0" borderId="0" xfId="31" applyFont="1"/>
    <xf numFmtId="3" fontId="38" fillId="26" borderId="4" xfId="31" applyNumberFormat="1" applyFont="1" applyFill="1" applyBorder="1"/>
    <xf numFmtId="3" fontId="38" fillId="26" borderId="30" xfId="31" applyNumberFormat="1" applyFont="1" applyFill="1" applyBorder="1" applyAlignment="1">
      <alignment horizontal="right"/>
    </xf>
    <xf numFmtId="3" fontId="3" fillId="0" borderId="30" xfId="31" applyNumberFormat="1" applyFont="1" applyFill="1" applyBorder="1" applyAlignment="1">
      <alignment horizontal="right"/>
    </xf>
    <xf numFmtId="0" fontId="3" fillId="0" borderId="0" xfId="31" applyFont="1" applyFill="1"/>
    <xf numFmtId="3" fontId="38" fillId="0" borderId="4" xfId="31" applyNumberFormat="1" applyFont="1" applyFill="1" applyBorder="1"/>
    <xf numFmtId="3" fontId="3" fillId="27" borderId="4" xfId="31" applyNumberFormat="1" applyFont="1" applyFill="1" applyBorder="1"/>
    <xf numFmtId="3" fontId="3" fillId="27" borderId="30" xfId="31" applyNumberFormat="1" applyFont="1" applyFill="1" applyBorder="1" applyAlignment="1">
      <alignment horizontal="right"/>
    </xf>
    <xf numFmtId="3" fontId="3" fillId="23" borderId="4" xfId="31" applyNumberFormat="1" applyFont="1" applyFill="1" applyBorder="1"/>
    <xf numFmtId="3" fontId="37" fillId="27" borderId="4" xfId="31" applyNumberFormat="1" applyFont="1" applyFill="1" applyBorder="1"/>
    <xf numFmtId="3" fontId="37" fillId="27" borderId="30" xfId="31" applyNumberFormat="1" applyFont="1" applyFill="1" applyBorder="1" applyAlignment="1">
      <alignment horizontal="right"/>
    </xf>
    <xf numFmtId="0" fontId="5" fillId="0" borderId="0" xfId="34" applyNumberFormat="1" applyFont="1" applyFill="1" applyBorder="1" applyAlignment="1" applyProtection="1"/>
    <xf numFmtId="0" fontId="3" fillId="0" borderId="0" xfId="31" applyFont="1" applyAlignment="1">
      <alignment horizontal="center"/>
    </xf>
    <xf numFmtId="3" fontId="3" fillId="0" borderId="0" xfId="31" applyNumberFormat="1" applyFont="1" applyAlignment="1">
      <alignment horizontal="right"/>
    </xf>
    <xf numFmtId="3" fontId="3" fillId="0" borderId="6" xfId="31" applyNumberFormat="1" applyFont="1" applyBorder="1" applyAlignment="1">
      <alignment horizontal="right"/>
    </xf>
    <xf numFmtId="3" fontId="3" fillId="0" borderId="9" xfId="31" applyNumberFormat="1" applyFont="1" applyBorder="1" applyAlignment="1">
      <alignment horizontal="right"/>
    </xf>
    <xf numFmtId="3" fontId="3" fillId="0" borderId="33" xfId="31" applyNumberFormat="1" applyFont="1" applyBorder="1" applyAlignment="1">
      <alignment horizontal="right"/>
    </xf>
    <xf numFmtId="3" fontId="3" fillId="0" borderId="6" xfId="31" applyNumberFormat="1" applyFont="1" applyBorder="1"/>
    <xf numFmtId="3" fontId="3" fillId="0" borderId="1" xfId="31" applyNumberFormat="1" applyFont="1" applyBorder="1"/>
    <xf numFmtId="0" fontId="22" fillId="0" borderId="68" xfId="31" applyFont="1" applyBorder="1" applyAlignment="1">
      <alignment horizontal="left" indent="1"/>
    </xf>
    <xf numFmtId="0" fontId="22" fillId="0" borderId="118" xfId="31" applyFont="1" applyBorder="1" applyAlignment="1">
      <alignment horizontal="center"/>
    </xf>
    <xf numFmtId="3" fontId="134" fillId="24" borderId="119" xfId="35" applyNumberFormat="1" applyFont="1" applyFill="1" applyBorder="1" applyAlignment="1">
      <alignment horizontal="right"/>
    </xf>
    <xf numFmtId="3" fontId="134" fillId="24" borderId="120" xfId="35" applyNumberFormat="1" applyFont="1" applyFill="1" applyBorder="1" applyAlignment="1">
      <alignment horizontal="center"/>
    </xf>
    <xf numFmtId="3" fontId="134" fillId="24" borderId="78" xfId="35" applyNumberFormat="1" applyFont="1" applyFill="1" applyBorder="1" applyAlignment="1">
      <alignment horizontal="right"/>
    </xf>
    <xf numFmtId="3" fontId="134" fillId="24" borderId="5" xfId="35" applyNumberFormat="1" applyFont="1" applyFill="1" applyBorder="1" applyAlignment="1">
      <alignment horizontal="center"/>
    </xf>
    <xf numFmtId="3" fontId="134" fillId="24" borderId="59" xfId="35" applyNumberFormat="1" applyFont="1" applyFill="1" applyBorder="1" applyAlignment="1">
      <alignment horizontal="center"/>
    </xf>
    <xf numFmtId="0" fontId="134" fillId="24" borderId="68" xfId="35" applyFont="1" applyFill="1" applyBorder="1" applyAlignment="1">
      <alignment horizontal="left" indent="1"/>
    </xf>
    <xf numFmtId="0" fontId="134" fillId="24" borderId="118" xfId="35" applyFont="1" applyFill="1" applyBorder="1" applyAlignment="1">
      <alignment horizontal="center"/>
    </xf>
    <xf numFmtId="3" fontId="3" fillId="0" borderId="121" xfId="31" applyNumberFormat="1" applyFont="1" applyBorder="1" applyAlignment="1">
      <alignment horizontal="right"/>
    </xf>
    <xf numFmtId="3" fontId="3" fillId="0" borderId="122" xfId="31" applyNumberFormat="1" applyFont="1" applyBorder="1" applyAlignment="1">
      <alignment horizontal="right"/>
    </xf>
    <xf numFmtId="3" fontId="3" fillId="0" borderId="0" xfId="31" applyNumberFormat="1" applyFont="1" applyBorder="1"/>
    <xf numFmtId="0" fontId="61" fillId="0" borderId="83" xfId="35" applyFont="1" applyFill="1" applyBorder="1" applyAlignment="1">
      <alignment horizontal="left" indent="1"/>
    </xf>
    <xf numFmtId="0" fontId="61" fillId="0" borderId="117" xfId="35" applyFont="1" applyFill="1" applyBorder="1" applyAlignment="1">
      <alignment horizontal="center"/>
    </xf>
    <xf numFmtId="49" fontId="102" fillId="0" borderId="117" xfId="34" applyNumberFormat="1" applyFont="1" applyBorder="1" applyAlignment="1">
      <alignment horizontal="center" vertical="center"/>
    </xf>
    <xf numFmtId="3" fontId="38" fillId="26" borderId="123" xfId="31" applyNumberFormat="1" applyFont="1" applyFill="1" applyBorder="1" applyAlignment="1">
      <alignment horizontal="right"/>
    </xf>
    <xf numFmtId="3" fontId="38" fillId="26" borderId="0" xfId="31" applyNumberFormat="1" applyFont="1" applyFill="1" applyBorder="1" applyAlignment="1">
      <alignment horizontal="right"/>
    </xf>
    <xf numFmtId="3" fontId="38" fillId="26" borderId="0" xfId="31" applyNumberFormat="1" applyFont="1" applyFill="1" applyBorder="1"/>
    <xf numFmtId="0" fontId="58" fillId="26" borderId="83" xfId="35" applyFont="1" applyFill="1" applyBorder="1"/>
    <xf numFmtId="0" fontId="58" fillId="26" borderId="117" xfId="35" applyFont="1" applyFill="1" applyBorder="1" applyAlignment="1">
      <alignment horizontal="center"/>
    </xf>
    <xf numFmtId="3" fontId="134" fillId="24" borderId="123" xfId="35" applyNumberFormat="1" applyFont="1" applyFill="1" applyBorder="1" applyAlignment="1">
      <alignment horizontal="right"/>
    </xf>
    <xf numFmtId="3" fontId="134" fillId="24" borderId="0" xfId="35" applyNumberFormat="1" applyFont="1" applyFill="1" applyBorder="1" applyAlignment="1">
      <alignment horizontal="center"/>
    </xf>
    <xf numFmtId="0" fontId="134" fillId="24" borderId="83" xfId="35" applyFont="1" applyFill="1" applyBorder="1" applyAlignment="1">
      <alignment horizontal="left" indent="1"/>
    </xf>
    <xf numFmtId="0" fontId="134" fillId="24" borderId="117" xfId="35" applyFont="1" applyFill="1" applyBorder="1" applyAlignment="1">
      <alignment horizontal="center"/>
    </xf>
    <xf numFmtId="0" fontId="58" fillId="20" borderId="83" xfId="35" applyFont="1" applyFill="1" applyBorder="1"/>
    <xf numFmtId="0" fontId="58" fillId="20" borderId="117" xfId="35" applyFont="1" applyFill="1" applyBorder="1" applyAlignment="1">
      <alignment horizontal="center"/>
    </xf>
    <xf numFmtId="0" fontId="61" fillId="0" borderId="83" xfId="35" applyFont="1" applyFill="1" applyBorder="1"/>
    <xf numFmtId="0" fontId="22" fillId="0" borderId="83" xfId="35" applyFont="1" applyFill="1" applyBorder="1"/>
    <xf numFmtId="3" fontId="3" fillId="0" borderId="121" xfId="31" applyNumberFormat="1" applyFont="1" applyFill="1" applyBorder="1" applyAlignment="1">
      <alignment horizontal="right"/>
    </xf>
    <xf numFmtId="3" fontId="3" fillId="0" borderId="122" xfId="31" applyNumberFormat="1" applyFont="1" applyFill="1" applyBorder="1" applyAlignment="1">
      <alignment horizontal="right"/>
    </xf>
    <xf numFmtId="3" fontId="3" fillId="0" borderId="0" xfId="31" applyNumberFormat="1" applyFont="1" applyFill="1" applyBorder="1"/>
    <xf numFmtId="0" fontId="58" fillId="0" borderId="83" xfId="35" applyFont="1" applyFill="1" applyBorder="1"/>
    <xf numFmtId="0" fontId="58" fillId="0" borderId="117" xfId="35" applyFont="1" applyFill="1" applyBorder="1" applyAlignment="1">
      <alignment horizontal="center"/>
    </xf>
    <xf numFmtId="3" fontId="38" fillId="26" borderId="121" xfId="31" applyNumberFormat="1" applyFont="1" applyFill="1" applyBorder="1" applyAlignment="1">
      <alignment horizontal="right"/>
    </xf>
    <xf numFmtId="3" fontId="38" fillId="26" borderId="122" xfId="31" applyNumberFormat="1" applyFont="1" applyFill="1" applyBorder="1" applyAlignment="1">
      <alignment horizontal="right"/>
    </xf>
    <xf numFmtId="3" fontId="37" fillId="27" borderId="121" xfId="31" applyNumberFormat="1" applyFont="1" applyFill="1" applyBorder="1" applyAlignment="1">
      <alignment horizontal="right"/>
    </xf>
    <xf numFmtId="3" fontId="37" fillId="27" borderId="122" xfId="31" applyNumberFormat="1" applyFont="1" applyFill="1" applyBorder="1" applyAlignment="1">
      <alignment horizontal="right"/>
    </xf>
    <xf numFmtId="3" fontId="37" fillId="27" borderId="0" xfId="31" applyNumberFormat="1" applyFont="1" applyFill="1" applyBorder="1"/>
    <xf numFmtId="0" fontId="58" fillId="5" borderId="83" xfId="35" applyFont="1" applyFill="1" applyBorder="1" applyAlignment="1">
      <alignment horizontal="left" indent="1"/>
    </xf>
    <xf numFmtId="3" fontId="134" fillId="24" borderId="79" xfId="35" applyNumberFormat="1" applyFont="1" applyFill="1" applyBorder="1" applyAlignment="1">
      <alignment horizontal="right"/>
    </xf>
    <xf numFmtId="3" fontId="134" fillId="24" borderId="3" xfId="35" applyNumberFormat="1" applyFont="1" applyFill="1" applyBorder="1" applyAlignment="1">
      <alignment horizontal="center"/>
    </xf>
    <xf numFmtId="3" fontId="134" fillId="24" borderId="63" xfId="35" applyNumberFormat="1" applyFont="1" applyFill="1" applyBorder="1" applyAlignment="1">
      <alignment horizontal="center"/>
    </xf>
    <xf numFmtId="0" fontId="134" fillId="24" borderId="124" xfId="35" applyFont="1" applyFill="1" applyBorder="1" applyAlignment="1">
      <alignment horizontal="left" indent="1"/>
    </xf>
    <xf numFmtId="0" fontId="134" fillId="24" borderId="71" xfId="35" applyFont="1" applyFill="1" applyBorder="1" applyAlignment="1">
      <alignment horizontal="center"/>
    </xf>
    <xf numFmtId="3" fontId="3" fillId="0" borderId="78" xfId="31" applyNumberFormat="1" applyFont="1" applyBorder="1" applyAlignment="1">
      <alignment horizontal="right"/>
    </xf>
    <xf numFmtId="3" fontId="3" fillId="0" borderId="5" xfId="31" applyNumberFormat="1" applyFont="1" applyBorder="1"/>
    <xf numFmtId="3" fontId="3" fillId="0" borderId="59" xfId="31" applyNumberFormat="1" applyFont="1" applyBorder="1"/>
    <xf numFmtId="0" fontId="61" fillId="23" borderId="68" xfId="35" applyFont="1" applyFill="1" applyBorder="1" applyAlignment="1">
      <alignment horizontal="left" indent="1"/>
    </xf>
    <xf numFmtId="0" fontId="61" fillId="23" borderId="118" xfId="35" applyFont="1" applyFill="1" applyBorder="1" applyAlignment="1">
      <alignment horizontal="center"/>
    </xf>
    <xf numFmtId="0" fontId="58" fillId="23" borderId="83" xfId="35" applyFont="1" applyFill="1" applyBorder="1" applyAlignment="1">
      <alignment horizontal="left" indent="1"/>
    </xf>
    <xf numFmtId="0" fontId="58" fillId="23" borderId="117" xfId="35" applyFont="1" applyFill="1" applyBorder="1" applyAlignment="1">
      <alignment horizontal="center"/>
    </xf>
    <xf numFmtId="0" fontId="61" fillId="23" borderId="83" xfId="35" applyFont="1" applyFill="1" applyBorder="1" applyAlignment="1">
      <alignment horizontal="left" indent="1"/>
    </xf>
    <xf numFmtId="0" fontId="61" fillId="23" borderId="117" xfId="35" applyFont="1" applyFill="1" applyBorder="1" applyAlignment="1">
      <alignment horizontal="center"/>
    </xf>
    <xf numFmtId="3" fontId="3" fillId="0" borderId="123" xfId="31" applyNumberFormat="1" applyFont="1" applyBorder="1" applyAlignment="1">
      <alignment horizontal="right"/>
    </xf>
    <xf numFmtId="0" fontId="61" fillId="0" borderId="118" xfId="35" applyFont="1" applyFill="1" applyBorder="1" applyAlignment="1">
      <alignment horizontal="center"/>
    </xf>
    <xf numFmtId="0" fontId="58" fillId="0" borderId="83" xfId="35" applyFont="1" applyFill="1" applyBorder="1" applyAlignment="1">
      <alignment horizontal="left" indent="1"/>
    </xf>
    <xf numFmtId="0" fontId="58" fillId="23" borderId="117" xfId="35" applyFont="1" applyFill="1" applyBorder="1" applyAlignment="1">
      <alignment horizontal="center" vertical="center"/>
    </xf>
    <xf numFmtId="0" fontId="100" fillId="0" borderId="83" xfId="35" applyFont="1" applyFill="1" applyBorder="1" applyAlignment="1">
      <alignment horizontal="left" indent="3"/>
    </xf>
    <xf numFmtId="0" fontId="97" fillId="0" borderId="117" xfId="35" applyFont="1" applyFill="1" applyBorder="1" applyAlignment="1">
      <alignment horizontal="center"/>
    </xf>
    <xf numFmtId="0" fontId="100" fillId="0" borderId="83" xfId="35" applyFont="1" applyFill="1" applyBorder="1" applyAlignment="1">
      <alignment horizontal="left" indent="4"/>
    </xf>
    <xf numFmtId="0" fontId="98" fillId="0" borderId="117" xfId="35" applyFont="1" applyFill="1" applyBorder="1" applyAlignment="1">
      <alignment horizontal="center"/>
    </xf>
    <xf numFmtId="3" fontId="3" fillId="0" borderId="123" xfId="31" applyNumberFormat="1" applyFont="1" applyFill="1" applyBorder="1" applyAlignment="1">
      <alignment horizontal="right"/>
    </xf>
    <xf numFmtId="3" fontId="38" fillId="26" borderId="122" xfId="31" applyNumberFormat="1" applyFont="1" applyFill="1" applyBorder="1"/>
    <xf numFmtId="3" fontId="134" fillId="24" borderId="121" xfId="35" applyNumberFormat="1" applyFont="1" applyFill="1" applyBorder="1" applyAlignment="1">
      <alignment horizontal="right"/>
    </xf>
    <xf numFmtId="3" fontId="134" fillId="24" borderId="122" xfId="35" applyNumberFormat="1" applyFont="1" applyFill="1" applyBorder="1" applyAlignment="1">
      <alignment horizontal="center"/>
    </xf>
    <xf numFmtId="0" fontId="22" fillId="0" borderId="83" xfId="35" applyFont="1" applyFill="1" applyBorder="1" applyAlignment="1">
      <alignment horizontal="left" indent="3"/>
    </xf>
    <xf numFmtId="0" fontId="58" fillId="20" borderId="83" xfId="35" applyFont="1" applyFill="1" applyBorder="1" applyAlignment="1">
      <alignment horizontal="left" indent="1"/>
    </xf>
    <xf numFmtId="0" fontId="24" fillId="0" borderId="83" xfId="35" applyFont="1" applyFill="1" applyBorder="1" applyAlignment="1">
      <alignment horizontal="left" indent="4"/>
    </xf>
    <xf numFmtId="3" fontId="38" fillId="26" borderId="79" xfId="31" applyNumberFormat="1" applyFont="1" applyFill="1" applyBorder="1" applyAlignment="1">
      <alignment horizontal="right"/>
    </xf>
    <xf numFmtId="3" fontId="38" fillId="26" borderId="3" xfId="31" applyNumberFormat="1" applyFont="1" applyFill="1" applyBorder="1"/>
    <xf numFmtId="3" fontId="38" fillId="26" borderId="63" xfId="31" applyNumberFormat="1" applyFont="1" applyFill="1" applyBorder="1"/>
    <xf numFmtId="0" fontId="58" fillId="26" borderId="71" xfId="35" applyFont="1" applyFill="1" applyBorder="1" applyAlignment="1">
      <alignment horizontal="center"/>
    </xf>
    <xf numFmtId="0" fontId="22" fillId="0" borderId="68" xfId="35" applyFont="1" applyFill="1" applyBorder="1" applyAlignment="1">
      <alignment horizontal="left" indent="3"/>
    </xf>
    <xf numFmtId="0" fontId="97" fillId="0" borderId="118" xfId="35" applyFont="1" applyFill="1" applyBorder="1" applyAlignment="1">
      <alignment horizontal="center"/>
    </xf>
    <xf numFmtId="0" fontId="22" fillId="23" borderId="83" xfId="35" applyFont="1" applyFill="1" applyBorder="1" applyAlignment="1">
      <alignment horizontal="left" indent="3"/>
    </xf>
    <xf numFmtId="0" fontId="24" fillId="23" borderId="83" xfId="35" applyFont="1" applyFill="1" applyBorder="1" applyAlignment="1">
      <alignment horizontal="left" indent="4"/>
    </xf>
    <xf numFmtId="3" fontId="37" fillId="27" borderId="122" xfId="31" applyNumberFormat="1" applyFont="1" applyFill="1" applyBorder="1"/>
    <xf numFmtId="3" fontId="135" fillId="28" borderId="121" xfId="31" applyNumberFormat="1" applyFont="1" applyFill="1" applyBorder="1" applyAlignment="1">
      <alignment horizontal="right"/>
    </xf>
    <xf numFmtId="3" fontId="135" fillId="28" borderId="122" xfId="31" applyNumberFormat="1" applyFont="1" applyFill="1" applyBorder="1" applyAlignment="1">
      <alignment horizontal="right"/>
    </xf>
    <xf numFmtId="3" fontId="3" fillId="23" borderId="30" xfId="31" applyNumberFormat="1" applyFont="1" applyFill="1" applyBorder="1" applyAlignment="1">
      <alignment horizontal="right"/>
    </xf>
    <xf numFmtId="0" fontId="24" fillId="0" borderId="83" xfId="35" applyFont="1" applyFill="1" applyBorder="1" applyAlignment="1">
      <alignment horizontal="left" indent="3"/>
    </xf>
    <xf numFmtId="0" fontId="24" fillId="0" borderId="83" xfId="35" applyFont="1" applyFill="1" applyBorder="1" applyAlignment="1">
      <alignment horizontal="left" indent="5"/>
    </xf>
    <xf numFmtId="49" fontId="99" fillId="0" borderId="117" xfId="35" applyNumberFormat="1" applyFont="1" applyFill="1" applyBorder="1" applyAlignment="1">
      <alignment horizontal="center"/>
    </xf>
    <xf numFmtId="0" fontId="22" fillId="0" borderId="83" xfId="35" applyFont="1" applyFill="1" applyBorder="1" applyAlignment="1">
      <alignment horizontal="left" indent="4"/>
    </xf>
    <xf numFmtId="0" fontId="15" fillId="0" borderId="83" xfId="35" applyFont="1" applyFill="1" applyBorder="1" applyAlignment="1">
      <alignment horizontal="left" indent="3"/>
    </xf>
    <xf numFmtId="3" fontId="3" fillId="27" borderId="121" xfId="31" applyNumberFormat="1" applyFont="1" applyFill="1" applyBorder="1" applyAlignment="1">
      <alignment horizontal="right"/>
    </xf>
    <xf numFmtId="3" fontId="3" fillId="27" borderId="122" xfId="31" applyNumberFormat="1" applyFont="1" applyFill="1" applyBorder="1"/>
    <xf numFmtId="3" fontId="3" fillId="27" borderId="0" xfId="31" applyNumberFormat="1" applyFont="1" applyFill="1" applyBorder="1"/>
    <xf numFmtId="3" fontId="134" fillId="24" borderId="122" xfId="35" applyNumberFormat="1" applyFont="1" applyFill="1" applyBorder="1" applyAlignment="1">
      <alignment horizontal="right"/>
    </xf>
    <xf numFmtId="0" fontId="61" fillId="0" borderId="83" xfId="35" applyFont="1" applyFill="1" applyBorder="1" applyAlignment="1">
      <alignment horizontal="left" indent="2"/>
    </xf>
    <xf numFmtId="0" fontId="37" fillId="0" borderId="117" xfId="31" applyFont="1" applyBorder="1" applyAlignment="1">
      <alignment horizontal="center"/>
    </xf>
    <xf numFmtId="0" fontId="22" fillId="0" borderId="83" xfId="35" applyFont="1" applyFill="1" applyBorder="1" applyAlignment="1">
      <alignment horizontal="left" indent="1"/>
    </xf>
    <xf numFmtId="0" fontId="22" fillId="0" borderId="68" xfId="35" applyFont="1" applyFill="1" applyBorder="1" applyAlignment="1">
      <alignment horizontal="left" indent="1"/>
    </xf>
    <xf numFmtId="3" fontId="38" fillId="26" borderId="78" xfId="31" applyNumberFormat="1" applyFont="1" applyFill="1" applyBorder="1" applyAlignment="1">
      <alignment horizontal="right"/>
    </xf>
    <xf numFmtId="3" fontId="38" fillId="26" borderId="5" xfId="31" applyNumberFormat="1" applyFont="1" applyFill="1" applyBorder="1"/>
    <xf numFmtId="3" fontId="38" fillId="26" borderId="59" xfId="31" applyNumberFormat="1" applyFont="1" applyFill="1" applyBorder="1"/>
    <xf numFmtId="0" fontId="58" fillId="26" borderId="68" xfId="35" applyFont="1" applyFill="1" applyBorder="1"/>
    <xf numFmtId="0" fontId="58" fillId="26" borderId="118" xfId="35" applyFont="1" applyFill="1" applyBorder="1" applyAlignment="1">
      <alignment horizontal="center"/>
    </xf>
    <xf numFmtId="0" fontId="22" fillId="0" borderId="83" xfId="35" applyFont="1" applyFill="1" applyBorder="1" applyAlignment="1">
      <alignment horizontal="left" indent="2"/>
    </xf>
    <xf numFmtId="3" fontId="3" fillId="0" borderId="6" xfId="31" applyNumberFormat="1" applyFont="1" applyFill="1" applyBorder="1"/>
    <xf numFmtId="0" fontId="22" fillId="0" borderId="69" xfId="35" applyFont="1" applyFill="1" applyBorder="1" applyAlignment="1">
      <alignment horizontal="left" indent="1"/>
    </xf>
    <xf numFmtId="0" fontId="37" fillId="0" borderId="61" xfId="31" applyFont="1" applyBorder="1" applyAlignment="1">
      <alignment horizontal="center"/>
    </xf>
    <xf numFmtId="3" fontId="38" fillId="0" borderId="5" xfId="31" applyNumberFormat="1" applyFont="1" applyFill="1" applyBorder="1"/>
    <xf numFmtId="3" fontId="134" fillId="24" borderId="125" xfId="35" applyNumberFormat="1" applyFont="1" applyFill="1" applyBorder="1" applyAlignment="1">
      <alignment horizontal="right"/>
    </xf>
    <xf numFmtId="3" fontId="134" fillId="24" borderId="126" xfId="35" applyNumberFormat="1" applyFont="1" applyFill="1" applyBorder="1" applyAlignment="1">
      <alignment horizontal="right"/>
    </xf>
    <xf numFmtId="3" fontId="3" fillId="0" borderId="127" xfId="31" applyNumberFormat="1" applyFont="1" applyBorder="1"/>
    <xf numFmtId="3" fontId="3" fillId="0" borderId="128" xfId="31" applyNumberFormat="1" applyFont="1" applyBorder="1"/>
    <xf numFmtId="3" fontId="3" fillId="0" borderId="122" xfId="31" applyNumberFormat="1" applyFont="1" applyBorder="1"/>
    <xf numFmtId="0" fontId="134" fillId="29" borderId="83" xfId="35" applyFont="1" applyFill="1" applyBorder="1" applyAlignment="1">
      <alignment vertical="top" wrapText="1"/>
    </xf>
    <xf numFmtId="0" fontId="134" fillId="29" borderId="117" xfId="35" applyFont="1" applyFill="1" applyBorder="1" applyAlignment="1">
      <alignment horizontal="center" vertical="top" wrapText="1"/>
    </xf>
    <xf numFmtId="0" fontId="15" fillId="21" borderId="83" xfId="35" applyFont="1" applyFill="1" applyBorder="1" applyAlignment="1">
      <alignment vertical="top" wrapText="1"/>
    </xf>
    <xf numFmtId="0" fontId="15" fillId="21" borderId="117" xfId="35" applyFont="1" applyFill="1" applyBorder="1" applyAlignment="1">
      <alignment horizontal="center" vertical="top" wrapText="1"/>
    </xf>
    <xf numFmtId="3" fontId="3" fillId="0" borderId="127" xfId="31" applyNumberFormat="1" applyFont="1" applyFill="1" applyBorder="1"/>
    <xf numFmtId="3" fontId="3" fillId="0" borderId="128" xfId="31" applyNumberFormat="1" applyFont="1" applyFill="1" applyBorder="1"/>
    <xf numFmtId="3" fontId="3" fillId="0" borderId="122" xfId="31" applyNumberFormat="1" applyFont="1" applyFill="1" applyBorder="1"/>
    <xf numFmtId="0" fontId="61" fillId="5" borderId="83" xfId="35" applyFont="1" applyFill="1" applyBorder="1"/>
    <xf numFmtId="0" fontId="61" fillId="2" borderId="83" xfId="35" applyFont="1" applyFill="1" applyBorder="1"/>
    <xf numFmtId="3" fontId="3" fillId="0" borderId="11" xfId="31" applyNumberFormat="1" applyFont="1" applyBorder="1"/>
    <xf numFmtId="3" fontId="38" fillId="26" borderId="11" xfId="31" applyNumberFormat="1" applyFont="1" applyFill="1" applyBorder="1"/>
    <xf numFmtId="3" fontId="134" fillId="24" borderId="2" xfId="35" applyNumberFormat="1" applyFont="1" applyFill="1" applyBorder="1" applyAlignment="1">
      <alignment horizontal="center"/>
    </xf>
    <xf numFmtId="3" fontId="13" fillId="0" borderId="6" xfId="31" applyNumberFormat="1" applyFont="1" applyBorder="1"/>
    <xf numFmtId="3" fontId="13" fillId="0" borderId="9" xfId="31" applyNumberFormat="1" applyFont="1" applyBorder="1"/>
    <xf numFmtId="3" fontId="13" fillId="0" borderId="33" xfId="31" applyNumberFormat="1" applyFont="1" applyBorder="1" applyAlignment="1">
      <alignment horizontal="right"/>
    </xf>
    <xf numFmtId="0" fontId="13" fillId="0" borderId="69" xfId="31" applyFont="1" applyBorder="1"/>
    <xf numFmtId="0" fontId="13" fillId="0" borderId="61" xfId="31" applyFont="1" applyBorder="1" applyAlignment="1">
      <alignment horizontal="center"/>
    </xf>
    <xf numFmtId="0" fontId="22" fillId="0" borderId="83" xfId="14" applyFont="1" applyFill="1" applyBorder="1" applyAlignment="1">
      <alignment horizontal="left" indent="2"/>
    </xf>
    <xf numFmtId="0" fontId="3" fillId="0" borderId="117" xfId="31" applyFont="1" applyBorder="1" applyAlignment="1">
      <alignment horizontal="center"/>
    </xf>
    <xf numFmtId="0" fontId="131" fillId="0" borderId="83" xfId="14" applyFont="1" applyFill="1" applyBorder="1" applyAlignment="1">
      <alignment horizontal="left" indent="2"/>
    </xf>
    <xf numFmtId="3" fontId="22" fillId="0" borderId="11" xfId="15" applyNumberFormat="1" applyFont="1" applyBorder="1" applyAlignment="1"/>
    <xf numFmtId="3" fontId="3" fillId="0" borderId="11" xfId="31" applyNumberFormat="1" applyFont="1" applyBorder="1" applyAlignment="1">
      <alignment horizontal="right"/>
    </xf>
    <xf numFmtId="0" fontId="22" fillId="0" borderId="83" xfId="14" applyFont="1" applyFill="1" applyBorder="1" applyAlignment="1">
      <alignment horizontal="left" indent="3"/>
    </xf>
    <xf numFmtId="3" fontId="134" fillId="24" borderId="123" xfId="35" applyNumberFormat="1" applyFont="1" applyFill="1" applyBorder="1" applyAlignment="1">
      <alignment horizontal="center"/>
    </xf>
    <xf numFmtId="3" fontId="3" fillId="25" borderId="30" xfId="31" applyNumberFormat="1" applyFont="1" applyFill="1" applyBorder="1"/>
    <xf numFmtId="3" fontId="3" fillId="25" borderId="0" xfId="31" applyNumberFormat="1" applyFont="1" applyFill="1" applyBorder="1"/>
    <xf numFmtId="0" fontId="58" fillId="25" borderId="83" xfId="35" applyFont="1" applyFill="1" applyBorder="1"/>
    <xf numFmtId="3" fontId="3" fillId="0" borderId="3" xfId="31" applyNumberFormat="1" applyFont="1" applyBorder="1"/>
    <xf numFmtId="3" fontId="37" fillId="0" borderId="3" xfId="31" applyNumberFormat="1" applyFont="1" applyBorder="1"/>
    <xf numFmtId="3" fontId="37" fillId="0" borderId="2" xfId="31" applyNumberFormat="1" applyFont="1" applyBorder="1"/>
    <xf numFmtId="0" fontId="3" fillId="0" borderId="2" xfId="31" applyFont="1" applyBorder="1"/>
    <xf numFmtId="0" fontId="3" fillId="0" borderId="7" xfId="31" applyFont="1" applyBorder="1" applyAlignment="1">
      <alignment horizontal="center" wrapText="1"/>
    </xf>
    <xf numFmtId="0" fontId="3" fillId="0" borderId="9" xfId="31" applyFont="1" applyBorder="1"/>
    <xf numFmtId="0" fontId="3" fillId="0" borderId="12" xfId="31" applyFont="1" applyBorder="1" applyAlignment="1">
      <alignment horizontal="center" wrapText="1"/>
    </xf>
    <xf numFmtId="3" fontId="37" fillId="0" borderId="33" xfId="31" applyNumberFormat="1" applyFont="1" applyBorder="1" applyAlignment="1">
      <alignment horizontal="center" vertical="center"/>
    </xf>
    <xf numFmtId="3" fontId="37" fillId="0" borderId="6" xfId="31" applyNumberFormat="1" applyFont="1" applyBorder="1" applyAlignment="1">
      <alignment horizontal="center" vertical="center"/>
    </xf>
    <xf numFmtId="3" fontId="134" fillId="24" borderId="11" xfId="35" applyNumberFormat="1" applyFont="1" applyFill="1" applyBorder="1" applyAlignment="1">
      <alignment horizontal="center"/>
    </xf>
    <xf numFmtId="172" fontId="136" fillId="0" borderId="11" xfId="5" applyNumberFormat="1" applyFont="1" applyBorder="1" applyAlignment="1">
      <alignment horizontal="right"/>
    </xf>
    <xf numFmtId="3" fontId="3" fillId="0" borderId="5" xfId="31" applyNumberFormat="1" applyFont="1" applyFill="1" applyBorder="1"/>
    <xf numFmtId="0" fontId="15" fillId="0" borderId="3" xfId="35" applyFont="1" applyFill="1" applyBorder="1" applyAlignment="1">
      <alignment horizontal="center" vertical="center" wrapText="1"/>
    </xf>
    <xf numFmtId="3" fontId="37" fillId="0" borderId="12" xfId="31" applyNumberFormat="1" applyFont="1" applyBorder="1" applyAlignment="1">
      <alignment horizontal="center" vertical="center"/>
    </xf>
    <xf numFmtId="3" fontId="37" fillId="0" borderId="12" xfId="31" applyNumberFormat="1" applyFont="1" applyBorder="1" applyAlignment="1">
      <alignment horizontal="center" vertical="center" wrapText="1"/>
    </xf>
    <xf numFmtId="3" fontId="37" fillId="0" borderId="7" xfId="31" applyNumberFormat="1" applyFont="1" applyBorder="1" applyAlignment="1">
      <alignment horizontal="center" vertical="center" wrapText="1"/>
    </xf>
    <xf numFmtId="0" fontId="130" fillId="24" borderId="83" xfId="35" applyFont="1" applyFill="1" applyBorder="1" applyAlignment="1">
      <alignment horizontal="left" indent="1"/>
    </xf>
    <xf numFmtId="0" fontId="134" fillId="24" borderId="55" xfId="35" applyFont="1" applyFill="1" applyBorder="1" applyAlignment="1">
      <alignment horizontal="left" indent="1"/>
    </xf>
    <xf numFmtId="0" fontId="134" fillId="24" borderId="11" xfId="35" applyFont="1" applyFill="1" applyBorder="1" applyAlignment="1">
      <alignment horizontal="left" indent="1"/>
    </xf>
    <xf numFmtId="3" fontId="13" fillId="0" borderId="2" xfId="31" applyNumberFormat="1" applyFont="1" applyBorder="1"/>
    <xf numFmtId="3" fontId="13" fillId="0" borderId="3" xfId="31" applyNumberFormat="1" applyFont="1" applyBorder="1"/>
    <xf numFmtId="3" fontId="134" fillId="24" borderId="8" xfId="35" applyNumberFormat="1" applyFont="1" applyFill="1" applyBorder="1" applyAlignment="1">
      <alignment horizontal="center"/>
    </xf>
    <xf numFmtId="0" fontId="58" fillId="26" borderId="55" xfId="35" applyFont="1" applyFill="1" applyBorder="1"/>
    <xf numFmtId="0" fontId="61" fillId="0" borderId="55" xfId="35" applyFont="1" applyFill="1" applyBorder="1"/>
    <xf numFmtId="0" fontId="58" fillId="20" borderId="55" xfId="35" applyFont="1" applyFill="1" applyBorder="1"/>
    <xf numFmtId="0" fontId="58" fillId="0" borderId="55" xfId="35" applyFont="1" applyFill="1" applyBorder="1"/>
    <xf numFmtId="0" fontId="61" fillId="2" borderId="55" xfId="35" applyFont="1" applyFill="1" applyBorder="1"/>
    <xf numFmtId="0" fontId="61" fillId="5" borderId="55" xfId="35" applyFont="1" applyFill="1" applyBorder="1"/>
    <xf numFmtId="0" fontId="15" fillId="21" borderId="55" xfId="35" applyFont="1" applyFill="1" applyBorder="1" applyAlignment="1">
      <alignment vertical="top" wrapText="1"/>
    </xf>
    <xf numFmtId="0" fontId="134" fillId="29" borderId="55" xfId="35" applyFont="1" applyFill="1" applyBorder="1" applyAlignment="1">
      <alignment vertical="top" wrapText="1"/>
    </xf>
    <xf numFmtId="0" fontId="58" fillId="26" borderId="11" xfId="35" applyFont="1" applyFill="1" applyBorder="1"/>
    <xf numFmtId="0" fontId="61" fillId="0" borderId="11" xfId="35" applyFont="1" applyFill="1" applyBorder="1"/>
    <xf numFmtId="0" fontId="58" fillId="20" borderId="11" xfId="35" applyFont="1" applyFill="1" applyBorder="1"/>
    <xf numFmtId="0" fontId="58" fillId="0" borderId="11" xfId="35" applyFont="1" applyFill="1" applyBorder="1"/>
    <xf numFmtId="0" fontId="61" fillId="2" borderId="11" xfId="35" applyFont="1" applyFill="1" applyBorder="1"/>
    <xf numFmtId="0" fontId="61" fillId="5" borderId="11" xfId="35" applyFont="1" applyFill="1" applyBorder="1"/>
    <xf numFmtId="0" fontId="15" fillId="21" borderId="11" xfId="35" applyFont="1" applyFill="1" applyBorder="1" applyAlignment="1">
      <alignment vertical="top" wrapText="1"/>
    </xf>
    <xf numFmtId="0" fontId="134" fillId="29" borderId="11" xfId="35" applyFont="1" applyFill="1" applyBorder="1" applyAlignment="1">
      <alignment vertical="top" wrapText="1"/>
    </xf>
    <xf numFmtId="0" fontId="134" fillId="24" borderId="4" xfId="35" applyFont="1" applyFill="1" applyBorder="1" applyAlignment="1">
      <alignment horizontal="left" indent="1"/>
    </xf>
    <xf numFmtId="0" fontId="58" fillId="26" borderId="4" xfId="35" applyFont="1" applyFill="1" applyBorder="1"/>
    <xf numFmtId="0" fontId="61" fillId="0" borderId="4" xfId="35" applyFont="1" applyFill="1" applyBorder="1"/>
    <xf numFmtId="0" fontId="58" fillId="20" borderId="4" xfId="35" applyFont="1" applyFill="1" applyBorder="1"/>
    <xf numFmtId="0" fontId="58" fillId="0" borderId="4" xfId="35" applyFont="1" applyFill="1" applyBorder="1"/>
    <xf numFmtId="0" fontId="61" fillId="2" borderId="4" xfId="35" applyFont="1" applyFill="1" applyBorder="1"/>
    <xf numFmtId="0" fontId="61" fillId="5" borderId="4" xfId="35" applyFont="1" applyFill="1" applyBorder="1"/>
    <xf numFmtId="0" fontId="15" fillId="21" borderId="4" xfId="35" applyFont="1" applyFill="1" applyBorder="1" applyAlignment="1">
      <alignment vertical="top" wrapText="1"/>
    </xf>
    <xf numFmtId="0" fontId="134" fillId="29" borderId="4" xfId="35" applyFont="1" applyFill="1" applyBorder="1" applyAlignment="1">
      <alignment vertical="top" wrapText="1"/>
    </xf>
    <xf numFmtId="3" fontId="3" fillId="25" borderId="8" xfId="31" applyNumberFormat="1" applyFont="1" applyFill="1" applyBorder="1"/>
    <xf numFmtId="3" fontId="3" fillId="0" borderId="8" xfId="31" applyNumberFormat="1" applyFont="1" applyBorder="1"/>
    <xf numFmtId="3" fontId="22" fillId="0" borderId="8" xfId="15" applyNumberFormat="1" applyFont="1" applyFill="1" applyBorder="1" applyAlignment="1"/>
    <xf numFmtId="3" fontId="3" fillId="0" borderId="8" xfId="31" applyNumberFormat="1" applyFont="1" applyFill="1" applyBorder="1"/>
    <xf numFmtId="3" fontId="13" fillId="0" borderId="12" xfId="31" applyNumberFormat="1" applyFont="1" applyBorder="1"/>
    <xf numFmtId="3" fontId="134" fillId="24" borderId="70" xfId="35" applyNumberFormat="1" applyFont="1" applyFill="1" applyBorder="1" applyAlignment="1">
      <alignment horizontal="center"/>
    </xf>
    <xf numFmtId="3" fontId="38" fillId="26" borderId="30" xfId="31" applyNumberFormat="1" applyFont="1" applyFill="1" applyBorder="1"/>
    <xf numFmtId="0" fontId="58" fillId="26" borderId="117" xfId="35" applyFont="1" applyFill="1" applyBorder="1"/>
    <xf numFmtId="0" fontId="61" fillId="0" borderId="117" xfId="35" applyFont="1" applyFill="1" applyBorder="1"/>
    <xf numFmtId="0" fontId="58" fillId="20" borderId="117" xfId="35" applyFont="1" applyFill="1" applyBorder="1"/>
    <xf numFmtId="0" fontId="58" fillId="0" borderId="117" xfId="35" applyFont="1" applyFill="1" applyBorder="1"/>
    <xf numFmtId="0" fontId="61" fillId="2" borderId="117" xfId="35" applyFont="1" applyFill="1" applyBorder="1"/>
    <xf numFmtId="0" fontId="61" fillId="5" borderId="117" xfId="35" applyFont="1" applyFill="1" applyBorder="1"/>
    <xf numFmtId="0" fontId="15" fillId="21" borderId="117" xfId="35" applyFont="1" applyFill="1" applyBorder="1" applyAlignment="1">
      <alignment vertical="top" wrapText="1"/>
    </xf>
    <xf numFmtId="0" fontId="134" fillId="29" borderId="117" xfId="35" applyFont="1" applyFill="1" applyBorder="1" applyAlignment="1">
      <alignment vertical="top" wrapText="1"/>
    </xf>
    <xf numFmtId="0" fontId="134" fillId="24" borderId="118" xfId="35" applyFont="1" applyFill="1" applyBorder="1" applyAlignment="1"/>
    <xf numFmtId="3" fontId="3" fillId="0" borderId="0" xfId="31" applyNumberFormat="1" applyFont="1" applyBorder="1" applyAlignment="1">
      <alignment horizontal="right"/>
    </xf>
    <xf numFmtId="3" fontId="134" fillId="24" borderId="78" xfId="35" applyNumberFormat="1" applyFont="1" applyFill="1" applyBorder="1" applyAlignment="1">
      <alignment horizontal="center"/>
    </xf>
    <xf numFmtId="3" fontId="133" fillId="0" borderId="0" xfId="0" applyNumberFormat="1" applyFont="1"/>
    <xf numFmtId="3" fontId="92" fillId="0" borderId="59" xfId="0" applyNumberFormat="1" applyFont="1" applyBorder="1"/>
    <xf numFmtId="0" fontId="53" fillId="0" borderId="73" xfId="0" applyFont="1" applyBorder="1"/>
    <xf numFmtId="0" fontId="53" fillId="0" borderId="46" xfId="0" applyFont="1" applyBorder="1"/>
    <xf numFmtId="3" fontId="54" fillId="27" borderId="73" xfId="0" applyNumberFormat="1" applyFont="1" applyFill="1" applyBorder="1"/>
    <xf numFmtId="3" fontId="15" fillId="27" borderId="59" xfId="0" applyNumberFormat="1" applyFont="1" applyFill="1" applyBorder="1"/>
    <xf numFmtId="3" fontId="0" fillId="27" borderId="113" xfId="0" applyNumberFormat="1" applyFill="1" applyBorder="1"/>
    <xf numFmtId="3" fontId="15" fillId="27" borderId="73" xfId="0" applyNumberFormat="1" applyFont="1" applyFill="1" applyBorder="1"/>
    <xf numFmtId="3" fontId="15" fillId="28" borderId="59" xfId="0" applyNumberFormat="1" applyFont="1" applyFill="1" applyBorder="1"/>
    <xf numFmtId="0" fontId="58" fillId="23" borderId="83" xfId="35" applyFont="1" applyFill="1" applyBorder="1" applyAlignment="1">
      <alignment horizontal="left" wrapText="1" indent="1"/>
    </xf>
    <xf numFmtId="0" fontId="61" fillId="23" borderId="83" xfId="35" applyFont="1" applyFill="1" applyBorder="1" applyAlignment="1">
      <alignment horizontal="left" wrapText="1" indent="1"/>
    </xf>
    <xf numFmtId="3" fontId="134" fillId="24" borderId="83" xfId="35" applyNumberFormat="1" applyFont="1" applyFill="1" applyBorder="1" applyAlignment="1">
      <alignment horizontal="left" indent="1"/>
    </xf>
    <xf numFmtId="0" fontId="58" fillId="26" borderId="83" xfId="35" applyFont="1" applyFill="1" applyBorder="1" applyAlignment="1">
      <alignment wrapText="1"/>
    </xf>
    <xf numFmtId="0" fontId="58" fillId="26" borderId="124" xfId="35" applyFont="1" applyFill="1" applyBorder="1" applyAlignment="1">
      <alignment wrapText="1"/>
    </xf>
    <xf numFmtId="0" fontId="58" fillId="26" borderId="61" xfId="35" applyFont="1" applyFill="1" applyBorder="1" applyAlignment="1">
      <alignment horizontal="center"/>
    </xf>
    <xf numFmtId="0" fontId="58" fillId="26" borderId="69" xfId="35" applyFont="1" applyFill="1" applyBorder="1"/>
    <xf numFmtId="3" fontId="38" fillId="26" borderId="6" xfId="31" applyNumberFormat="1" applyFont="1" applyFill="1" applyBorder="1"/>
    <xf numFmtId="3" fontId="38" fillId="26" borderId="1" xfId="31" applyNumberFormat="1" applyFont="1" applyFill="1" applyBorder="1"/>
    <xf numFmtId="3" fontId="38" fillId="26" borderId="33" xfId="31" applyNumberFormat="1" applyFont="1" applyFill="1" applyBorder="1" applyAlignment="1">
      <alignment horizontal="right"/>
    </xf>
    <xf numFmtId="3" fontId="37" fillId="0" borderId="9" xfId="31" applyNumberFormat="1" applyFont="1" applyBorder="1" applyAlignment="1"/>
    <xf numFmtId="3" fontId="6" fillId="0" borderId="4" xfId="30" applyNumberFormat="1" applyBorder="1"/>
    <xf numFmtId="0" fontId="6" fillId="0" borderId="4" xfId="30" applyBorder="1"/>
    <xf numFmtId="0" fontId="6" fillId="0" borderId="5" xfId="30" applyBorder="1"/>
    <xf numFmtId="168" fontId="34" fillId="0" borderId="11" xfId="25" applyNumberFormat="1" applyFont="1" applyBorder="1"/>
    <xf numFmtId="168" fontId="89" fillId="0" borderId="11" xfId="25" applyNumberFormat="1" applyFont="1" applyBorder="1"/>
    <xf numFmtId="168" fontId="89" fillId="0" borderId="11" xfId="25" applyNumberFormat="1" applyFont="1" applyBorder="1" applyProtection="1"/>
    <xf numFmtId="0" fontId="89" fillId="0" borderId="4" xfId="25" applyFont="1" applyBorder="1"/>
    <xf numFmtId="3" fontId="89" fillId="0" borderId="11" xfId="25" applyNumberFormat="1" applyFont="1" applyBorder="1" applyProtection="1"/>
    <xf numFmtId="3" fontId="13" fillId="0" borderId="0" xfId="31" applyNumberFormat="1" applyFont="1"/>
    <xf numFmtId="0" fontId="24" fillId="0" borderId="83" xfId="35" applyFont="1" applyFill="1" applyBorder="1" applyAlignment="1">
      <alignment horizontal="left" wrapText="1" indent="4"/>
    </xf>
    <xf numFmtId="3" fontId="3" fillId="26" borderId="4" xfId="31" applyNumberFormat="1" applyFont="1" applyFill="1" applyBorder="1"/>
    <xf numFmtId="3" fontId="3" fillId="26" borderId="30" xfId="31" applyNumberFormat="1" applyFont="1" applyFill="1" applyBorder="1" applyAlignment="1">
      <alignment horizontal="right"/>
    </xf>
    <xf numFmtId="3" fontId="3" fillId="30" borderId="4" xfId="31" applyNumberFormat="1" applyFont="1" applyFill="1" applyBorder="1"/>
    <xf numFmtId="3" fontId="3" fillId="30" borderId="0" xfId="31" applyNumberFormat="1" applyFont="1" applyFill="1" applyBorder="1"/>
    <xf numFmtId="3" fontId="3" fillId="30" borderId="30" xfId="31" applyNumberFormat="1" applyFont="1" applyFill="1" applyBorder="1" applyAlignment="1">
      <alignment horizontal="right"/>
    </xf>
    <xf numFmtId="0" fontId="15" fillId="0" borderId="129" xfId="35" applyFont="1" applyFill="1" applyBorder="1" applyAlignment="1">
      <alignment horizontal="center" vertical="center" wrapText="1"/>
    </xf>
    <xf numFmtId="0" fontId="15" fillId="0" borderId="81" xfId="35" applyFont="1" applyFill="1" applyBorder="1" applyAlignment="1">
      <alignment horizontal="center" vertical="center" wrapText="1"/>
    </xf>
    <xf numFmtId="0" fontId="15" fillId="0" borderId="21" xfId="35" applyFont="1" applyFill="1" applyBorder="1" applyAlignment="1">
      <alignment horizontal="center" vertical="center" wrapText="1"/>
    </xf>
    <xf numFmtId="0" fontId="15" fillId="0" borderId="58" xfId="35" applyFont="1" applyFill="1" applyBorder="1" applyAlignment="1">
      <alignment horizontal="center" vertical="center" wrapText="1"/>
    </xf>
    <xf numFmtId="3" fontId="37" fillId="0" borderId="58" xfId="31" applyNumberFormat="1" applyFont="1" applyBorder="1" applyAlignment="1">
      <alignment horizontal="center" vertical="center"/>
    </xf>
    <xf numFmtId="3" fontId="37" fillId="0" borderId="75" xfId="31" applyNumberFormat="1" applyFont="1" applyBorder="1" applyAlignment="1">
      <alignment horizontal="center" vertical="center"/>
    </xf>
    <xf numFmtId="3" fontId="37" fillId="0" borderId="21" xfId="31" applyNumberFormat="1" applyFont="1" applyBorder="1" applyAlignment="1">
      <alignment horizontal="center" vertical="center"/>
    </xf>
    <xf numFmtId="3" fontId="37" fillId="0" borderId="22" xfId="31" applyNumberFormat="1" applyFont="1" applyBorder="1" applyAlignment="1">
      <alignment horizontal="center" vertical="center"/>
    </xf>
    <xf numFmtId="0" fontId="15" fillId="0" borderId="18" xfId="35" applyFont="1" applyFill="1" applyBorder="1" applyAlignment="1">
      <alignment horizontal="center" vertical="center" wrapText="1"/>
    </xf>
    <xf numFmtId="3" fontId="37" fillId="0" borderId="18" xfId="31" applyNumberFormat="1" applyFont="1" applyBorder="1" applyAlignment="1"/>
    <xf numFmtId="3" fontId="37" fillId="0" borderId="46" xfId="31" applyNumberFormat="1" applyFont="1" applyBorder="1" applyAlignment="1"/>
    <xf numFmtId="3" fontId="37" fillId="0" borderId="67" xfId="31" applyNumberFormat="1" applyFont="1" applyBorder="1" applyAlignment="1"/>
    <xf numFmtId="0" fontId="137" fillId="0" borderId="117" xfId="31" applyFont="1" applyBorder="1" applyAlignment="1">
      <alignment horizontal="center"/>
    </xf>
    <xf numFmtId="0" fontId="137" fillId="0" borderId="118" xfId="31" applyFont="1" applyBorder="1" applyAlignment="1">
      <alignment horizontal="center"/>
    </xf>
    <xf numFmtId="3" fontId="3" fillId="26" borderId="0" xfId="31" applyNumberFormat="1" applyFont="1" applyFill="1" applyBorder="1"/>
    <xf numFmtId="3" fontId="38" fillId="30" borderId="4" xfId="31" applyNumberFormat="1" applyFont="1" applyFill="1" applyBorder="1"/>
    <xf numFmtId="3" fontId="38" fillId="30" borderId="0" xfId="31" applyNumberFormat="1" applyFont="1" applyFill="1" applyBorder="1"/>
    <xf numFmtId="0" fontId="138" fillId="23" borderId="117" xfId="35" applyFont="1" applyFill="1" applyBorder="1" applyAlignment="1">
      <alignment horizontal="center"/>
    </xf>
    <xf numFmtId="49" fontId="139" fillId="0" borderId="117" xfId="34" applyNumberFormat="1" applyFont="1" applyBorder="1" applyAlignment="1">
      <alignment horizontal="center" vertical="center"/>
    </xf>
    <xf numFmtId="0" fontId="138" fillId="0" borderId="117" xfId="35" applyFont="1" applyFill="1" applyBorder="1" applyAlignment="1">
      <alignment horizontal="center"/>
    </xf>
    <xf numFmtId="3" fontId="134" fillId="24" borderId="118" xfId="35" applyNumberFormat="1" applyFont="1" applyFill="1" applyBorder="1" applyAlignment="1">
      <alignment horizontal="center"/>
    </xf>
    <xf numFmtId="3" fontId="37" fillId="0" borderId="54" xfId="31" applyNumberFormat="1" applyFont="1" applyBorder="1" applyAlignment="1">
      <alignment horizontal="center" vertical="center"/>
    </xf>
    <xf numFmtId="0" fontId="134" fillId="24" borderId="100" xfId="35" applyFont="1" applyFill="1" applyBorder="1" applyAlignment="1"/>
    <xf numFmtId="0" fontId="137" fillId="0" borderId="71" xfId="31" applyFont="1" applyBorder="1" applyAlignment="1">
      <alignment horizontal="center"/>
    </xf>
    <xf numFmtId="0" fontId="22" fillId="0" borderId="124" xfId="35" applyFont="1" applyFill="1" applyBorder="1" applyAlignment="1">
      <alignment horizontal="left" indent="1"/>
    </xf>
    <xf numFmtId="3" fontId="3" fillId="0" borderId="63" xfId="31" applyNumberFormat="1" applyFont="1" applyBorder="1"/>
    <xf numFmtId="3" fontId="3" fillId="0" borderId="79" xfId="31" applyNumberFormat="1" applyFont="1" applyBorder="1" applyAlignment="1">
      <alignment horizontal="right"/>
    </xf>
    <xf numFmtId="0" fontId="58" fillId="23" borderId="71" xfId="35" applyFont="1" applyFill="1" applyBorder="1" applyAlignment="1">
      <alignment horizontal="center"/>
    </xf>
    <xf numFmtId="0" fontId="58" fillId="23" borderId="124" xfId="35" applyFont="1" applyFill="1" applyBorder="1" applyAlignment="1">
      <alignment horizontal="left" wrapText="1" indent="1"/>
    </xf>
    <xf numFmtId="3" fontId="3" fillId="0" borderId="3" xfId="31" applyNumberFormat="1" applyFont="1" applyFill="1" applyBorder="1"/>
    <xf numFmtId="0" fontId="7" fillId="0" borderId="11" xfId="27" applyFont="1" applyBorder="1" applyAlignment="1">
      <alignment wrapText="1"/>
    </xf>
    <xf numFmtId="0" fontId="5" fillId="0" borderId="11" xfId="27" applyFont="1" applyBorder="1" applyAlignment="1">
      <alignment wrapText="1"/>
    </xf>
    <xf numFmtId="3" fontId="133" fillId="0" borderId="4" xfId="0" applyNumberFormat="1" applyFont="1" applyBorder="1"/>
    <xf numFmtId="3" fontId="22" fillId="0" borderId="6" xfId="0" applyNumberFormat="1" applyFont="1" applyBorder="1"/>
    <xf numFmtId="0" fontId="5" fillId="0" borderId="13" xfId="30" applyFont="1" applyBorder="1" applyAlignment="1">
      <alignment horizontal="center"/>
    </xf>
    <xf numFmtId="0" fontId="103" fillId="0" borderId="0" xfId="27" applyFont="1"/>
    <xf numFmtId="3" fontId="105" fillId="0" borderId="0" xfId="0" applyNumberFormat="1" applyFont="1"/>
    <xf numFmtId="0" fontId="105" fillId="0" borderId="0" xfId="0" applyFont="1"/>
    <xf numFmtId="0" fontId="104" fillId="2" borderId="1" xfId="0" applyFont="1" applyFill="1" applyBorder="1"/>
    <xf numFmtId="0" fontId="106" fillId="2" borderId="9" xfId="0" applyFont="1" applyFill="1" applyBorder="1"/>
    <xf numFmtId="168" fontId="103" fillId="0" borderId="0" xfId="25" applyNumberFormat="1" applyFont="1"/>
    <xf numFmtId="0" fontId="103" fillId="0" borderId="0" xfId="30" applyFont="1"/>
    <xf numFmtId="0" fontId="58" fillId="27" borderId="83" xfId="35" applyFont="1" applyFill="1" applyBorder="1" applyAlignment="1">
      <alignment horizontal="left" indent="1"/>
    </xf>
    <xf numFmtId="0" fontId="58" fillId="30" borderId="117" xfId="35" applyFont="1" applyFill="1" applyBorder="1" applyAlignment="1">
      <alignment horizontal="center"/>
    </xf>
    <xf numFmtId="0" fontId="58" fillId="30" borderId="83" xfId="35" applyFont="1" applyFill="1" applyBorder="1" applyAlignment="1">
      <alignment horizontal="left" indent="1"/>
    </xf>
    <xf numFmtId="0" fontId="140" fillId="0" borderId="117" xfId="35" applyFont="1" applyFill="1" applyBorder="1" applyAlignment="1">
      <alignment horizontal="center"/>
    </xf>
    <xf numFmtId="3" fontId="0" fillId="0" borderId="5" xfId="0" applyNumberFormat="1" applyBorder="1"/>
    <xf numFmtId="3" fontId="15" fillId="28" borderId="65" xfId="0" applyNumberFormat="1" applyFont="1" applyFill="1" applyBorder="1"/>
    <xf numFmtId="3" fontId="135" fillId="0" borderId="4" xfId="31" applyNumberFormat="1" applyFont="1" applyBorder="1"/>
    <xf numFmtId="0" fontId="3" fillId="0" borderId="0" xfId="31" applyFont="1" applyBorder="1"/>
    <xf numFmtId="0" fontId="134" fillId="24" borderId="33" xfId="35" applyFont="1" applyFill="1" applyBorder="1" applyAlignment="1"/>
    <xf numFmtId="0" fontId="6" fillId="0" borderId="0" xfId="30" applyBorder="1"/>
    <xf numFmtId="0" fontId="6" fillId="0" borderId="59" xfId="30" applyBorder="1"/>
    <xf numFmtId="0" fontId="5" fillId="0" borderId="59" xfId="30" applyFont="1" applyBorder="1"/>
    <xf numFmtId="0" fontId="6" fillId="0" borderId="10" xfId="30" applyBorder="1"/>
    <xf numFmtId="0" fontId="15" fillId="0" borderId="62" xfId="0" applyFont="1" applyBorder="1" applyAlignment="1"/>
    <xf numFmtId="3" fontId="15" fillId="3" borderId="69" xfId="0" applyNumberFormat="1" applyFont="1" applyFill="1" applyBorder="1"/>
    <xf numFmtId="0" fontId="141" fillId="0" borderId="60" xfId="0" applyFont="1" applyBorder="1" applyAlignment="1">
      <alignment horizontal="center"/>
    </xf>
    <xf numFmtId="0" fontId="53" fillId="0" borderId="61" xfId="0" applyFont="1" applyBorder="1" applyProtection="1"/>
    <xf numFmtId="0" fontId="53" fillId="0" borderId="61" xfId="0" applyFont="1" applyBorder="1" applyAlignment="1" applyProtection="1">
      <alignment horizontal="left" vertical="top" wrapText="1" indent="1"/>
    </xf>
    <xf numFmtId="0" fontId="20" fillId="0" borderId="61" xfId="0" applyFont="1" applyBorder="1" applyAlignment="1" applyProtection="1">
      <alignment horizontal="left" indent="2"/>
    </xf>
    <xf numFmtId="176" fontId="0" fillId="0" borderId="61" xfId="1" applyNumberFormat="1" applyFont="1" applyBorder="1" applyAlignment="1">
      <alignment horizontal="center"/>
    </xf>
    <xf numFmtId="0" fontId="53" fillId="0" borderId="61" xfId="0" applyFont="1" applyBorder="1" applyAlignment="1" applyProtection="1">
      <alignment horizontal="left" indent="1"/>
    </xf>
    <xf numFmtId="0" fontId="20" fillId="0" borderId="61" xfId="0" applyFont="1" applyBorder="1" applyAlignment="1" applyProtection="1">
      <alignment horizontal="left" vertical="top" wrapText="1" indent="2"/>
    </xf>
    <xf numFmtId="0" fontId="20" fillId="0" borderId="61" xfId="0" applyFont="1" applyBorder="1" applyAlignment="1" applyProtection="1">
      <alignment horizontal="left" indent="3"/>
    </xf>
    <xf numFmtId="0" fontId="20" fillId="0" borderId="61" xfId="0" applyFont="1" applyBorder="1" applyAlignment="1" applyProtection="1">
      <alignment horizontal="left" vertical="top" wrapText="1" indent="3"/>
    </xf>
    <xf numFmtId="176" fontId="0" fillId="0" borderId="61" xfId="41" applyNumberFormat="1" applyFont="1" applyBorder="1" applyAlignment="1">
      <alignment horizontal="center"/>
    </xf>
    <xf numFmtId="175" fontId="0" fillId="0" borderId="61" xfId="1" applyNumberFormat="1" applyFont="1" applyBorder="1" applyAlignment="1">
      <alignment horizontal="center"/>
    </xf>
    <xf numFmtId="0" fontId="53" fillId="0" borderId="61" xfId="0" applyFont="1" applyBorder="1" applyAlignment="1" applyProtection="1">
      <alignment horizontal="left" vertical="top" wrapText="1"/>
    </xf>
    <xf numFmtId="176" fontId="129" fillId="0" borderId="61" xfId="1" applyNumberFormat="1" applyFont="1" applyBorder="1" applyAlignment="1">
      <alignment horizontal="center"/>
    </xf>
    <xf numFmtId="175" fontId="129" fillId="0" borderId="61" xfId="1" applyNumberFormat="1" applyFont="1" applyBorder="1" applyAlignment="1">
      <alignment horizontal="center"/>
    </xf>
    <xf numFmtId="0" fontId="107" fillId="0" borderId="72" xfId="13" applyFont="1" applyBorder="1" applyAlignment="1" applyProtection="1">
      <alignment horizontal="center" vertical="center" wrapText="1"/>
    </xf>
    <xf numFmtId="0" fontId="107" fillId="0" borderId="117" xfId="13" applyFont="1" applyBorder="1" applyAlignment="1" applyProtection="1">
      <alignment horizontal="center" vertical="center" wrapText="1"/>
    </xf>
    <xf numFmtId="0" fontId="142" fillId="0" borderId="118" xfId="13" applyFont="1" applyBorder="1" applyProtection="1"/>
    <xf numFmtId="0" fontId="142" fillId="0" borderId="61" xfId="13" applyFont="1" applyBorder="1" applyProtection="1"/>
    <xf numFmtId="0" fontId="143" fillId="0" borderId="61" xfId="13" applyFont="1" applyBorder="1" applyAlignment="1" applyProtection="1">
      <alignment horizontal="left" indent="1"/>
    </xf>
    <xf numFmtId="0" fontId="143" fillId="0" borderId="61" xfId="13" applyFont="1" applyBorder="1" applyAlignment="1" applyProtection="1">
      <alignment horizontal="left" indent="2"/>
    </xf>
    <xf numFmtId="0" fontId="143" fillId="0" borderId="130" xfId="13" applyFont="1" applyBorder="1" applyAlignment="1" applyProtection="1">
      <alignment horizontal="left" indent="2"/>
    </xf>
    <xf numFmtId="0" fontId="53" fillId="0" borderId="66" xfId="0" applyFont="1" applyBorder="1" applyAlignment="1" applyProtection="1">
      <alignment horizontal="center" vertical="center" wrapText="1"/>
    </xf>
    <xf numFmtId="0" fontId="53" fillId="0" borderId="72" xfId="0" applyFont="1" applyBorder="1" applyAlignment="1" applyProtection="1">
      <alignment horizontal="center" vertical="center" wrapText="1"/>
    </xf>
    <xf numFmtId="17" fontId="53" fillId="0" borderId="60" xfId="0" applyNumberFormat="1" applyFont="1" applyBorder="1" applyAlignment="1" applyProtection="1">
      <alignment vertical="top" wrapText="1"/>
    </xf>
    <xf numFmtId="0" fontId="53" fillId="0" borderId="60" xfId="0" applyFont="1" applyFill="1" applyBorder="1" applyProtection="1"/>
    <xf numFmtId="0" fontId="53" fillId="0" borderId="118" xfId="0" applyFont="1" applyFill="1" applyBorder="1" applyProtection="1"/>
    <xf numFmtId="0" fontId="53" fillId="0" borderId="61" xfId="0" applyFont="1" applyFill="1" applyBorder="1" applyProtection="1"/>
    <xf numFmtId="0" fontId="141" fillId="0" borderId="0" xfId="0" applyFont="1"/>
    <xf numFmtId="0" fontId="53" fillId="0" borderId="61" xfId="0" applyFont="1" applyFill="1" applyBorder="1" applyAlignment="1" applyProtection="1">
      <alignment horizontal="left" indent="1"/>
    </xf>
    <xf numFmtId="0" fontId="111" fillId="0" borderId="61" xfId="0" applyFont="1" applyFill="1" applyBorder="1" applyAlignment="1" applyProtection="1">
      <alignment horizontal="left" indent="2"/>
    </xf>
    <xf numFmtId="0" fontId="20" fillId="0" borderId="61" xfId="0" applyFont="1" applyFill="1" applyBorder="1" applyAlignment="1" applyProtection="1">
      <alignment horizontal="left" indent="2"/>
    </xf>
    <xf numFmtId="0" fontId="112" fillId="0" borderId="61" xfId="0" applyFont="1" applyFill="1" applyBorder="1" applyAlignment="1" applyProtection="1">
      <alignment horizontal="left" indent="3"/>
    </xf>
    <xf numFmtId="0" fontId="20" fillId="0" borderId="61" xfId="0" applyFont="1" applyFill="1" applyBorder="1" applyAlignment="1" applyProtection="1">
      <alignment horizontal="left" indent="1"/>
    </xf>
    <xf numFmtId="175" fontId="113" fillId="28" borderId="61" xfId="1" applyNumberFormat="1" applyFont="1" applyFill="1" applyBorder="1" applyAlignment="1">
      <alignment horizontal="center"/>
    </xf>
    <xf numFmtId="0" fontId="20" fillId="0" borderId="130" xfId="0" applyFont="1" applyFill="1" applyBorder="1" applyAlignment="1" applyProtection="1">
      <alignment horizontal="left" indent="2"/>
    </xf>
    <xf numFmtId="0" fontId="141" fillId="0" borderId="0" xfId="0" applyFont="1" applyBorder="1" applyAlignment="1">
      <alignment horizontal="center" vertical="top"/>
    </xf>
    <xf numFmtId="0" fontId="141" fillId="0" borderId="18" xfId="0" applyFont="1" applyBorder="1" applyAlignment="1">
      <alignment horizontal="center"/>
    </xf>
    <xf numFmtId="0" fontId="144" fillId="0" borderId="12" xfId="0" applyFont="1" applyBorder="1"/>
    <xf numFmtId="0" fontId="0" fillId="0" borderId="33" xfId="0" applyBorder="1"/>
    <xf numFmtId="0" fontId="141" fillId="0" borderId="12" xfId="0" applyFont="1" applyBorder="1"/>
    <xf numFmtId="176" fontId="129" fillId="0" borderId="33" xfId="41" applyNumberFormat="1" applyFont="1" applyBorder="1"/>
    <xf numFmtId="0" fontId="145" fillId="0" borderId="12" xfId="0" applyFont="1" applyBorder="1"/>
    <xf numFmtId="176" fontId="146" fillId="0" borderId="33" xfId="41" applyNumberFormat="1" applyFont="1" applyBorder="1"/>
    <xf numFmtId="0" fontId="147" fillId="0" borderId="12" xfId="0" applyFont="1" applyBorder="1"/>
    <xf numFmtId="176" fontId="148" fillId="0" borderId="33" xfId="41" applyNumberFormat="1" applyFont="1" applyBorder="1"/>
    <xf numFmtId="0" fontId="149" fillId="0" borderId="12" xfId="0" applyFont="1" applyBorder="1"/>
    <xf numFmtId="0" fontId="144" fillId="0" borderId="7" xfId="0" applyFont="1" applyBorder="1"/>
    <xf numFmtId="0" fontId="141" fillId="0" borderId="60" xfId="0" applyFont="1" applyFill="1" applyBorder="1" applyAlignment="1">
      <alignment horizontal="right"/>
    </xf>
    <xf numFmtId="176" fontId="129" fillId="0" borderId="60" xfId="41" applyNumberFormat="1" applyFont="1" applyBorder="1"/>
    <xf numFmtId="0" fontId="7" fillId="0" borderId="0" xfId="30" applyFont="1"/>
    <xf numFmtId="0" fontId="7" fillId="0" borderId="14" xfId="30" applyFont="1" applyBorder="1"/>
    <xf numFmtId="0" fontId="30" fillId="0" borderId="11" xfId="30" applyFont="1" applyBorder="1"/>
    <xf numFmtId="3" fontId="7" fillId="0" borderId="14" xfId="30" applyNumberFormat="1" applyFont="1" applyBorder="1"/>
    <xf numFmtId="0" fontId="53" fillId="0" borderId="130" xfId="0" applyFont="1" applyBorder="1" applyAlignment="1" applyProtection="1">
      <alignment horizontal="left" indent="1"/>
    </xf>
    <xf numFmtId="176" fontId="141" fillId="0" borderId="0" xfId="41" applyNumberFormat="1" applyFont="1"/>
    <xf numFmtId="176" fontId="20" fillId="0" borderId="61" xfId="41" applyNumberFormat="1" applyFont="1" applyFill="1" applyBorder="1" applyAlignment="1" applyProtection="1">
      <alignment horizontal="left" indent="1"/>
    </xf>
    <xf numFmtId="176" fontId="20" fillId="0" borderId="61" xfId="41" applyNumberFormat="1" applyFont="1" applyFill="1" applyBorder="1" applyAlignment="1" applyProtection="1">
      <alignment horizontal="left" indent="2"/>
    </xf>
    <xf numFmtId="176" fontId="113" fillId="28" borderId="61" xfId="1" applyNumberFormat="1" applyFont="1" applyFill="1" applyBorder="1" applyAlignment="1">
      <alignment horizontal="center"/>
    </xf>
    <xf numFmtId="0" fontId="22" fillId="0" borderId="0" xfId="0" applyFont="1" applyFill="1" applyBorder="1"/>
    <xf numFmtId="168" fontId="0" fillId="0" borderId="94" xfId="0" applyNumberFormat="1" applyBorder="1"/>
    <xf numFmtId="0" fontId="15" fillId="0" borderId="117" xfId="35" applyFont="1" applyFill="1" applyBorder="1" applyAlignment="1">
      <alignment horizontal="center" vertical="center" wrapText="1"/>
    </xf>
    <xf numFmtId="0" fontId="15" fillId="0" borderId="83" xfId="35" applyFont="1" applyFill="1" applyBorder="1" applyAlignment="1">
      <alignment horizontal="center" vertical="center" wrapText="1"/>
    </xf>
    <xf numFmtId="0" fontId="15" fillId="0" borderId="4" xfId="35" applyFont="1" applyFill="1" applyBorder="1" applyAlignment="1">
      <alignment horizontal="center" vertical="center" wrapText="1"/>
    </xf>
    <xf numFmtId="0" fontId="31" fillId="0" borderId="4" xfId="26" applyFont="1" applyBorder="1"/>
    <xf numFmtId="0" fontId="3" fillId="0" borderId="0" xfId="31" applyFont="1" applyAlignment="1">
      <alignment horizontal="right"/>
    </xf>
    <xf numFmtId="3" fontId="134" fillId="24" borderId="131" xfId="35" applyNumberFormat="1" applyFont="1" applyFill="1" applyBorder="1" applyAlignment="1">
      <alignment horizontal="center"/>
    </xf>
    <xf numFmtId="3" fontId="134" fillId="24" borderId="131" xfId="35" applyNumberFormat="1" applyFont="1" applyFill="1" applyBorder="1" applyAlignment="1"/>
    <xf numFmtId="3" fontId="134" fillId="24" borderId="75" xfId="35" applyNumberFormat="1" applyFont="1" applyFill="1" applyBorder="1" applyAlignment="1">
      <alignment horizontal="center"/>
    </xf>
    <xf numFmtId="0" fontId="134" fillId="24" borderId="75" xfId="35" applyFont="1" applyFill="1" applyBorder="1" applyAlignment="1"/>
    <xf numFmtId="0" fontId="134" fillId="24" borderId="130" xfId="35" applyFont="1" applyFill="1" applyBorder="1" applyAlignment="1"/>
    <xf numFmtId="3" fontId="134" fillId="24" borderId="33" xfId="35" applyNumberFormat="1" applyFont="1" applyFill="1" applyBorder="1" applyAlignment="1"/>
    <xf numFmtId="3" fontId="134" fillId="24" borderId="12" xfId="35" applyNumberFormat="1" applyFont="1" applyFill="1" applyBorder="1" applyAlignment="1"/>
    <xf numFmtId="3" fontId="134" fillId="24" borderId="6" xfId="35" applyNumberFormat="1" applyFont="1" applyFill="1" applyBorder="1" applyAlignment="1"/>
    <xf numFmtId="0" fontId="134" fillId="24" borderId="68" xfId="35" applyFont="1" applyFill="1" applyBorder="1" applyAlignment="1"/>
    <xf numFmtId="0" fontId="134" fillId="24" borderId="69" xfId="35" applyFont="1" applyFill="1" applyBorder="1" applyAlignment="1"/>
    <xf numFmtId="3" fontId="134" fillId="24" borderId="16" xfId="35" applyNumberFormat="1" applyFont="1" applyFill="1" applyBorder="1" applyAlignment="1">
      <alignment horizontal="center"/>
    </xf>
    <xf numFmtId="0" fontId="58" fillId="26" borderId="124" xfId="35" applyFont="1" applyFill="1" applyBorder="1"/>
    <xf numFmtId="0" fontId="37" fillId="0" borderId="118" xfId="31" applyFont="1" applyBorder="1" applyAlignment="1">
      <alignment horizontal="center"/>
    </xf>
    <xf numFmtId="3" fontId="58" fillId="26" borderId="29" xfId="35" applyNumberFormat="1" applyFont="1" applyFill="1" applyBorder="1" applyAlignment="1">
      <alignment horizontal="center"/>
    </xf>
    <xf numFmtId="3" fontId="134" fillId="24" borderId="70" xfId="35" applyNumberFormat="1" applyFont="1" applyFill="1" applyBorder="1" applyAlignment="1">
      <alignment horizontal="left" indent="1"/>
    </xf>
    <xf numFmtId="3" fontId="35" fillId="0" borderId="6" xfId="31" applyNumberFormat="1" applyFont="1" applyBorder="1"/>
    <xf numFmtId="3" fontId="22" fillId="0" borderId="0" xfId="15" applyNumberFormat="1" applyFont="1" applyFill="1" applyBorder="1" applyAlignment="1"/>
    <xf numFmtId="3" fontId="37" fillId="0" borderId="30" xfId="31" applyNumberFormat="1" applyFont="1" applyBorder="1" applyAlignment="1">
      <alignment horizontal="center" vertical="center"/>
    </xf>
    <xf numFmtId="3" fontId="37" fillId="0" borderId="4" xfId="31" applyNumberFormat="1" applyFont="1" applyBorder="1" applyAlignment="1">
      <alignment horizontal="center" vertical="center"/>
    </xf>
    <xf numFmtId="3" fontId="37" fillId="0" borderId="3" xfId="31" applyNumberFormat="1" applyFont="1" applyBorder="1" applyAlignment="1">
      <alignment horizontal="center" vertical="center"/>
    </xf>
    <xf numFmtId="0" fontId="0" fillId="0" borderId="9" xfId="0" applyBorder="1" applyAlignment="1"/>
    <xf numFmtId="0" fontId="55" fillId="0" borderId="62" xfId="0" applyFont="1" applyBorder="1" applyAlignment="1"/>
    <xf numFmtId="0" fontId="0" fillId="0" borderId="12" xfId="0" applyBorder="1" applyAlignment="1"/>
    <xf numFmtId="0" fontId="7" fillId="0" borderId="0" xfId="27" applyFont="1"/>
    <xf numFmtId="0" fontId="67" fillId="0" borderId="0" xfId="0" applyFont="1"/>
    <xf numFmtId="0" fontId="150" fillId="0" borderId="60" xfId="13" applyFont="1" applyBorder="1" applyProtection="1"/>
    <xf numFmtId="0" fontId="150" fillId="0" borderId="61" xfId="13" applyFont="1" applyBorder="1" applyProtection="1"/>
    <xf numFmtId="0" fontId="151" fillId="0" borderId="61" xfId="13" applyFont="1" applyBorder="1" applyAlignment="1" applyProtection="1">
      <alignment horizontal="left" indent="1"/>
    </xf>
    <xf numFmtId="0" fontId="151" fillId="0" borderId="61" xfId="13" applyFont="1" applyBorder="1" applyAlignment="1" applyProtection="1">
      <alignment horizontal="left" indent="2"/>
    </xf>
    <xf numFmtId="0" fontId="151" fillId="0" borderId="130" xfId="13" applyFont="1" applyBorder="1" applyAlignment="1" applyProtection="1">
      <alignment horizontal="left" indent="2"/>
    </xf>
    <xf numFmtId="0" fontId="150" fillId="0" borderId="60" xfId="13" applyFont="1" applyBorder="1" applyAlignment="1" applyProtection="1">
      <alignment horizontal="left"/>
    </xf>
    <xf numFmtId="0" fontId="54" fillId="0" borderId="61" xfId="0" applyFont="1" applyBorder="1" applyProtection="1"/>
    <xf numFmtId="0" fontId="54" fillId="0" borderId="61" xfId="0" applyFont="1" applyBorder="1" applyAlignment="1" applyProtection="1">
      <alignment horizontal="left" vertical="top" wrapText="1" indent="1"/>
    </xf>
    <xf numFmtId="0" fontId="69" fillId="0" borderId="61" xfId="0" applyFont="1" applyBorder="1" applyAlignment="1" applyProtection="1">
      <alignment horizontal="left" indent="2"/>
    </xf>
    <xf numFmtId="0" fontId="54" fillId="0" borderId="61" xfId="0" applyFont="1" applyBorder="1" applyAlignment="1" applyProtection="1">
      <alignment horizontal="left" indent="1"/>
    </xf>
    <xf numFmtId="0" fontId="69" fillId="0" borderId="61" xfId="0" applyFont="1" applyBorder="1" applyAlignment="1" applyProtection="1">
      <alignment horizontal="left" vertical="top" wrapText="1" indent="2"/>
    </xf>
    <xf numFmtId="0" fontId="69" fillId="0" borderId="61" xfId="0" applyFont="1" applyBorder="1" applyAlignment="1" applyProtection="1">
      <alignment horizontal="left" indent="3"/>
    </xf>
    <xf numFmtId="0" fontId="69" fillId="0" borderId="61" xfId="0" applyFont="1" applyBorder="1" applyAlignment="1" applyProtection="1">
      <alignment horizontal="left" vertical="top" wrapText="1" indent="3"/>
    </xf>
    <xf numFmtId="0" fontId="54" fillId="0" borderId="61" xfId="0" applyFont="1" applyBorder="1" applyAlignment="1" applyProtection="1">
      <alignment horizontal="left" vertical="top" wrapText="1"/>
    </xf>
    <xf numFmtId="0" fontId="54" fillId="0" borderId="130" xfId="0" applyFont="1" applyBorder="1" applyAlignment="1" applyProtection="1">
      <alignment horizontal="left" indent="1"/>
    </xf>
    <xf numFmtId="176" fontId="114" fillId="0" borderId="61" xfId="1" applyNumberFormat="1" applyFont="1" applyBorder="1" applyAlignment="1">
      <alignment horizontal="center"/>
    </xf>
    <xf numFmtId="17" fontId="152" fillId="0" borderId="60" xfId="0" applyNumberFormat="1" applyFont="1" applyBorder="1" applyAlignment="1">
      <alignment horizontal="center"/>
    </xf>
    <xf numFmtId="176" fontId="115" fillId="0" borderId="61" xfId="41" applyNumberFormat="1" applyFont="1" applyBorder="1" applyProtection="1"/>
    <xf numFmtId="176" fontId="115" fillId="0" borderId="61" xfId="41" applyNumberFormat="1" applyFont="1" applyBorder="1" applyAlignment="1" applyProtection="1">
      <alignment horizontal="left" vertical="top" wrapText="1" indent="1"/>
    </xf>
    <xf numFmtId="176" fontId="116" fillId="0" borderId="61" xfId="1" applyNumberFormat="1" applyFont="1" applyBorder="1" applyAlignment="1">
      <alignment horizontal="center"/>
    </xf>
    <xf numFmtId="176" fontId="116" fillId="0" borderId="61" xfId="1" applyNumberFormat="1" applyFont="1" applyFill="1" applyBorder="1" applyAlignment="1">
      <alignment horizontal="center"/>
    </xf>
    <xf numFmtId="176" fontId="115" fillId="0" borderId="61" xfId="41" applyNumberFormat="1" applyFont="1" applyBorder="1" applyAlignment="1" applyProtection="1">
      <alignment horizontal="left" indent="1"/>
    </xf>
    <xf numFmtId="176" fontId="116" fillId="0" borderId="61" xfId="41" applyNumberFormat="1" applyFont="1" applyBorder="1" applyAlignment="1">
      <alignment horizontal="center"/>
    </xf>
    <xf numFmtId="175" fontId="116" fillId="0" borderId="61" xfId="1" applyNumberFormat="1" applyFont="1" applyBorder="1" applyAlignment="1">
      <alignment horizontal="center"/>
    </xf>
    <xf numFmtId="176" fontId="115" fillId="0" borderId="61" xfId="41" applyNumberFormat="1" applyFont="1" applyBorder="1" applyAlignment="1" applyProtection="1">
      <alignment horizontal="left" vertical="top" wrapText="1"/>
    </xf>
    <xf numFmtId="176" fontId="115" fillId="0" borderId="61" xfId="0" applyNumberFormat="1" applyFont="1" applyBorder="1" applyProtection="1"/>
    <xf numFmtId="176" fontId="152" fillId="0" borderId="61" xfId="1" applyNumberFormat="1" applyFont="1" applyBorder="1" applyAlignment="1">
      <alignment horizontal="center"/>
    </xf>
    <xf numFmtId="176" fontId="152" fillId="0" borderId="61" xfId="1" applyNumberFormat="1" applyFont="1" applyFill="1" applyBorder="1" applyAlignment="1">
      <alignment horizontal="center"/>
    </xf>
    <xf numFmtId="175" fontId="152" fillId="0" borderId="61" xfId="1" applyNumberFormat="1" applyFont="1" applyBorder="1" applyAlignment="1">
      <alignment horizontal="center"/>
    </xf>
    <xf numFmtId="0" fontId="153" fillId="0" borderId="60" xfId="0" applyFont="1" applyBorder="1" applyAlignment="1">
      <alignment horizontal="center"/>
    </xf>
    <xf numFmtId="0" fontId="117" fillId="0" borderId="61" xfId="0" applyFont="1" applyBorder="1" applyProtection="1"/>
    <xf numFmtId="0" fontId="117" fillId="0" borderId="61" xfId="0" applyFont="1" applyBorder="1" applyAlignment="1" applyProtection="1">
      <alignment horizontal="left" vertical="top" wrapText="1" indent="1"/>
    </xf>
    <xf numFmtId="0" fontId="118" fillId="0" borderId="61" xfId="0" applyFont="1" applyBorder="1" applyAlignment="1" applyProtection="1">
      <alignment horizontal="left" indent="2"/>
    </xf>
    <xf numFmtId="0" fontId="117" fillId="0" borderId="61" xfId="0" applyFont="1" applyBorder="1" applyAlignment="1" applyProtection="1">
      <alignment horizontal="left" indent="1"/>
    </xf>
    <xf numFmtId="0" fontId="118" fillId="0" borderId="61" xfId="0" applyFont="1" applyBorder="1" applyAlignment="1" applyProtection="1">
      <alignment horizontal="left" vertical="top" wrapText="1" indent="2"/>
    </xf>
    <xf numFmtId="0" fontId="118" fillId="0" borderId="61" xfId="0" applyFont="1" applyBorder="1" applyAlignment="1" applyProtection="1">
      <alignment horizontal="left" indent="3"/>
    </xf>
    <xf numFmtId="0" fontId="118" fillId="0" borderId="61" xfId="0" applyFont="1" applyBorder="1" applyAlignment="1" applyProtection="1">
      <alignment horizontal="left" vertical="top" wrapText="1" indent="3"/>
    </xf>
    <xf numFmtId="0" fontId="117" fillId="0" borderId="61" xfId="0" applyFont="1" applyBorder="1" applyAlignment="1" applyProtection="1">
      <alignment horizontal="left" vertical="top" wrapText="1"/>
    </xf>
    <xf numFmtId="0" fontId="117" fillId="0" borderId="130" xfId="0" applyFont="1" applyBorder="1" applyAlignment="1" applyProtection="1">
      <alignment horizontal="left" indent="1"/>
    </xf>
    <xf numFmtId="0" fontId="154" fillId="0" borderId="25" xfId="0" applyFont="1" applyBorder="1" applyAlignment="1">
      <alignment horizontal="center"/>
    </xf>
    <xf numFmtId="0" fontId="155" fillId="0" borderId="6" xfId="0" applyFont="1" applyBorder="1" applyAlignment="1">
      <alignment horizontal="center"/>
    </xf>
    <xf numFmtId="0" fontId="155" fillId="0" borderId="6" xfId="0" applyFont="1" applyBorder="1"/>
    <xf numFmtId="0" fontId="154" fillId="0" borderId="6" xfId="0" applyFont="1" applyBorder="1"/>
    <xf numFmtId="0" fontId="154" fillId="0" borderId="6" xfId="0" applyFont="1" applyBorder="1" applyAlignment="1">
      <alignment horizontal="center"/>
    </xf>
    <xf numFmtId="0" fontId="156" fillId="0" borderId="6" xfId="0" applyFont="1" applyBorder="1"/>
    <xf numFmtId="0" fontId="156" fillId="0" borderId="6" xfId="0" applyFont="1" applyBorder="1" applyAlignment="1">
      <alignment horizontal="center"/>
    </xf>
    <xf numFmtId="0" fontId="157" fillId="0" borderId="6" xfId="0" applyFont="1" applyBorder="1"/>
    <xf numFmtId="0" fontId="158" fillId="0" borderId="6" xfId="0" applyFont="1" applyBorder="1"/>
    <xf numFmtId="0" fontId="155" fillId="0" borderId="75" xfId="0" applyFont="1" applyBorder="1" applyAlignment="1">
      <alignment horizontal="center"/>
    </xf>
    <xf numFmtId="0" fontId="155" fillId="0" borderId="75" xfId="0" applyFont="1" applyBorder="1"/>
    <xf numFmtId="0" fontId="114" fillId="0" borderId="60" xfId="0" applyFont="1" applyBorder="1"/>
    <xf numFmtId="0" fontId="154" fillId="0" borderId="60" xfId="0" applyFont="1" applyFill="1" applyBorder="1" applyAlignment="1">
      <alignment horizontal="right"/>
    </xf>
    <xf numFmtId="17" fontId="152" fillId="0" borderId="26" xfId="0" applyNumberFormat="1" applyFont="1" applyBorder="1" applyAlignment="1">
      <alignment horizontal="center"/>
    </xf>
    <xf numFmtId="176" fontId="159" fillId="0" borderId="33" xfId="41" applyNumberFormat="1" applyFont="1" applyBorder="1"/>
    <xf numFmtId="176" fontId="160" fillId="0" borderId="33" xfId="41" applyNumberFormat="1" applyFont="1" applyBorder="1"/>
    <xf numFmtId="176" fontId="161" fillId="0" borderId="33" xfId="41" applyNumberFormat="1" applyFont="1" applyBorder="1"/>
    <xf numFmtId="3" fontId="3" fillId="0" borderId="30" xfId="31" quotePrefix="1" applyNumberFormat="1" applyFont="1" applyBorder="1" applyAlignment="1">
      <alignment horizontal="right"/>
    </xf>
    <xf numFmtId="176" fontId="152" fillId="0" borderId="55" xfId="1" applyNumberFormat="1" applyFont="1" applyFill="1" applyBorder="1" applyAlignment="1">
      <alignment horizontal="center"/>
    </xf>
    <xf numFmtId="168" fontId="22" fillId="0" borderId="0" xfId="0" applyNumberFormat="1" applyFont="1" applyBorder="1"/>
    <xf numFmtId="176" fontId="69" fillId="0" borderId="0" xfId="0" applyNumberFormat="1" applyFont="1"/>
    <xf numFmtId="0" fontId="22" fillId="0" borderId="0" xfId="0" applyFont="1" applyAlignment="1">
      <alignment horizontal="center"/>
    </xf>
    <xf numFmtId="176" fontId="54" fillId="0" borderId="0" xfId="0" applyNumberFormat="1" applyFont="1"/>
    <xf numFmtId="176" fontId="54" fillId="0" borderId="0" xfId="0" applyNumberFormat="1" applyFont="1" applyAlignment="1">
      <alignment vertical="top"/>
    </xf>
    <xf numFmtId="3" fontId="22" fillId="0" borderId="5" xfId="0" applyNumberFormat="1" applyFont="1" applyBorder="1" applyAlignment="1">
      <alignment horizontal="center"/>
    </xf>
    <xf numFmtId="0" fontId="4" fillId="0" borderId="14" xfId="30" applyFont="1" applyBorder="1"/>
    <xf numFmtId="43" fontId="6" fillId="0" borderId="0" xfId="41" applyFont="1"/>
    <xf numFmtId="43" fontId="7" fillId="0" borderId="0" xfId="30" applyNumberFormat="1" applyFont="1"/>
    <xf numFmtId="0" fontId="133" fillId="0" borderId="0" xfId="0" applyFont="1"/>
    <xf numFmtId="179" fontId="0" fillId="0" borderId="0" xfId="41" applyNumberFormat="1" applyFont="1"/>
    <xf numFmtId="9" fontId="0" fillId="0" borderId="4" xfId="0" applyNumberFormat="1" applyBorder="1"/>
    <xf numFmtId="9" fontId="0" fillId="0" borderId="5" xfId="0" applyNumberFormat="1" applyBorder="1"/>
    <xf numFmtId="9" fontId="15" fillId="0" borderId="6" xfId="0" applyNumberFormat="1" applyFont="1" applyBorder="1"/>
    <xf numFmtId="4" fontId="15" fillId="0" borderId="6" xfId="0" applyNumberFormat="1" applyFont="1" applyBorder="1"/>
    <xf numFmtId="2" fontId="22" fillId="0" borderId="12" xfId="33" applyNumberFormat="1" applyFont="1" applyBorder="1" applyAlignment="1">
      <alignment horizontal="left" vertical="center" wrapText="1"/>
    </xf>
    <xf numFmtId="2" fontId="22" fillId="0" borderId="12" xfId="33" applyNumberFormat="1" applyFont="1" applyBorder="1" applyAlignment="1">
      <alignment vertical="center" wrapText="1"/>
    </xf>
    <xf numFmtId="3" fontId="15" fillId="0" borderId="8" xfId="0" applyNumberFormat="1" applyFont="1" applyBorder="1"/>
    <xf numFmtId="3" fontId="0" fillId="0" borderId="4" xfId="41" applyNumberFormat="1" applyFont="1" applyBorder="1"/>
    <xf numFmtId="3" fontId="22" fillId="0" borderId="4" xfId="0" applyNumberFormat="1" applyFont="1" applyBorder="1" applyAlignment="1">
      <alignment horizontal="left"/>
    </xf>
    <xf numFmtId="4" fontId="32" fillId="0" borderId="11" xfId="30" applyNumberFormat="1" applyFont="1" applyBorder="1"/>
    <xf numFmtId="43" fontId="32" fillId="2" borderId="2" xfId="41" applyFont="1" applyFill="1" applyBorder="1"/>
    <xf numFmtId="4" fontId="5" fillId="0" borderId="14" xfId="30" applyNumberFormat="1" applyFont="1" applyBorder="1"/>
    <xf numFmtId="4" fontId="32" fillId="0" borderId="2" xfId="30" applyNumberFormat="1" applyFont="1" applyBorder="1"/>
    <xf numFmtId="0" fontId="5" fillId="0" borderId="0" xfId="30" applyFont="1" applyBorder="1"/>
    <xf numFmtId="0" fontId="22" fillId="0" borderId="4" xfId="0" applyFont="1" applyFill="1" applyBorder="1"/>
    <xf numFmtId="3" fontId="133" fillId="0" borderId="61" xfId="0" applyNumberFormat="1" applyFont="1" applyBorder="1"/>
    <xf numFmtId="176" fontId="17" fillId="0" borderId="0" xfId="41" applyNumberFormat="1" applyFont="1" applyAlignment="1"/>
    <xf numFmtId="176" fontId="18" fillId="0" borderId="0" xfId="41" applyNumberFormat="1" applyFont="1" applyAlignment="1"/>
    <xf numFmtId="0" fontId="163" fillId="0" borderId="33" xfId="0" applyFont="1" applyBorder="1" applyAlignment="1">
      <alignment horizontal="center"/>
    </xf>
    <xf numFmtId="0" fontId="133" fillId="0" borderId="33" xfId="0" applyFont="1" applyBorder="1" applyAlignment="1">
      <alignment horizontal="center"/>
    </xf>
    <xf numFmtId="0" fontId="132" fillId="0" borderId="1" xfId="0" applyFont="1" applyBorder="1" applyAlignment="1"/>
    <xf numFmtId="168" fontId="0" fillId="27" borderId="4" xfId="0" applyNumberFormat="1" applyFill="1" applyBorder="1"/>
    <xf numFmtId="0" fontId="0" fillId="27" borderId="4" xfId="0" applyFill="1" applyBorder="1" applyAlignment="1">
      <alignment horizontal="left" indent="1"/>
    </xf>
    <xf numFmtId="168" fontId="22" fillId="27" borderId="4" xfId="0" applyNumberFormat="1" applyFont="1" applyFill="1" applyBorder="1"/>
    <xf numFmtId="0" fontId="0" fillId="28" borderId="0" xfId="0" applyFill="1"/>
    <xf numFmtId="168" fontId="0" fillId="28" borderId="0" xfId="0" applyNumberFormat="1" applyFill="1"/>
    <xf numFmtId="3" fontId="0" fillId="28" borderId="0" xfId="0" applyNumberFormat="1" applyFill="1"/>
    <xf numFmtId="0" fontId="133" fillId="27" borderId="0" xfId="0" applyFont="1" applyFill="1"/>
    <xf numFmtId="168" fontId="133" fillId="27" borderId="0" xfId="0" applyNumberFormat="1" applyFont="1" applyFill="1"/>
    <xf numFmtId="0" fontId="0" fillId="0" borderId="0" xfId="0" applyAlignment="1">
      <alignment horizontal="center"/>
    </xf>
    <xf numFmtId="0" fontId="0" fillId="0" borderId="14" xfId="28" applyFont="1" applyBorder="1"/>
    <xf numFmtId="4" fontId="6" fillId="0" borderId="0" xfId="30" applyNumberFormat="1"/>
    <xf numFmtId="164" fontId="6" fillId="0" borderId="0" xfId="30" applyNumberFormat="1"/>
    <xf numFmtId="0" fontId="22" fillId="28" borderId="0" xfId="0" applyFont="1" applyFill="1"/>
    <xf numFmtId="2" fontId="22" fillId="0" borderId="0" xfId="33" applyNumberFormat="1" applyFont="1" applyBorder="1" applyAlignment="1">
      <alignment horizontal="left" vertical="center" wrapText="1"/>
    </xf>
    <xf numFmtId="2" fontId="22" fillId="0" borderId="0" xfId="33" applyNumberFormat="1" applyFont="1" applyBorder="1" applyAlignment="1">
      <alignment vertical="center" wrapText="1"/>
    </xf>
    <xf numFmtId="0" fontId="0" fillId="0" borderId="0" xfId="0" applyBorder="1" applyAlignment="1"/>
    <xf numFmtId="0" fontId="22" fillId="0" borderId="0" xfId="0" applyFont="1" applyBorder="1" applyAlignment="1"/>
    <xf numFmtId="0" fontId="22" fillId="0" borderId="0" xfId="0" applyFont="1" applyBorder="1"/>
    <xf numFmtId="0" fontId="15" fillId="0" borderId="0" xfId="0" applyFont="1" applyFill="1" applyBorder="1"/>
    <xf numFmtId="175" fontId="22" fillId="0" borderId="0" xfId="41" applyNumberFormat="1" applyFont="1"/>
    <xf numFmtId="168" fontId="133" fillId="0" borderId="4" xfId="0" applyNumberFormat="1" applyFont="1" applyBorder="1"/>
    <xf numFmtId="4" fontId="5" fillId="0" borderId="11" xfId="30" applyNumberFormat="1" applyFont="1" applyBorder="1"/>
    <xf numFmtId="169" fontId="6" fillId="0" borderId="11" xfId="38" applyNumberFormat="1" applyFont="1" applyBorder="1"/>
    <xf numFmtId="0" fontId="164" fillId="0" borderId="0" xfId="30" applyFont="1"/>
    <xf numFmtId="168" fontId="15" fillId="0" borderId="4" xfId="0" applyNumberFormat="1" applyFont="1" applyFill="1" applyBorder="1"/>
    <xf numFmtId="168" fontId="0" fillId="0" borderId="4" xfId="0" applyNumberFormat="1" applyFill="1" applyBorder="1"/>
    <xf numFmtId="0" fontId="133" fillId="0" borderId="4" xfId="0" applyFont="1" applyBorder="1" applyAlignment="1">
      <alignment horizontal="left" indent="1"/>
    </xf>
    <xf numFmtId="0" fontId="120" fillId="0" borderId="4" xfId="25" applyFont="1" applyBorder="1"/>
    <xf numFmtId="4" fontId="6" fillId="0" borderId="14" xfId="30" applyNumberFormat="1" applyBorder="1"/>
    <xf numFmtId="4" fontId="5" fillId="0" borderId="14" xfId="30" applyNumberFormat="1" applyFont="1" applyFill="1" applyBorder="1"/>
    <xf numFmtId="4" fontId="162" fillId="0" borderId="14" xfId="30" applyNumberFormat="1" applyFont="1" applyBorder="1"/>
    <xf numFmtId="4" fontId="5" fillId="0" borderId="14" xfId="41" applyNumberFormat="1" applyFont="1" applyFill="1" applyBorder="1"/>
    <xf numFmtId="4" fontId="5" fillId="0" borderId="14" xfId="41" applyNumberFormat="1" applyFont="1" applyBorder="1"/>
    <xf numFmtId="4" fontId="5" fillId="0" borderId="11" xfId="41" applyNumberFormat="1" applyFont="1" applyBorder="1"/>
    <xf numFmtId="4" fontId="5" fillId="0" borderId="4" xfId="41" applyNumberFormat="1" applyFont="1" applyBorder="1"/>
    <xf numFmtId="168" fontId="134" fillId="0" borderId="4" xfId="0" applyNumberFormat="1" applyFont="1" applyBorder="1"/>
    <xf numFmtId="4" fontId="0" fillId="28" borderId="11" xfId="0" applyNumberFormat="1" applyFill="1" applyBorder="1"/>
    <xf numFmtId="176" fontId="0" fillId="0" borderId="4" xfId="41" applyNumberFormat="1" applyFont="1" applyBorder="1"/>
    <xf numFmtId="0" fontId="104" fillId="0" borderId="0" xfId="0" applyFont="1"/>
    <xf numFmtId="4" fontId="89" fillId="0" borderId="0" xfId="30" applyNumberFormat="1" applyFont="1"/>
    <xf numFmtId="0" fontId="15" fillId="0" borderId="132" xfId="0" applyFont="1" applyBorder="1"/>
    <xf numFmtId="0" fontId="15" fillId="0" borderId="39" xfId="0" applyFont="1" applyBorder="1"/>
    <xf numFmtId="0" fontId="15" fillId="0" borderId="94" xfId="0" applyFont="1" applyBorder="1"/>
    <xf numFmtId="0" fontId="0" fillId="27" borderId="133" xfId="0" applyFill="1" applyBorder="1" applyAlignment="1">
      <alignment horizontal="left" indent="5"/>
    </xf>
    <xf numFmtId="0" fontId="0" fillId="27" borderId="133" xfId="0" applyFont="1" applyFill="1" applyBorder="1" applyAlignment="1">
      <alignment horizontal="left" indent="5"/>
    </xf>
    <xf numFmtId="0" fontId="15" fillId="0" borderId="134" xfId="0" applyFont="1" applyBorder="1"/>
    <xf numFmtId="0" fontId="15" fillId="0" borderId="8" xfId="0" applyFont="1" applyBorder="1" applyAlignment="1"/>
    <xf numFmtId="0" fontId="0" fillId="0" borderId="133" xfId="0" applyFont="1" applyBorder="1" applyAlignment="1">
      <alignment horizontal="left" indent="5"/>
    </xf>
    <xf numFmtId="0" fontId="22" fillId="0" borderId="8" xfId="0" applyFont="1" applyBorder="1" applyAlignment="1">
      <alignment horizontal="left" indent="5"/>
    </xf>
    <xf numFmtId="0" fontId="22" fillId="0" borderId="8" xfId="0" applyFont="1" applyFill="1" applyBorder="1" applyAlignment="1">
      <alignment horizontal="left" indent="5"/>
    </xf>
    <xf numFmtId="0" fontId="0" fillId="27" borderId="8" xfId="0" applyFill="1" applyBorder="1"/>
    <xf numFmtId="0" fontId="6" fillId="0" borderId="11" xfId="30" applyBorder="1" applyAlignment="1">
      <alignment horizontal="centerContinuous"/>
    </xf>
    <xf numFmtId="0" fontId="121" fillId="0" borderId="66" xfId="30" applyFont="1" applyBorder="1"/>
    <xf numFmtId="3" fontId="121" fillId="0" borderId="66" xfId="30" applyNumberFormat="1" applyFont="1" applyBorder="1"/>
    <xf numFmtId="0" fontId="122" fillId="0" borderId="66" xfId="30" applyFont="1" applyBorder="1"/>
    <xf numFmtId="4" fontId="122" fillId="0" borderId="66" xfId="30" applyNumberFormat="1" applyFont="1" applyBorder="1"/>
    <xf numFmtId="0" fontId="6" fillId="0" borderId="9" xfId="30" applyBorder="1" applyAlignment="1">
      <alignment horizontal="center" vertical="top" wrapText="1"/>
    </xf>
    <xf numFmtId="0" fontId="6" fillId="0" borderId="30" xfId="30" applyBorder="1"/>
    <xf numFmtId="0" fontId="7" fillId="2" borderId="33" xfId="30" applyFont="1" applyFill="1" applyBorder="1" applyAlignment="1">
      <alignment horizontal="center" vertical="top" wrapText="1"/>
    </xf>
    <xf numFmtId="43" fontId="30" fillId="2" borderId="70" xfId="41" applyFont="1" applyFill="1" applyBorder="1"/>
    <xf numFmtId="43" fontId="30" fillId="0" borderId="70" xfId="41" applyFont="1" applyBorder="1"/>
    <xf numFmtId="43" fontId="7" fillId="0" borderId="135" xfId="41" applyFont="1" applyFill="1" applyBorder="1"/>
    <xf numFmtId="43" fontId="30" fillId="0" borderId="29" xfId="41" applyFont="1" applyBorder="1"/>
    <xf numFmtId="43" fontId="7" fillId="0" borderId="135" xfId="41" applyFont="1" applyBorder="1"/>
    <xf numFmtId="0" fontId="133" fillId="0" borderId="11" xfId="33" applyFont="1" applyBorder="1"/>
    <xf numFmtId="0" fontId="15" fillId="0" borderId="11" xfId="33" applyFont="1" applyBorder="1" applyAlignment="1"/>
    <xf numFmtId="0" fontId="22" fillId="32" borderId="0" xfId="0" applyFont="1" applyFill="1"/>
    <xf numFmtId="3" fontId="22" fillId="32" borderId="0" xfId="0" applyNumberFormat="1" applyFont="1" applyFill="1"/>
    <xf numFmtId="4" fontId="22" fillId="32" borderId="0" xfId="0" applyNumberFormat="1" applyFont="1" applyFill="1"/>
    <xf numFmtId="0" fontId="0" fillId="32" borderId="0" xfId="0" applyFill="1"/>
    <xf numFmtId="3" fontId="0" fillId="32" borderId="0" xfId="0" applyNumberFormat="1" applyFill="1"/>
    <xf numFmtId="0" fontId="165" fillId="32" borderId="0" xfId="0" applyFont="1" applyFill="1" applyAlignment="1">
      <alignment wrapText="1"/>
    </xf>
    <xf numFmtId="0" fontId="7" fillId="0" borderId="14" xfId="27" applyFont="1" applyBorder="1"/>
    <xf numFmtId="3" fontId="18" fillId="23" borderId="6" xfId="0" applyNumberFormat="1" applyFont="1" applyFill="1" applyBorder="1"/>
    <xf numFmtId="3" fontId="15" fillId="23" borderId="66" xfId="0" applyNumberFormat="1" applyFont="1" applyFill="1" applyBorder="1"/>
    <xf numFmtId="3" fontId="133" fillId="28" borderId="61" xfId="0" applyNumberFormat="1" applyFont="1" applyFill="1" applyBorder="1"/>
    <xf numFmtId="0" fontId="134" fillId="0" borderId="0" xfId="0" applyFont="1"/>
    <xf numFmtId="168" fontId="61" fillId="0" borderId="136" xfId="0" applyNumberFormat="1" applyFont="1" applyBorder="1" applyAlignment="1">
      <alignment horizontal="right"/>
    </xf>
    <xf numFmtId="3" fontId="0" fillId="0" borderId="10" xfId="0" applyNumberFormat="1" applyBorder="1"/>
    <xf numFmtId="3" fontId="15" fillId="0" borderId="9" xfId="0" applyNumberFormat="1" applyFont="1" applyBorder="1"/>
    <xf numFmtId="168" fontId="15" fillId="0" borderId="9" xfId="0" applyNumberFormat="1" applyFont="1" applyBorder="1"/>
    <xf numFmtId="168" fontId="15" fillId="0" borderId="0" xfId="0" applyNumberFormat="1" applyFont="1" applyFill="1" applyBorder="1"/>
    <xf numFmtId="168" fontId="15" fillId="0" borderId="0" xfId="0" applyNumberFormat="1" applyFont="1" applyBorder="1"/>
    <xf numFmtId="4" fontId="5" fillId="0" borderId="0" xfId="30" applyNumberFormat="1" applyFont="1"/>
    <xf numFmtId="4" fontId="6" fillId="0" borderId="4" xfId="30" applyNumberFormat="1" applyBorder="1"/>
    <xf numFmtId="3" fontId="15" fillId="0" borderId="110" xfId="0" applyNumberFormat="1" applyFont="1" applyFill="1" applyBorder="1"/>
    <xf numFmtId="3" fontId="22" fillId="0" borderId="61" xfId="0" applyNumberFormat="1" applyFont="1" applyFill="1" applyBorder="1"/>
    <xf numFmtId="0" fontId="0" fillId="27" borderId="133" xfId="0" applyFill="1" applyBorder="1" applyAlignment="1">
      <alignment horizontal="left" indent="1"/>
    </xf>
    <xf numFmtId="0" fontId="0" fillId="0" borderId="133" xfId="0" applyBorder="1" applyAlignment="1">
      <alignment horizontal="left" indent="1"/>
    </xf>
    <xf numFmtId="0" fontId="22" fillId="0" borderId="133" xfId="0" applyFont="1" applyBorder="1" applyAlignment="1">
      <alignment horizontal="left" indent="1"/>
    </xf>
    <xf numFmtId="0" fontId="0" fillId="27" borderId="133" xfId="0" applyFont="1" applyFill="1" applyBorder="1" applyAlignment="1">
      <alignment horizontal="left" indent="1"/>
    </xf>
    <xf numFmtId="0" fontId="0" fillId="0" borderId="8" xfId="0" applyBorder="1" applyAlignment="1">
      <alignment horizontal="left" indent="1"/>
    </xf>
    <xf numFmtId="168" fontId="0" fillId="28" borderId="4" xfId="0" applyNumberFormat="1" applyFill="1" applyBorder="1"/>
    <xf numFmtId="0" fontId="133" fillId="0" borderId="4" xfId="0" applyFont="1" applyBorder="1"/>
    <xf numFmtId="172" fontId="133" fillId="0" borderId="11" xfId="5" applyNumberFormat="1" applyFont="1" applyBorder="1" applyAlignment="1">
      <alignment horizontal="right"/>
    </xf>
    <xf numFmtId="3" fontId="0" fillId="0" borderId="4" xfId="0" applyNumberFormat="1" applyFill="1" applyBorder="1"/>
    <xf numFmtId="176" fontId="22" fillId="0" borderId="0" xfId="41" applyNumberFormat="1" applyFont="1"/>
    <xf numFmtId="176" fontId="133" fillId="0" borderId="0" xfId="41" applyNumberFormat="1" applyFont="1"/>
    <xf numFmtId="4" fontId="133" fillId="0" borderId="11" xfId="0" applyNumberFormat="1" applyFont="1" applyBorder="1"/>
    <xf numFmtId="17" fontId="15" fillId="0" borderId="9" xfId="0" applyNumberFormat="1" applyFont="1" applyFill="1" applyBorder="1"/>
    <xf numFmtId="17" fontId="15" fillId="0" borderId="6" xfId="0" applyNumberFormat="1" applyFont="1" applyFill="1" applyBorder="1"/>
    <xf numFmtId="17" fontId="15" fillId="0" borderId="6" xfId="0" applyNumberFormat="1" applyFont="1" applyFill="1" applyBorder="1" applyAlignment="1">
      <alignment horizontal="center"/>
    </xf>
    <xf numFmtId="17" fontId="18" fillId="0" borderId="6" xfId="0" applyNumberFormat="1" applyFont="1" applyFill="1" applyBorder="1" applyAlignment="1">
      <alignment horizontal="center"/>
    </xf>
    <xf numFmtId="0" fontId="0" fillId="0" borderId="2" xfId="0" applyFill="1" applyBorder="1"/>
    <xf numFmtId="0" fontId="0" fillId="0" borderId="3" xfId="0" applyFill="1" applyBorder="1"/>
    <xf numFmtId="9" fontId="0" fillId="0" borderId="3" xfId="0" applyNumberFormat="1" applyFill="1" applyBorder="1"/>
    <xf numFmtId="4" fontId="0" fillId="0" borderId="3" xfId="0" applyNumberFormat="1" applyFill="1" applyBorder="1"/>
    <xf numFmtId="3" fontId="15" fillId="0" borderId="8" xfId="0" applyNumberFormat="1" applyFont="1" applyFill="1" applyBorder="1"/>
    <xf numFmtId="3" fontId="15" fillId="0" borderId="4" xfId="41" applyNumberFormat="1" applyFont="1" applyFill="1" applyBorder="1"/>
    <xf numFmtId="3" fontId="131" fillId="0" borderId="4" xfId="0" applyNumberFormat="1" applyFont="1" applyFill="1" applyBorder="1"/>
    <xf numFmtId="3" fontId="0" fillId="0" borderId="8" xfId="0" applyNumberFormat="1" applyFill="1" applyBorder="1"/>
    <xf numFmtId="9" fontId="0" fillId="0" borderId="4" xfId="41" applyNumberFormat="1" applyFont="1" applyFill="1" applyBorder="1"/>
    <xf numFmtId="3" fontId="0" fillId="0" borderId="4" xfId="41" applyNumberFormat="1" applyFont="1" applyFill="1" applyBorder="1"/>
    <xf numFmtId="3" fontId="22" fillId="0" borderId="8" xfId="0" applyNumberFormat="1" applyFont="1" applyFill="1" applyBorder="1"/>
    <xf numFmtId="9" fontId="0" fillId="0" borderId="4" xfId="0" applyNumberFormat="1" applyFill="1" applyBorder="1"/>
    <xf numFmtId="3" fontId="22" fillId="0" borderId="4" xfId="0" applyNumberFormat="1" applyFont="1" applyFill="1" applyBorder="1"/>
    <xf numFmtId="43" fontId="6" fillId="0" borderId="0" xfId="30" applyNumberFormat="1"/>
    <xf numFmtId="43" fontId="7" fillId="31" borderId="135" xfId="41" applyFont="1" applyFill="1" applyBorder="1"/>
    <xf numFmtId="43" fontId="30" fillId="31" borderId="29" xfId="41" applyFont="1" applyFill="1" applyBorder="1"/>
    <xf numFmtId="43" fontId="0" fillId="0" borderId="0" xfId="41" applyNumberFormat="1" applyFont="1"/>
    <xf numFmtId="3" fontId="22" fillId="0" borderId="0" xfId="0" applyNumberFormat="1" applyFont="1" applyFill="1"/>
    <xf numFmtId="0" fontId="0" fillId="0" borderId="0" xfId="0" applyFill="1"/>
    <xf numFmtId="3" fontId="0" fillId="0" borderId="0" xfId="0" applyNumberFormat="1" applyFill="1"/>
    <xf numFmtId="0" fontId="133" fillId="0" borderId="0" xfId="0" applyFont="1" applyFill="1"/>
    <xf numFmtId="3" fontId="133" fillId="0" borderId="0" xfId="0" applyNumberFormat="1" applyFont="1" applyFill="1"/>
    <xf numFmtId="0" fontId="22" fillId="0" borderId="0" xfId="0" applyFont="1" applyFill="1"/>
    <xf numFmtId="176" fontId="0" fillId="0" borderId="0" xfId="41" applyNumberFormat="1" applyFont="1" applyFill="1"/>
    <xf numFmtId="168" fontId="0" fillId="0" borderId="0" xfId="0" applyNumberFormat="1" applyFill="1"/>
    <xf numFmtId="175" fontId="22" fillId="0" borderId="0" xfId="41" applyNumberFormat="1" applyFont="1" applyFill="1"/>
    <xf numFmtId="0" fontId="0" fillId="0" borderId="133" xfId="0" applyBorder="1" applyAlignment="1">
      <alignment horizontal="left" indent="2"/>
    </xf>
    <xf numFmtId="3" fontId="123" fillId="0" borderId="4" xfId="0" applyNumberFormat="1" applyFont="1" applyBorder="1"/>
    <xf numFmtId="168" fontId="31" fillId="0" borderId="11" xfId="26" applyNumberFormat="1" applyFont="1" applyBorder="1" applyProtection="1"/>
    <xf numFmtId="0" fontId="0" fillId="0" borderId="8" xfId="0" applyBorder="1" applyAlignment="1">
      <alignment horizontal="left" indent="2"/>
    </xf>
    <xf numFmtId="168" fontId="22" fillId="0" borderId="8" xfId="0" applyNumberFormat="1" applyFont="1" applyBorder="1"/>
    <xf numFmtId="0" fontId="133" fillId="0" borderId="133" xfId="0" applyFont="1" applyBorder="1" applyAlignment="1">
      <alignment horizontal="left" indent="1"/>
    </xf>
    <xf numFmtId="0" fontId="22" fillId="0" borderId="8" xfId="0" applyFont="1" applyBorder="1" applyAlignment="1">
      <alignment horizontal="left" indent="2"/>
    </xf>
    <xf numFmtId="0" fontId="133" fillId="0" borderId="62" xfId="0" applyFont="1" applyFill="1" applyBorder="1" applyAlignment="1"/>
    <xf numFmtId="168" fontId="61" fillId="0" borderId="137" xfId="0" applyNumberFormat="1" applyFont="1" applyBorder="1" applyAlignment="1">
      <alignment horizontal="right"/>
    </xf>
    <xf numFmtId="168" fontId="22" fillId="0" borderId="0" xfId="0" applyNumberFormat="1" applyFont="1" applyFill="1" applyBorder="1"/>
    <xf numFmtId="4" fontId="133" fillId="0" borderId="11" xfId="0" applyNumberFormat="1" applyFont="1" applyFill="1" applyBorder="1"/>
    <xf numFmtId="168" fontId="0" fillId="0" borderId="4" xfId="0" applyNumberFormat="1" applyFill="1" applyBorder="1" applyAlignment="1">
      <alignment horizontal="left" indent="2"/>
    </xf>
    <xf numFmtId="168" fontId="1" fillId="0" borderId="4" xfId="0" applyNumberFormat="1" applyFont="1" applyFill="1" applyBorder="1"/>
    <xf numFmtId="168" fontId="0" fillId="0" borderId="94" xfId="0" applyNumberFormat="1" applyFill="1" applyBorder="1"/>
    <xf numFmtId="168" fontId="164" fillId="0" borderId="4" xfId="27" applyNumberFormat="1" applyFont="1" applyBorder="1"/>
    <xf numFmtId="4" fontId="159" fillId="0" borderId="117" xfId="0" applyNumberFormat="1" applyFont="1" applyFill="1" applyBorder="1"/>
    <xf numFmtId="180" fontId="15" fillId="0" borderId="0" xfId="41" applyNumberFormat="1" applyFont="1"/>
    <xf numFmtId="2" fontId="133" fillId="0" borderId="12" xfId="33" applyNumberFormat="1" applyFont="1" applyBorder="1" applyAlignment="1">
      <alignment vertical="center" wrapText="1"/>
    </xf>
    <xf numFmtId="3" fontId="167" fillId="0" borderId="11" xfId="0" applyNumberFormat="1" applyFont="1" applyFill="1" applyBorder="1"/>
    <xf numFmtId="0" fontId="15" fillId="0" borderId="133" xfId="0" applyFont="1" applyFill="1" applyBorder="1" applyAlignment="1">
      <alignment horizontal="left" indent="1"/>
    </xf>
    <xf numFmtId="3" fontId="31" fillId="0" borderId="11" xfId="25" applyNumberFormat="1" applyFont="1" applyBorder="1" applyProtection="1"/>
    <xf numFmtId="0" fontId="15" fillId="0" borderId="0" xfId="33" applyFont="1" applyFill="1" applyAlignment="1">
      <alignment horizontal="center"/>
    </xf>
    <xf numFmtId="0" fontId="58" fillId="0" borderId="49" xfId="33" quotePrefix="1" applyFont="1" applyFill="1" applyBorder="1" applyAlignment="1">
      <alignment horizontal="center"/>
    </xf>
    <xf numFmtId="3" fontId="56" fillId="0" borderId="61" xfId="33" applyNumberFormat="1" applyFont="1" applyFill="1" applyBorder="1"/>
    <xf numFmtId="172" fontId="22" fillId="0" borderId="0" xfId="33" applyNumberFormat="1" applyFont="1" applyFill="1"/>
    <xf numFmtId="0" fontId="22" fillId="0" borderId="0" xfId="32" applyFont="1" applyFill="1" applyAlignment="1">
      <alignment horizontal="left" indent="3"/>
    </xf>
    <xf numFmtId="0" fontId="22" fillId="0" borderId="0" xfId="32" applyFont="1" applyFill="1" applyAlignment="1">
      <alignment horizontal="left" indent="1"/>
    </xf>
    <xf numFmtId="0" fontId="22" fillId="0" borderId="11" xfId="33" applyFont="1" applyBorder="1" applyAlignment="1">
      <alignment horizontal="left" indent="1"/>
    </xf>
    <xf numFmtId="0" fontId="15" fillId="0" borderId="133" xfId="0" applyFont="1" applyFill="1" applyBorder="1" applyAlignment="1">
      <alignment horizontal="left" indent="2"/>
    </xf>
    <xf numFmtId="0" fontId="132" fillId="0" borderId="4" xfId="0" quotePrefix="1" applyFont="1" applyBorder="1" applyAlignment="1">
      <alignment horizontal="left" indent="3"/>
    </xf>
    <xf numFmtId="0" fontId="168" fillId="0" borderId="0" xfId="36" applyFont="1" applyFill="1" applyAlignment="1">
      <alignment horizontal="left" indent="3"/>
    </xf>
    <xf numFmtId="168" fontId="133" fillId="27" borderId="0" xfId="0" applyNumberFormat="1" applyFont="1" applyFill="1" applyBorder="1"/>
    <xf numFmtId="168" fontId="134" fillId="0" borderId="4" xfId="0" applyNumberFormat="1" applyFont="1" applyFill="1" applyBorder="1"/>
    <xf numFmtId="3" fontId="169" fillId="0" borderId="6" xfId="0" applyNumberFormat="1" applyFont="1" applyBorder="1"/>
    <xf numFmtId="4" fontId="159" fillId="0" borderId="117" xfId="18" applyNumberFormat="1" applyFont="1" applyFill="1" applyBorder="1"/>
    <xf numFmtId="3" fontId="170" fillId="0" borderId="6" xfId="0" applyNumberFormat="1" applyFont="1" applyBorder="1"/>
    <xf numFmtId="3" fontId="15" fillId="0" borderId="59" xfId="0" applyNumberFormat="1" applyFont="1" applyBorder="1"/>
    <xf numFmtId="3" fontId="61" fillId="3" borderId="61" xfId="0" applyNumberFormat="1" applyFont="1" applyFill="1" applyBorder="1" applyAlignment="1">
      <alignment vertical="center"/>
    </xf>
    <xf numFmtId="4" fontId="159" fillId="0" borderId="11" xfId="20" applyNumberFormat="1" applyFont="1" applyFill="1" applyBorder="1"/>
    <xf numFmtId="4" fontId="134" fillId="0" borderId="4" xfId="0" applyNumberFormat="1" applyFont="1" applyFill="1" applyBorder="1"/>
    <xf numFmtId="43" fontId="22" fillId="0" borderId="0" xfId="41" applyFont="1" applyBorder="1"/>
    <xf numFmtId="3" fontId="15" fillId="0" borderId="115" xfId="0" applyNumberFormat="1" applyFont="1" applyFill="1" applyBorder="1"/>
    <xf numFmtId="3" fontId="15" fillId="0" borderId="113" xfId="0" applyNumberFormat="1" applyFont="1" applyBorder="1"/>
    <xf numFmtId="168" fontId="31" fillId="0" borderId="4" xfId="25" applyNumberFormat="1" applyFont="1" applyFill="1" applyBorder="1" applyProtection="1"/>
    <xf numFmtId="182" fontId="0" fillId="0" borderId="11" xfId="0" applyNumberFormat="1" applyBorder="1"/>
    <xf numFmtId="168" fontId="0" fillId="0" borderId="11" xfId="0" applyNumberFormat="1" applyBorder="1"/>
    <xf numFmtId="0" fontId="125" fillId="0" borderId="0" xfId="0" applyNumberFormat="1" applyFont="1" applyBorder="1" applyAlignment="1">
      <alignment horizontal="left"/>
    </xf>
    <xf numFmtId="0" fontId="125" fillId="0" borderId="0" xfId="0" applyNumberFormat="1" applyFont="1" applyBorder="1" applyAlignment="1">
      <alignment horizontal="left" indent="1"/>
    </xf>
    <xf numFmtId="0" fontId="22" fillId="0" borderId="138" xfId="0" applyNumberFormat="1" applyFont="1" applyBorder="1" applyAlignment="1">
      <alignment horizontal="left" indent="1"/>
    </xf>
    <xf numFmtId="4" fontId="0" fillId="0" borderId="139" xfId="0" applyNumberFormat="1" applyBorder="1"/>
    <xf numFmtId="182" fontId="0" fillId="0" borderId="11" xfId="0" applyNumberFormat="1" applyFill="1" applyBorder="1"/>
    <xf numFmtId="168" fontId="159" fillId="0" borderId="117" xfId="0" applyNumberFormat="1" applyFont="1" applyFill="1" applyBorder="1"/>
    <xf numFmtId="180" fontId="22" fillId="0" borderId="0" xfId="41" applyNumberFormat="1" applyFont="1"/>
    <xf numFmtId="181" fontId="0" fillId="0" borderId="11" xfId="0" applyNumberFormat="1" applyBorder="1"/>
    <xf numFmtId="0" fontId="0" fillId="0" borderId="8" xfId="0" applyBorder="1" applyAlignment="1">
      <alignment horizontal="left" indent="6"/>
    </xf>
    <xf numFmtId="168" fontId="133" fillId="0" borderId="0" xfId="0" applyNumberFormat="1" applyFont="1"/>
    <xf numFmtId="168" fontId="133" fillId="0" borderId="4" xfId="0" applyNumberFormat="1" applyFont="1" applyFill="1" applyBorder="1"/>
    <xf numFmtId="168" fontId="22" fillId="33" borderId="4" xfId="0" applyNumberFormat="1" applyFont="1" applyFill="1" applyBorder="1"/>
    <xf numFmtId="0" fontId="31" fillId="0" borderId="11" xfId="25" applyFont="1" applyFill="1" applyBorder="1" applyProtection="1"/>
    <xf numFmtId="3" fontId="89" fillId="0" borderId="11" xfId="25" applyNumberFormat="1" applyFont="1" applyFill="1" applyBorder="1" applyProtection="1"/>
    <xf numFmtId="3" fontId="0" fillId="0" borderId="4" xfId="0" applyNumberFormat="1" applyBorder="1" applyAlignment="1"/>
    <xf numFmtId="0" fontId="171" fillId="0" borderId="140" xfId="0" applyNumberFormat="1" applyFont="1" applyBorder="1" applyAlignment="1">
      <alignment vertical="center"/>
    </xf>
    <xf numFmtId="3" fontId="53" fillId="0" borderId="0" xfId="0" applyNumberFormat="1" applyFont="1"/>
    <xf numFmtId="3" fontId="172" fillId="0" borderId="6" xfId="0" applyNumberFormat="1" applyFont="1" applyBorder="1"/>
    <xf numFmtId="167" fontId="0" fillId="0" borderId="11" xfId="0" applyNumberFormat="1" applyBorder="1"/>
    <xf numFmtId="167" fontId="22" fillId="0" borderId="11" xfId="0" applyNumberFormat="1" applyFont="1" applyFill="1" applyBorder="1"/>
    <xf numFmtId="167" fontId="22" fillId="0" borderId="11" xfId="0" applyNumberFormat="1" applyFont="1" applyBorder="1"/>
    <xf numFmtId="4" fontId="128" fillId="0" borderId="117" xfId="21" applyNumberFormat="1" applyFont="1" applyFill="1" applyBorder="1"/>
    <xf numFmtId="0" fontId="133" fillId="0" borderId="1" xfId="0" applyFont="1" applyBorder="1" applyAlignment="1"/>
    <xf numFmtId="0" fontId="133" fillId="0" borderId="8" xfId="0" applyFont="1" applyBorder="1" applyAlignment="1">
      <alignment horizontal="left" indent="6"/>
    </xf>
    <xf numFmtId="168" fontId="133" fillId="0" borderId="0" xfId="0" applyNumberFormat="1" applyFont="1" applyBorder="1"/>
    <xf numFmtId="0" fontId="15" fillId="0" borderId="8" xfId="0" applyFont="1" applyFill="1" applyBorder="1" applyAlignment="1">
      <alignment horizontal="left" indent="5"/>
    </xf>
    <xf numFmtId="0" fontId="0" fillId="0" borderId="8" xfId="0" applyFill="1" applyBorder="1" applyAlignment="1">
      <alignment horizontal="left" indent="6"/>
    </xf>
    <xf numFmtId="183" fontId="133" fillId="0" borderId="4" xfId="0" applyNumberFormat="1" applyFont="1" applyBorder="1"/>
    <xf numFmtId="4" fontId="159" fillId="0" borderId="117" xfId="17" applyNumberFormat="1" applyFont="1" applyFill="1" applyBorder="1"/>
    <xf numFmtId="183" fontId="0" fillId="0" borderId="4" xfId="0" applyNumberFormat="1" applyBorder="1"/>
    <xf numFmtId="0" fontId="0" fillId="33" borderId="4" xfId="0" applyFill="1" applyBorder="1"/>
    <xf numFmtId="4" fontId="0" fillId="33" borderId="0" xfId="0" applyNumberFormat="1" applyFill="1"/>
    <xf numFmtId="0" fontId="0" fillId="33" borderId="0" xfId="0" applyFill="1"/>
    <xf numFmtId="3" fontId="173" fillId="0" borderId="61" xfId="0" applyNumberFormat="1" applyFont="1" applyFill="1" applyBorder="1" applyAlignment="1">
      <alignment vertical="center"/>
    </xf>
    <xf numFmtId="0" fontId="134" fillId="0" borderId="12" xfId="0" applyFont="1" applyBorder="1" applyAlignment="1"/>
    <xf numFmtId="3" fontId="174" fillId="0" borderId="11" xfId="25" applyNumberFormat="1" applyFont="1" applyBorder="1" applyProtection="1"/>
    <xf numFmtId="176" fontId="134" fillId="0" borderId="0" xfId="41" applyNumberFormat="1" applyFont="1"/>
    <xf numFmtId="0" fontId="18" fillId="0" borderId="6" xfId="0" applyFont="1" applyFill="1" applyBorder="1" applyAlignment="1">
      <alignment horizontal="center"/>
    </xf>
    <xf numFmtId="3" fontId="18" fillId="0" borderId="6" xfId="0" applyNumberFormat="1" applyFont="1" applyFill="1" applyBorder="1"/>
    <xf numFmtId="3" fontId="17" fillId="0" borderId="0" xfId="0" applyNumberFormat="1" applyFont="1" applyFill="1"/>
    <xf numFmtId="3" fontId="55" fillId="0" borderId="6" xfId="0" applyNumberFormat="1" applyFont="1" applyFill="1" applyBorder="1"/>
    <xf numFmtId="3" fontId="15" fillId="0" borderId="0" xfId="0" applyNumberFormat="1" applyFont="1" applyFill="1"/>
    <xf numFmtId="176" fontId="134" fillId="0" borderId="0" xfId="41" applyNumberFormat="1" applyFont="1" applyFill="1"/>
    <xf numFmtId="168" fontId="15" fillId="34" borderId="0" xfId="0" applyNumberFormat="1" applyFont="1" applyFill="1" applyBorder="1"/>
    <xf numFmtId="168" fontId="1" fillId="34" borderId="0" xfId="0" applyNumberFormat="1" applyFont="1" applyFill="1" applyBorder="1"/>
    <xf numFmtId="168" fontId="15" fillId="34" borderId="0" xfId="0" applyNumberFormat="1" applyFont="1" applyFill="1"/>
    <xf numFmtId="4" fontId="121" fillId="0" borderId="66" xfId="30" applyNumberFormat="1" applyFont="1" applyBorder="1"/>
    <xf numFmtId="4" fontId="6" fillId="0" borderId="11" xfId="30" applyNumberFormat="1" applyBorder="1" applyAlignment="1">
      <alignment horizontal="centerContinuous"/>
    </xf>
    <xf numFmtId="4" fontId="32" fillId="2" borderId="2" xfId="41" applyNumberFormat="1" applyFont="1" applyFill="1" applyBorder="1"/>
    <xf numFmtId="4" fontId="7" fillId="0" borderId="14" xfId="30" applyNumberFormat="1" applyFont="1" applyBorder="1"/>
    <xf numFmtId="4" fontId="6" fillId="0" borderId="11" xfId="30" applyNumberFormat="1" applyBorder="1"/>
    <xf numFmtId="4" fontId="6" fillId="0" borderId="14" xfId="41" applyNumberFormat="1" applyFont="1" applyBorder="1"/>
    <xf numFmtId="4" fontId="7" fillId="0" borderId="14" xfId="41" applyNumberFormat="1" applyFont="1" applyBorder="1"/>
    <xf numFmtId="4" fontId="162" fillId="0" borderId="14" xfId="41" applyNumberFormat="1" applyFont="1" applyBorder="1"/>
    <xf numFmtId="4" fontId="6" fillId="0" borderId="5" xfId="30" applyNumberFormat="1" applyBorder="1"/>
    <xf numFmtId="4" fontId="5" fillId="23" borderId="14" xfId="30" applyNumberFormat="1" applyFont="1" applyFill="1" applyBorder="1"/>
    <xf numFmtId="168" fontId="133" fillId="0" borderId="4" xfId="0" applyNumberFormat="1" applyFont="1" applyBorder="1" applyAlignment="1">
      <alignment horizontal="left"/>
    </xf>
    <xf numFmtId="0" fontId="15" fillId="33" borderId="0" xfId="33" applyFont="1" applyFill="1" applyAlignment="1">
      <alignment horizontal="center"/>
    </xf>
    <xf numFmtId="0" fontId="22" fillId="33" borderId="49" xfId="33" quotePrefix="1" applyFont="1" applyFill="1" applyBorder="1" applyAlignment="1">
      <alignment horizontal="center"/>
    </xf>
    <xf numFmtId="0" fontId="22" fillId="33" borderId="11" xfId="33" applyFont="1" applyFill="1" applyBorder="1"/>
    <xf numFmtId="172" fontId="22" fillId="33" borderId="11" xfId="5" applyNumberFormat="1" applyFont="1" applyFill="1" applyBorder="1" applyAlignment="1">
      <alignment horizontal="right"/>
    </xf>
    <xf numFmtId="172" fontId="56" fillId="33" borderId="48" xfId="5" applyNumberFormat="1" applyFont="1" applyFill="1" applyBorder="1"/>
    <xf numFmtId="0" fontId="22" fillId="33" borderId="0" xfId="33" applyFont="1" applyFill="1"/>
    <xf numFmtId="3" fontId="56" fillId="33" borderId="61" xfId="33" applyNumberFormat="1" applyFont="1" applyFill="1" applyBorder="1"/>
    <xf numFmtId="172" fontId="22" fillId="33" borderId="0" xfId="33" applyNumberFormat="1" applyFont="1" applyFill="1"/>
    <xf numFmtId="176" fontId="175" fillId="0" borderId="0" xfId="41" applyNumberFormat="1" applyFont="1" applyFill="1"/>
    <xf numFmtId="3" fontId="176" fillId="0" borderId="11" xfId="25" applyNumberFormat="1" applyFont="1" applyBorder="1" applyProtection="1"/>
    <xf numFmtId="175" fontId="175" fillId="0" borderId="0" xfId="41" applyNumberFormat="1" applyFont="1" applyFill="1"/>
    <xf numFmtId="0" fontId="133" fillId="0" borderId="12" xfId="0" applyFont="1" applyBorder="1" applyAlignment="1"/>
    <xf numFmtId="0" fontId="133" fillId="0" borderId="12" xfId="0" applyFont="1" applyBorder="1"/>
    <xf numFmtId="3" fontId="1" fillId="0" borderId="4" xfId="0" applyNumberFormat="1" applyFont="1" applyFill="1" applyBorder="1"/>
    <xf numFmtId="43" fontId="15" fillId="33" borderId="0" xfId="41" applyFont="1" applyFill="1"/>
    <xf numFmtId="176" fontId="0" fillId="33" borderId="0" xfId="41" applyNumberFormat="1" applyFont="1" applyFill="1"/>
    <xf numFmtId="176" fontId="15" fillId="33" borderId="0" xfId="0" applyNumberFormat="1" applyFont="1" applyFill="1"/>
    <xf numFmtId="176" fontId="22" fillId="0" borderId="0" xfId="41" applyNumberFormat="1" applyFont="1" applyFill="1"/>
    <xf numFmtId="3" fontId="134" fillId="0" borderId="82" xfId="0" applyNumberFormat="1" applyFont="1" applyBorder="1"/>
    <xf numFmtId="3" fontId="134" fillId="0" borderId="82" xfId="0" applyNumberFormat="1" applyFont="1" applyFill="1" applyBorder="1"/>
    <xf numFmtId="3" fontId="134" fillId="0" borderId="110" xfId="0" applyNumberFormat="1" applyFont="1" applyFill="1" applyBorder="1"/>
    <xf numFmtId="4" fontId="5" fillId="0" borderId="11" xfId="30" applyNumberFormat="1" applyFont="1" applyFill="1" applyBorder="1"/>
    <xf numFmtId="183" fontId="8" fillId="0" borderId="10" xfId="0" applyNumberFormat="1" applyFont="1" applyBorder="1"/>
    <xf numFmtId="176" fontId="0" fillId="28" borderId="0" xfId="41" applyNumberFormat="1" applyFont="1" applyFill="1"/>
    <xf numFmtId="0" fontId="177" fillId="0" borderId="0" xfId="0" applyFont="1" applyBorder="1" applyAlignment="1">
      <alignment horizontal="center"/>
    </xf>
    <xf numFmtId="43" fontId="177" fillId="0" borderId="0" xfId="41" applyFont="1" applyFill="1" applyBorder="1" applyAlignment="1">
      <alignment horizontal="center"/>
    </xf>
    <xf numFmtId="43" fontId="177" fillId="0" borderId="0" xfId="0" applyNumberFormat="1" applyFont="1" applyFill="1" applyBorder="1" applyAlignment="1">
      <alignment horizontal="center"/>
    </xf>
    <xf numFmtId="168" fontId="177" fillId="0" borderId="0" xfId="0" applyNumberFormat="1" applyFont="1" applyFill="1" applyBorder="1" applyAlignment="1">
      <alignment horizontal="center"/>
    </xf>
    <xf numFmtId="3" fontId="177" fillId="0" borderId="0" xfId="0" applyNumberFormat="1" applyFont="1" applyFill="1" applyAlignment="1">
      <alignment horizontal="center"/>
    </xf>
    <xf numFmtId="3" fontId="177" fillId="0" borderId="0" xfId="0" quotePrefix="1" applyNumberFormat="1" applyFont="1" applyFill="1" applyBorder="1" applyAlignment="1">
      <alignment horizontal="center"/>
    </xf>
    <xf numFmtId="3" fontId="177" fillId="0" borderId="0" xfId="0" applyNumberFormat="1" applyFont="1" applyFill="1" applyBorder="1" applyAlignment="1">
      <alignment horizontal="center"/>
    </xf>
    <xf numFmtId="0" fontId="177" fillId="0" borderId="0" xfId="0" applyFont="1" applyFill="1" applyBorder="1" applyAlignment="1">
      <alignment horizontal="center"/>
    </xf>
    <xf numFmtId="0" fontId="178" fillId="0" borderId="0" xfId="0" applyFont="1" applyFill="1" applyBorder="1" applyAlignment="1">
      <alignment horizontal="center"/>
    </xf>
    <xf numFmtId="175" fontId="178" fillId="0" borderId="0" xfId="41" applyNumberFormat="1" applyFont="1" applyFill="1" applyAlignment="1">
      <alignment horizontal="center"/>
    </xf>
    <xf numFmtId="183" fontId="177" fillId="0" borderId="0" xfId="0" applyNumberFormat="1" applyFont="1" applyFill="1" applyBorder="1" applyAlignment="1">
      <alignment horizontal="center"/>
    </xf>
    <xf numFmtId="3" fontId="177" fillId="0" borderId="0" xfId="0" applyNumberFormat="1" applyFont="1"/>
    <xf numFmtId="183" fontId="177" fillId="0" borderId="0" xfId="0" applyNumberFormat="1" applyFont="1"/>
    <xf numFmtId="3" fontId="179" fillId="28" borderId="0" xfId="0" applyNumberFormat="1" applyFont="1" applyFill="1"/>
    <xf numFmtId="0" fontId="177" fillId="0" borderId="0" xfId="0" applyFont="1"/>
    <xf numFmtId="176" fontId="178" fillId="0" borderId="58" xfId="41" applyNumberFormat="1" applyFont="1" applyBorder="1"/>
    <xf numFmtId="176" fontId="178" fillId="0" borderId="0" xfId="41" applyNumberFormat="1" applyFont="1" applyBorder="1"/>
    <xf numFmtId="176" fontId="177" fillId="0" borderId="0" xfId="41" applyNumberFormat="1" applyFont="1" applyFill="1" applyAlignment="1">
      <alignment horizontal="center"/>
    </xf>
    <xf numFmtId="0" fontId="177" fillId="0" borderId="82" xfId="0" applyFont="1" applyBorder="1" applyAlignment="1">
      <alignment horizontal="center"/>
    </xf>
    <xf numFmtId="3" fontId="177" fillId="0" borderId="20" xfId="0" applyNumberFormat="1" applyFont="1" applyBorder="1" applyAlignment="1">
      <alignment horizontal="center"/>
    </xf>
    <xf numFmtId="3" fontId="178" fillId="2" borderId="20" xfId="32" applyNumberFormat="1" applyFont="1" applyFill="1" applyBorder="1" applyAlignment="1">
      <alignment horizontal="center"/>
    </xf>
    <xf numFmtId="3" fontId="178" fillId="0" borderId="85" xfId="0" applyNumberFormat="1" applyFont="1" applyBorder="1"/>
    <xf numFmtId="3" fontId="178" fillId="0" borderId="20" xfId="0" applyNumberFormat="1" applyFont="1" applyBorder="1"/>
    <xf numFmtId="3" fontId="178" fillId="0" borderId="86" xfId="0" applyNumberFormat="1" applyFont="1" applyBorder="1" applyAlignment="1">
      <alignment horizontal="center"/>
    </xf>
    <xf numFmtId="0" fontId="178" fillId="0" borderId="74" xfId="0" applyFont="1" applyBorder="1" applyAlignment="1">
      <alignment horizontal="center"/>
    </xf>
    <xf numFmtId="0" fontId="177" fillId="0" borderId="92" xfId="0" applyFont="1" applyBorder="1" applyAlignment="1">
      <alignment horizontal="center"/>
    </xf>
    <xf numFmtId="0" fontId="177" fillId="0" borderId="93" xfId="0" applyFont="1" applyBorder="1" applyAlignment="1">
      <alignment horizontal="center"/>
    </xf>
    <xf numFmtId="3" fontId="178" fillId="2" borderId="93" xfId="32" applyNumberFormat="1" applyFont="1" applyFill="1" applyBorder="1" applyAlignment="1">
      <alignment horizontal="center" vertical="center" wrapText="1"/>
    </xf>
    <xf numFmtId="1" fontId="178" fillId="2" borderId="93" xfId="32" applyNumberFormat="1" applyFont="1" applyFill="1" applyBorder="1" applyAlignment="1">
      <alignment horizontal="center" vertical="center" wrapText="1"/>
    </xf>
    <xf numFmtId="3" fontId="178" fillId="0" borderId="0" xfId="0" applyNumberFormat="1" applyFont="1" applyBorder="1" applyAlignment="1">
      <alignment horizontal="center" vertical="center" wrapText="1"/>
    </xf>
    <xf numFmtId="3" fontId="178" fillId="0" borderId="4" xfId="0" applyNumberFormat="1" applyFont="1" applyBorder="1" applyAlignment="1">
      <alignment horizontal="center" vertical="center" wrapText="1"/>
    </xf>
    <xf numFmtId="3" fontId="178" fillId="0" borderId="11" xfId="0" applyNumberFormat="1" applyFont="1" applyBorder="1" applyAlignment="1">
      <alignment horizontal="center" vertical="center" wrapText="1"/>
    </xf>
    <xf numFmtId="0" fontId="178" fillId="0" borderId="29" xfId="0" applyFont="1" applyBorder="1" applyAlignment="1">
      <alignment horizontal="center"/>
    </xf>
    <xf numFmtId="0" fontId="178" fillId="0" borderId="83" xfId="36" applyFont="1" applyFill="1" applyBorder="1" applyAlignment="1">
      <alignment horizontal="center"/>
    </xf>
    <xf numFmtId="0" fontId="178" fillId="0" borderId="4" xfId="0" applyFont="1" applyBorder="1" applyAlignment="1">
      <alignment horizontal="left"/>
    </xf>
    <xf numFmtId="0" fontId="178" fillId="0" borderId="4" xfId="0" applyFont="1" applyBorder="1" applyAlignment="1"/>
    <xf numFmtId="3" fontId="178" fillId="0" borderId="4" xfId="0" applyNumberFormat="1" applyFont="1" applyBorder="1" applyAlignment="1">
      <alignment horizontal="center"/>
    </xf>
    <xf numFmtId="176" fontId="178" fillId="0" borderId="4" xfId="41" applyNumberFormat="1" applyFont="1" applyBorder="1" applyAlignment="1">
      <alignment horizontal="center"/>
    </xf>
    <xf numFmtId="175" fontId="178" fillId="0" borderId="4" xfId="41" applyNumberFormat="1" applyFont="1" applyBorder="1" applyAlignment="1">
      <alignment horizontal="center"/>
    </xf>
    <xf numFmtId="3" fontId="178" fillId="0" borderId="4" xfId="0" applyNumberFormat="1" applyFont="1" applyBorder="1"/>
    <xf numFmtId="4" fontId="177" fillId="0" borderId="11" xfId="0" applyNumberFormat="1" applyFont="1" applyBorder="1"/>
    <xf numFmtId="4" fontId="177" fillId="0" borderId="30" xfId="0" applyNumberFormat="1" applyFont="1" applyFill="1" applyBorder="1"/>
    <xf numFmtId="176" fontId="177" fillId="0" borderId="0" xfId="0" applyNumberFormat="1" applyFont="1"/>
    <xf numFmtId="169" fontId="177" fillId="0" borderId="0" xfId="38" applyNumberFormat="1" applyFont="1"/>
    <xf numFmtId="0" fontId="177" fillId="0" borderId="83" xfId="36" applyFont="1" applyFill="1" applyBorder="1" applyAlignment="1">
      <alignment horizontal="center"/>
    </xf>
    <xf numFmtId="3" fontId="177" fillId="0" borderId="4" xfId="0" applyNumberFormat="1" applyFont="1" applyBorder="1" applyAlignment="1">
      <alignment horizontal="center"/>
    </xf>
    <xf numFmtId="3" fontId="178" fillId="0" borderId="4" xfId="0" applyNumberFormat="1" applyFont="1" applyFill="1" applyBorder="1" applyAlignment="1">
      <alignment horizontal="center"/>
    </xf>
    <xf numFmtId="176" fontId="177" fillId="0" borderId="4" xfId="41" applyNumberFormat="1" applyFont="1" applyBorder="1" applyAlignment="1">
      <alignment horizontal="center"/>
    </xf>
    <xf numFmtId="3" fontId="177" fillId="0" borderId="4" xfId="0" applyNumberFormat="1" applyFont="1" applyBorder="1"/>
    <xf numFmtId="0" fontId="177" fillId="0" borderId="83" xfId="0" applyFont="1" applyBorder="1" applyAlignment="1">
      <alignment horizontal="center"/>
    </xf>
    <xf numFmtId="0" fontId="177" fillId="0" borderId="4" xfId="0" applyFont="1" applyBorder="1" applyAlignment="1"/>
    <xf numFmtId="0" fontId="177" fillId="0" borderId="4" xfId="0" applyFont="1" applyBorder="1" applyAlignment="1">
      <alignment horizontal="left"/>
    </xf>
    <xf numFmtId="0" fontId="177" fillId="0" borderId="4" xfId="0" applyFont="1" applyBorder="1" applyAlignment="1">
      <alignment horizontal="left" indent="1"/>
    </xf>
    <xf numFmtId="0" fontId="177" fillId="0" borderId="4" xfId="0" applyFont="1" applyBorder="1" applyAlignment="1">
      <alignment horizontal="left" indent="3"/>
    </xf>
    <xf numFmtId="176" fontId="177" fillId="0" borderId="0" xfId="41" applyNumberFormat="1" applyFont="1"/>
    <xf numFmtId="0" fontId="177" fillId="0" borderId="83" xfId="0" applyFont="1" applyBorder="1" applyAlignment="1">
      <alignment horizontal="left" indent="1"/>
    </xf>
    <xf numFmtId="3" fontId="177" fillId="0" borderId="4" xfId="0" applyNumberFormat="1" applyFont="1" applyBorder="1" applyAlignment="1">
      <alignment horizontal="left" indent="1"/>
    </xf>
    <xf numFmtId="176" fontId="177" fillId="0" borderId="4" xfId="41" applyNumberFormat="1" applyFont="1" applyBorder="1" applyAlignment="1">
      <alignment horizontal="left" indent="1"/>
    </xf>
    <xf numFmtId="175" fontId="178" fillId="0" borderId="4" xfId="41" applyNumberFormat="1" applyFont="1" applyBorder="1" applyAlignment="1">
      <alignment horizontal="left" indent="1"/>
    </xf>
    <xf numFmtId="4" fontId="177" fillId="0" borderId="11" xfId="0" applyNumberFormat="1" applyFont="1" applyBorder="1" applyAlignment="1">
      <alignment horizontal="left" indent="1"/>
    </xf>
    <xf numFmtId="4" fontId="177" fillId="0" borderId="30" xfId="0" applyNumberFormat="1" applyFont="1" applyFill="1" applyBorder="1" applyAlignment="1">
      <alignment horizontal="left" indent="1"/>
    </xf>
    <xf numFmtId="3" fontId="177" fillId="0" borderId="0" xfId="0" applyNumberFormat="1" applyFont="1" applyAlignment="1">
      <alignment horizontal="left" indent="1"/>
    </xf>
    <xf numFmtId="0" fontId="177" fillId="0" borderId="0" xfId="0" applyFont="1" applyAlignment="1">
      <alignment horizontal="left" indent="1"/>
    </xf>
    <xf numFmtId="176" fontId="177" fillId="0" borderId="0" xfId="41" applyNumberFormat="1" applyFont="1" applyAlignment="1">
      <alignment horizontal="left" indent="1"/>
    </xf>
    <xf numFmtId="3" fontId="178" fillId="0" borderId="0" xfId="0" applyNumberFormat="1" applyFont="1" applyBorder="1" applyAlignment="1">
      <alignment horizontal="left" indent="1"/>
    </xf>
    <xf numFmtId="0" fontId="177" fillId="0" borderId="4" xfId="0" applyFont="1" applyBorder="1" applyAlignment="1">
      <alignment horizontal="left" indent="2"/>
    </xf>
    <xf numFmtId="0" fontId="177" fillId="0" borderId="4" xfId="0" applyFont="1" applyBorder="1" applyAlignment="1">
      <alignment horizontal="left" indent="5"/>
    </xf>
    <xf numFmtId="0" fontId="177" fillId="0" borderId="0" xfId="0" applyNumberFormat="1" applyFont="1"/>
    <xf numFmtId="3" fontId="177" fillId="0" borderId="83" xfId="0" applyNumberFormat="1" applyFont="1" applyBorder="1" applyAlignment="1">
      <alignment horizontal="center"/>
    </xf>
    <xf numFmtId="0" fontId="177" fillId="0" borderId="83" xfId="0" applyFont="1" applyBorder="1" applyAlignment="1">
      <alignment horizontal="left" indent="4"/>
    </xf>
    <xf numFmtId="0" fontId="177" fillId="0" borderId="4" xfId="0" applyFont="1" applyBorder="1" applyAlignment="1">
      <alignment horizontal="left" indent="4"/>
    </xf>
    <xf numFmtId="3" fontId="177" fillId="0" borderId="4" xfId="0" applyNumberFormat="1" applyFont="1" applyBorder="1" applyAlignment="1">
      <alignment horizontal="left" indent="4"/>
    </xf>
    <xf numFmtId="176" fontId="177" fillId="0" borderId="4" xfId="41" applyNumberFormat="1" applyFont="1" applyBorder="1" applyAlignment="1">
      <alignment horizontal="left" indent="4"/>
    </xf>
    <xf numFmtId="175" fontId="178" fillId="0" borderId="4" xfId="41" applyNumberFormat="1" applyFont="1" applyBorder="1" applyAlignment="1">
      <alignment horizontal="left" indent="4"/>
    </xf>
    <xf numFmtId="4" fontId="177" fillId="0" borderId="11" xfId="0" applyNumberFormat="1" applyFont="1" applyBorder="1" applyAlignment="1">
      <alignment horizontal="left" indent="4"/>
    </xf>
    <xf numFmtId="4" fontId="177" fillId="0" borderId="30" xfId="0" applyNumberFormat="1" applyFont="1" applyFill="1" applyBorder="1" applyAlignment="1">
      <alignment horizontal="left" indent="4"/>
    </xf>
    <xf numFmtId="0" fontId="177" fillId="0" borderId="0" xfId="0" applyFont="1" applyAlignment="1">
      <alignment horizontal="left" indent="4"/>
    </xf>
    <xf numFmtId="3" fontId="179" fillId="0" borderId="4" xfId="0" applyNumberFormat="1" applyFont="1" applyBorder="1" applyAlignment="1">
      <alignment horizontal="center"/>
    </xf>
    <xf numFmtId="3" fontId="177" fillId="0" borderId="4" xfId="0" applyNumberFormat="1" applyFont="1" applyFill="1" applyBorder="1" applyAlignment="1">
      <alignment horizontal="center"/>
    </xf>
    <xf numFmtId="0" fontId="178" fillId="0" borderId="4" xfId="0" applyFont="1" applyBorder="1" applyAlignment="1">
      <alignment horizontal="left" indent="3"/>
    </xf>
    <xf numFmtId="0" fontId="177" fillId="0" borderId="83" xfId="0" applyFont="1" applyFill="1" applyBorder="1" applyAlignment="1">
      <alignment horizontal="center"/>
    </xf>
    <xf numFmtId="0" fontId="177" fillId="0" borderId="4" xfId="0" applyFont="1" applyFill="1" applyBorder="1" applyAlignment="1">
      <alignment horizontal="left"/>
    </xf>
    <xf numFmtId="175" fontId="178" fillId="0" borderId="4" xfId="41" applyNumberFormat="1" applyFont="1" applyFill="1" applyBorder="1" applyAlignment="1">
      <alignment horizontal="center"/>
    </xf>
    <xf numFmtId="3" fontId="177" fillId="0" borderId="4" xfId="0" applyNumberFormat="1" applyFont="1" applyFill="1" applyBorder="1"/>
    <xf numFmtId="4" fontId="177" fillId="0" borderId="11" xfId="0" applyNumberFormat="1" applyFont="1" applyFill="1" applyBorder="1"/>
    <xf numFmtId="0" fontId="177" fillId="0" borderId="0" xfId="0" applyFont="1" applyFill="1"/>
    <xf numFmtId="3" fontId="177" fillId="0" borderId="0" xfId="0" applyNumberFormat="1" applyFont="1" applyFill="1"/>
    <xf numFmtId="0" fontId="177" fillId="0" borderId="4" xfId="0" applyFont="1" applyFill="1" applyBorder="1" applyAlignment="1">
      <alignment horizontal="left" indent="3"/>
    </xf>
    <xf numFmtId="0" fontId="177" fillId="0" borderId="4" xfId="0" applyFont="1" applyFill="1" applyBorder="1" applyAlignment="1">
      <alignment horizontal="left" indent="4"/>
    </xf>
    <xf numFmtId="3" fontId="177" fillId="0" borderId="4" xfId="0" applyNumberFormat="1" applyFont="1" applyFill="1" applyBorder="1" applyAlignment="1">
      <alignment horizontal="left" indent="4"/>
    </xf>
    <xf numFmtId="0" fontId="178" fillId="0" borderId="83" xfId="0" applyFont="1" applyBorder="1" applyAlignment="1">
      <alignment horizontal="center"/>
    </xf>
    <xf numFmtId="0" fontId="178" fillId="0" borderId="4" xfId="0" applyFont="1" applyBorder="1" applyAlignment="1">
      <alignment horizontal="center"/>
    </xf>
    <xf numFmtId="0" fontId="178" fillId="5" borderId="83" xfId="0" applyFont="1" applyFill="1" applyBorder="1" applyAlignment="1">
      <alignment horizontal="center"/>
    </xf>
    <xf numFmtId="0" fontId="178" fillId="0" borderId="4" xfId="0" applyFont="1" applyFill="1" applyBorder="1" applyAlignment="1">
      <alignment horizontal="left"/>
    </xf>
    <xf numFmtId="0" fontId="178" fillId="0" borderId="4" xfId="0" applyFont="1" applyFill="1" applyBorder="1" applyAlignment="1">
      <alignment horizontal="left" indent="1"/>
    </xf>
    <xf numFmtId="4" fontId="178" fillId="0" borderId="11" xfId="0" applyNumberFormat="1" applyFont="1" applyBorder="1"/>
    <xf numFmtId="4" fontId="178" fillId="0" borderId="30" xfId="0" applyNumberFormat="1" applyFont="1" applyFill="1" applyBorder="1"/>
    <xf numFmtId="0" fontId="178" fillId="0" borderId="0" xfId="0" applyFont="1"/>
    <xf numFmtId="175" fontId="177" fillId="0" borderId="4" xfId="41" applyNumberFormat="1" applyFont="1" applyBorder="1" applyAlignment="1">
      <alignment horizontal="center"/>
    </xf>
    <xf numFmtId="0" fontId="177" fillId="0" borderId="4" xfId="0" applyFont="1" applyBorder="1" applyAlignment="1">
      <alignment horizontal="center"/>
    </xf>
    <xf numFmtId="1" fontId="177" fillId="0" borderId="0" xfId="0" applyNumberFormat="1" applyFont="1"/>
    <xf numFmtId="3" fontId="180" fillId="0" borderId="4" xfId="0" applyNumberFormat="1" applyFont="1" applyBorder="1" applyAlignment="1">
      <alignment horizontal="center"/>
    </xf>
    <xf numFmtId="168" fontId="177" fillId="0" borderId="0" xfId="0" applyNumberFormat="1" applyFont="1"/>
    <xf numFmtId="0" fontId="177" fillId="0" borderId="4" xfId="0" applyFont="1" applyFill="1" applyBorder="1" applyAlignment="1"/>
    <xf numFmtId="0" fontId="177" fillId="0" borderId="4" xfId="0" applyFont="1" applyFill="1" applyBorder="1" applyAlignment="1">
      <alignment horizontal="left" indent="1"/>
    </xf>
    <xf numFmtId="175" fontId="177" fillId="0" borderId="0" xfId="41" applyNumberFormat="1" applyFont="1"/>
    <xf numFmtId="176" fontId="179" fillId="0" borderId="0" xfId="41" applyNumberFormat="1" applyFont="1"/>
    <xf numFmtId="3" fontId="179" fillId="0" borderId="0" xfId="0" applyNumberFormat="1" applyFont="1"/>
    <xf numFmtId="0" fontId="178" fillId="0" borderId="5" xfId="0" applyFont="1" applyBorder="1" applyAlignment="1">
      <alignment horizontal="center"/>
    </xf>
    <xf numFmtId="3" fontId="181" fillId="0" borderId="5" xfId="0" applyNumberFormat="1" applyFont="1" applyBorder="1" applyAlignment="1">
      <alignment horizontal="center"/>
    </xf>
    <xf numFmtId="3" fontId="182" fillId="0" borderId="3" xfId="0" applyNumberFormat="1" applyFont="1" applyBorder="1" applyAlignment="1">
      <alignment horizontal="center"/>
    </xf>
    <xf numFmtId="3" fontId="182" fillId="0" borderId="3" xfId="0" applyNumberFormat="1" applyFont="1" applyFill="1" applyBorder="1" applyAlignment="1">
      <alignment horizontal="center"/>
    </xf>
    <xf numFmtId="3" fontId="178" fillId="0" borderId="3" xfId="0" applyNumberFormat="1" applyFont="1" applyBorder="1" applyAlignment="1">
      <alignment horizontal="center"/>
    </xf>
    <xf numFmtId="3" fontId="178" fillId="0" borderId="6" xfId="0" applyNumberFormat="1" applyFont="1" applyBorder="1" applyAlignment="1">
      <alignment horizontal="center"/>
    </xf>
    <xf numFmtId="175" fontId="178" fillId="0" borderId="6" xfId="41" applyNumberFormat="1" applyFont="1" applyBorder="1" applyAlignment="1">
      <alignment horizontal="center"/>
    </xf>
    <xf numFmtId="173" fontId="177" fillId="0" borderId="0" xfId="0" applyNumberFormat="1" applyFont="1"/>
    <xf numFmtId="0" fontId="183" fillId="0" borderId="5" xfId="0" applyFont="1" applyBorder="1" applyAlignment="1">
      <alignment horizontal="center"/>
    </xf>
    <xf numFmtId="3" fontId="177" fillId="0" borderId="3" xfId="0" applyNumberFormat="1" applyFont="1" applyBorder="1" applyAlignment="1">
      <alignment horizontal="center"/>
    </xf>
    <xf numFmtId="3" fontId="183" fillId="0" borderId="3" xfId="0" applyNumberFormat="1" applyFont="1" applyBorder="1" applyAlignment="1">
      <alignment horizontal="center"/>
    </xf>
    <xf numFmtId="175" fontId="178" fillId="0" borderId="3" xfId="41" applyNumberFormat="1" applyFont="1" applyBorder="1" applyAlignment="1">
      <alignment horizontal="center"/>
    </xf>
    <xf numFmtId="3" fontId="182" fillId="0" borderId="4" xfId="0" applyNumberFormat="1" applyFont="1" applyBorder="1" applyAlignment="1">
      <alignment horizontal="center"/>
    </xf>
    <xf numFmtId="0" fontId="178" fillId="0" borderId="4" xfId="32" applyFont="1" applyBorder="1" applyAlignment="1">
      <alignment horizontal="center"/>
    </xf>
    <xf numFmtId="0" fontId="178" fillId="0" borderId="4" xfId="32" applyFont="1" applyBorder="1" applyAlignment="1">
      <alignment horizontal="left"/>
    </xf>
    <xf numFmtId="0" fontId="178" fillId="3" borderId="83" xfId="0" applyFont="1" applyFill="1" applyBorder="1" applyAlignment="1">
      <alignment horizontal="center"/>
    </xf>
    <xf numFmtId="0" fontId="184" fillId="0" borderId="83" xfId="32" applyFont="1" applyBorder="1" applyAlignment="1">
      <alignment horizontal="center"/>
    </xf>
    <xf numFmtId="0" fontId="184" fillId="0" borderId="4" xfId="32" applyFont="1" applyBorder="1" applyAlignment="1">
      <alignment horizontal="center"/>
    </xf>
    <xf numFmtId="0" fontId="184" fillId="23" borderId="4" xfId="32" applyFont="1" applyFill="1" applyBorder="1" applyAlignment="1">
      <alignment horizontal="center"/>
    </xf>
    <xf numFmtId="0" fontId="177" fillId="23" borderId="4" xfId="32" applyFont="1" applyFill="1" applyBorder="1" applyAlignment="1">
      <alignment horizontal="left"/>
    </xf>
    <xf numFmtId="0" fontId="185" fillId="23" borderId="4" xfId="32" applyFont="1" applyFill="1" applyBorder="1" applyAlignment="1">
      <alignment horizontal="center"/>
    </xf>
    <xf numFmtId="3" fontId="183" fillId="0" borderId="4" xfId="0" applyNumberFormat="1" applyFont="1" applyBorder="1" applyAlignment="1">
      <alignment horizontal="center"/>
    </xf>
    <xf numFmtId="0" fontId="177" fillId="0" borderId="4" xfId="32" applyFont="1" applyBorder="1" applyAlignment="1">
      <alignment horizontal="center"/>
    </xf>
    <xf numFmtId="0" fontId="178" fillId="0" borderId="4" xfId="36" applyFont="1" applyFill="1" applyBorder="1" applyAlignment="1">
      <alignment horizontal="center"/>
    </xf>
    <xf numFmtId="0" fontId="177" fillId="0" borderId="0" xfId="0" applyFont="1" applyBorder="1"/>
    <xf numFmtId="0" fontId="177" fillId="0" borderId="4" xfId="0" applyFont="1" applyBorder="1" applyAlignment="1">
      <alignment horizontal="center" vertical="center" wrapText="1"/>
    </xf>
    <xf numFmtId="3" fontId="177" fillId="0" borderId="4" xfId="0" applyNumberFormat="1" applyFont="1" applyBorder="1" applyAlignment="1">
      <alignment horizontal="center" vertical="center"/>
    </xf>
    <xf numFmtId="168" fontId="177" fillId="0" borderId="4" xfId="0" applyNumberFormat="1" applyFont="1" applyBorder="1" applyAlignment="1">
      <alignment horizontal="center"/>
    </xf>
    <xf numFmtId="3" fontId="177" fillId="0" borderId="4" xfId="41" applyNumberFormat="1" applyFont="1" applyBorder="1" applyAlignment="1">
      <alignment horizontal="center"/>
    </xf>
    <xf numFmtId="0" fontId="178" fillId="0" borderId="20" xfId="32" applyFont="1" applyBorder="1" applyAlignment="1">
      <alignment horizontal="center"/>
    </xf>
    <xf numFmtId="0" fontId="178" fillId="0" borderId="20" xfId="32" applyFont="1" applyBorder="1" applyAlignment="1">
      <alignment horizontal="left"/>
    </xf>
    <xf numFmtId="3" fontId="178" fillId="0" borderId="20" xfId="0" applyNumberFormat="1" applyFont="1" applyBorder="1" applyAlignment="1">
      <alignment horizontal="center"/>
    </xf>
    <xf numFmtId="175" fontId="178" fillId="0" borderId="20" xfId="41" applyNumberFormat="1" applyFont="1" applyBorder="1" applyAlignment="1">
      <alignment horizontal="center"/>
    </xf>
    <xf numFmtId="0" fontId="186" fillId="0" borderId="4" xfId="32" applyFont="1" applyBorder="1" applyAlignment="1">
      <alignment horizontal="center"/>
    </xf>
    <xf numFmtId="0" fontId="177" fillId="3" borderId="83" xfId="36" applyFont="1" applyFill="1" applyBorder="1" applyAlignment="1">
      <alignment horizontal="center"/>
    </xf>
    <xf numFmtId="0" fontId="177" fillId="0" borderId="4" xfId="36" applyFont="1" applyFill="1" applyBorder="1" applyAlignment="1">
      <alignment horizontal="center"/>
    </xf>
    <xf numFmtId="0" fontId="177" fillId="0" borderId="83" xfId="0" applyFont="1" applyBorder="1" applyAlignment="1">
      <alignment horizontal="center" vertical="top" wrapText="1"/>
    </xf>
    <xf numFmtId="0" fontId="177" fillId="0" borderId="4" xfId="0" applyFont="1" applyBorder="1" applyAlignment="1">
      <alignment horizontal="center" vertical="top" wrapText="1"/>
    </xf>
    <xf numFmtId="0" fontId="177" fillId="3" borderId="83" xfId="29" applyFont="1" applyFill="1" applyBorder="1" applyAlignment="1">
      <alignment horizontal="center"/>
    </xf>
    <xf numFmtId="0" fontId="177" fillId="0" borderId="4" xfId="0" applyFont="1" applyBorder="1"/>
    <xf numFmtId="0" fontId="179" fillId="0" borderId="4" xfId="0" applyFont="1" applyBorder="1"/>
    <xf numFmtId="0" fontId="179" fillId="0" borderId="4" xfId="36" applyFont="1" applyFill="1" applyBorder="1" applyAlignment="1">
      <alignment horizontal="center"/>
    </xf>
    <xf numFmtId="0" fontId="177" fillId="23" borderId="4" xfId="36" applyFont="1" applyFill="1" applyBorder="1" applyAlignment="1">
      <alignment horizontal="center"/>
    </xf>
    <xf numFmtId="3" fontId="177" fillId="23" borderId="4" xfId="0" applyNumberFormat="1" applyFont="1" applyFill="1" applyBorder="1" applyAlignment="1">
      <alignment horizontal="center"/>
    </xf>
    <xf numFmtId="3" fontId="177" fillId="23" borderId="4" xfId="0" applyNumberFormat="1" applyFont="1" applyFill="1" applyBorder="1"/>
    <xf numFmtId="3" fontId="178" fillId="0" borderId="83" xfId="0" applyNumberFormat="1" applyFont="1" applyBorder="1" applyAlignment="1">
      <alignment horizontal="center"/>
    </xf>
    <xf numFmtId="3" fontId="178" fillId="0" borderId="4" xfId="0" applyNumberFormat="1" applyFont="1" applyBorder="1" applyAlignment="1">
      <alignment horizontal="left"/>
    </xf>
    <xf numFmtId="0" fontId="178" fillId="0" borderId="84" xfId="36" applyFont="1" applyFill="1" applyBorder="1" applyAlignment="1">
      <alignment horizontal="center"/>
    </xf>
    <xf numFmtId="0" fontId="178" fillId="0" borderId="6" xfId="32" applyFont="1" applyBorder="1" applyAlignment="1">
      <alignment horizontal="center"/>
    </xf>
    <xf numFmtId="3" fontId="178" fillId="0" borderId="75" xfId="0" applyNumberFormat="1" applyFont="1" applyBorder="1"/>
    <xf numFmtId="4" fontId="177" fillId="0" borderId="75" xfId="0" applyNumberFormat="1" applyFont="1" applyBorder="1"/>
    <xf numFmtId="4" fontId="177" fillId="0" borderId="22" xfId="0" applyNumberFormat="1" applyFont="1" applyFill="1" applyBorder="1"/>
    <xf numFmtId="0" fontId="177" fillId="0" borderId="0" xfId="36" applyFont="1" applyFill="1" applyBorder="1" applyAlignment="1">
      <alignment horizontal="left" indent="1"/>
    </xf>
    <xf numFmtId="0" fontId="177" fillId="0" borderId="0" xfId="32" applyFont="1" applyBorder="1" applyAlignment="1">
      <alignment horizontal="left" indent="4"/>
    </xf>
    <xf numFmtId="3" fontId="177" fillId="0" borderId="0" xfId="0" applyNumberFormat="1" applyFont="1" applyBorder="1"/>
    <xf numFmtId="3" fontId="183" fillId="0" borderId="0" xfId="0" applyNumberFormat="1" applyFont="1" applyBorder="1" applyAlignment="1">
      <alignment horizontal="center"/>
    </xf>
    <xf numFmtId="175" fontId="178" fillId="0" borderId="0" xfId="41" applyNumberFormat="1" applyFont="1" applyFill="1" applyBorder="1" applyAlignment="1">
      <alignment horizontal="left" indent="1"/>
    </xf>
    <xf numFmtId="3" fontId="177" fillId="0" borderId="0" xfId="0" applyNumberFormat="1" applyFont="1" applyFill="1" applyBorder="1"/>
    <xf numFmtId="3" fontId="179" fillId="0" borderId="0" xfId="0" applyNumberFormat="1" applyFont="1" applyBorder="1"/>
    <xf numFmtId="3" fontId="178" fillId="0" borderId="0" xfId="0" applyNumberFormat="1" applyFont="1" applyBorder="1" applyAlignment="1">
      <alignment horizontal="center"/>
    </xf>
    <xf numFmtId="0" fontId="177" fillId="0" borderId="0" xfId="32" applyFont="1" applyFill="1" applyBorder="1" applyAlignment="1">
      <alignment horizontal="left" indent="1"/>
    </xf>
    <xf numFmtId="3" fontId="178" fillId="0" borderId="0" xfId="0" applyNumberFormat="1" applyFont="1" applyBorder="1"/>
    <xf numFmtId="3" fontId="177" fillId="0" borderId="0" xfId="0" applyNumberFormat="1" applyFont="1" applyBorder="1" applyAlignment="1">
      <alignment horizontal="center"/>
    </xf>
    <xf numFmtId="9" fontId="177" fillId="0" borderId="0" xfId="38" applyFont="1"/>
    <xf numFmtId="3" fontId="183" fillId="0" borderId="0" xfId="0" applyNumberFormat="1" applyFont="1" applyBorder="1"/>
    <xf numFmtId="3" fontId="177" fillId="28" borderId="0" xfId="0" applyNumberFormat="1" applyFont="1" applyFill="1"/>
    <xf numFmtId="0" fontId="177" fillId="0" borderId="0" xfId="32" applyFont="1" applyFill="1" applyBorder="1" applyAlignment="1">
      <alignment horizontal="left" indent="4"/>
    </xf>
    <xf numFmtId="3" fontId="177" fillId="0" borderId="0" xfId="32" applyNumberFormat="1" applyFont="1" applyFill="1" applyBorder="1" applyAlignment="1">
      <alignment horizontal="left" indent="4"/>
    </xf>
    <xf numFmtId="3" fontId="179" fillId="0" borderId="0" xfId="0" applyNumberFormat="1" applyFont="1" applyFill="1" applyBorder="1"/>
    <xf numFmtId="168" fontId="177" fillId="0" borderId="0" xfId="0" applyNumberFormat="1" applyFont="1" applyBorder="1"/>
    <xf numFmtId="0" fontId="177" fillId="0" borderId="0" xfId="32" applyFont="1" applyFill="1" applyBorder="1" applyAlignment="1"/>
    <xf numFmtId="0" fontId="179" fillId="0" borderId="0" xfId="0" applyFont="1"/>
    <xf numFmtId="0" fontId="184" fillId="0" borderId="0" xfId="32" applyFont="1" applyBorder="1" applyAlignment="1"/>
    <xf numFmtId="0" fontId="178" fillId="0" borderId="0" xfId="32" applyFont="1" applyBorder="1" applyAlignment="1"/>
    <xf numFmtId="0" fontId="178" fillId="0" borderId="0" xfId="0" applyFont="1" applyBorder="1"/>
    <xf numFmtId="0" fontId="177" fillId="31" borderId="0" xfId="0" applyFont="1" applyFill="1"/>
    <xf numFmtId="3" fontId="177" fillId="31" borderId="0" xfId="0" applyNumberFormat="1" applyFont="1" applyFill="1" applyBorder="1"/>
    <xf numFmtId="4" fontId="177" fillId="0" borderId="0" xfId="0" applyNumberFormat="1" applyFont="1" applyFill="1" applyBorder="1"/>
    <xf numFmtId="4" fontId="177" fillId="0" borderId="0" xfId="0" applyNumberFormat="1" applyFont="1" applyBorder="1"/>
    <xf numFmtId="4" fontId="177" fillId="0" borderId="0" xfId="0" applyNumberFormat="1" applyFont="1"/>
    <xf numFmtId="176" fontId="178" fillId="0" borderId="0" xfId="41" applyNumberFormat="1" applyFont="1"/>
    <xf numFmtId="0" fontId="178" fillId="0" borderId="82" xfId="36" applyFont="1" applyFill="1" applyBorder="1" applyAlignment="1">
      <alignment horizontal="center"/>
    </xf>
    <xf numFmtId="0" fontId="178" fillId="0" borderId="20" xfId="0" applyFont="1" applyBorder="1" applyAlignment="1">
      <alignment horizontal="left"/>
    </xf>
    <xf numFmtId="0" fontId="178" fillId="0" borderId="20" xfId="0" applyFont="1" applyBorder="1" applyAlignment="1"/>
    <xf numFmtId="176" fontId="178" fillId="0" borderId="20" xfId="41" applyNumberFormat="1" applyFont="1" applyBorder="1" applyAlignment="1">
      <alignment horizontal="center"/>
    </xf>
    <xf numFmtId="4" fontId="177" fillId="0" borderId="86" xfId="0" applyNumberFormat="1" applyFont="1" applyBorder="1"/>
    <xf numFmtId="4" fontId="177" fillId="0" borderId="108" xfId="0" applyNumberFormat="1" applyFont="1" applyFill="1" applyBorder="1"/>
    <xf numFmtId="0" fontId="177" fillId="0" borderId="85" xfId="0" applyFont="1" applyBorder="1"/>
    <xf numFmtId="176" fontId="177" fillId="0" borderId="85" xfId="0" applyNumberFormat="1" applyFont="1" applyBorder="1"/>
    <xf numFmtId="0" fontId="178" fillId="0" borderId="0" xfId="0" applyFont="1" applyFill="1" applyBorder="1" applyAlignment="1">
      <alignment vertical="center"/>
    </xf>
    <xf numFmtId="3" fontId="187" fillId="0" borderId="4" xfId="0" applyNumberFormat="1" applyFont="1" applyBorder="1"/>
    <xf numFmtId="4" fontId="188" fillId="0" borderId="11" xfId="0" applyNumberFormat="1" applyFont="1" applyBorder="1"/>
    <xf numFmtId="4" fontId="188" fillId="0" borderId="30" xfId="0" applyNumberFormat="1" applyFont="1" applyFill="1" applyBorder="1"/>
    <xf numFmtId="0" fontId="188" fillId="0" borderId="0" xfId="0" applyFont="1"/>
    <xf numFmtId="3" fontId="188" fillId="0" borderId="4" xfId="0" applyNumberFormat="1" applyFont="1" applyBorder="1"/>
    <xf numFmtId="4" fontId="188" fillId="0" borderId="30" xfId="0" applyNumberFormat="1" applyFont="1" applyFill="1" applyBorder="1" applyAlignment="1">
      <alignment horizontal="left" indent="1"/>
    </xf>
    <xf numFmtId="0" fontId="188" fillId="0" borderId="0" xfId="0" applyFont="1" applyAlignment="1">
      <alignment horizontal="left" indent="1"/>
    </xf>
    <xf numFmtId="4" fontId="188" fillId="0" borderId="30" xfId="0" applyNumberFormat="1" applyFont="1" applyFill="1" applyBorder="1" applyAlignment="1">
      <alignment horizontal="left" indent="4"/>
    </xf>
    <xf numFmtId="0" fontId="188" fillId="0" borderId="0" xfId="0" applyFont="1" applyAlignment="1">
      <alignment horizontal="left" indent="4"/>
    </xf>
    <xf numFmtId="4" fontId="187" fillId="0" borderId="11" xfId="0" applyNumberFormat="1" applyFont="1" applyBorder="1"/>
    <xf numFmtId="4" fontId="187" fillId="0" borderId="30" xfId="0" applyNumberFormat="1" applyFont="1" applyFill="1" applyBorder="1"/>
    <xf numFmtId="0" fontId="187" fillId="0" borderId="0" xfId="0" applyFont="1"/>
    <xf numFmtId="3" fontId="188" fillId="0" borderId="4" xfId="0" applyNumberFormat="1" applyFont="1" applyFill="1" applyBorder="1"/>
    <xf numFmtId="4" fontId="188" fillId="0" borderId="11" xfId="0" applyNumberFormat="1" applyFont="1" applyFill="1" applyBorder="1"/>
    <xf numFmtId="0" fontId="188" fillId="0" borderId="0" xfId="0" applyFont="1" applyFill="1"/>
    <xf numFmtId="3" fontId="187" fillId="0" borderId="4" xfId="0" applyNumberFormat="1" applyFont="1" applyBorder="1" applyAlignment="1">
      <alignment vertical="center"/>
    </xf>
    <xf numFmtId="4" fontId="188" fillId="0" borderId="11" xfId="0" applyNumberFormat="1" applyFont="1" applyBorder="1" applyAlignment="1">
      <alignment vertical="center"/>
    </xf>
    <xf numFmtId="4" fontId="188" fillId="0" borderId="30" xfId="0" applyNumberFormat="1" applyFont="1" applyFill="1" applyBorder="1" applyAlignment="1">
      <alignment vertical="center"/>
    </xf>
    <xf numFmtId="0" fontId="188" fillId="0" borderId="0" xfId="0" applyFont="1" applyBorder="1" applyAlignment="1">
      <alignment vertical="center"/>
    </xf>
    <xf numFmtId="175" fontId="188" fillId="0" borderId="0" xfId="41" applyNumberFormat="1" applyFont="1"/>
    <xf numFmtId="3" fontId="187" fillId="28" borderId="4" xfId="0" applyNumberFormat="1" applyFont="1" applyFill="1" applyBorder="1"/>
    <xf numFmtId="4" fontId="188" fillId="28" borderId="11" xfId="0" applyNumberFormat="1" applyFont="1" applyFill="1" applyBorder="1"/>
    <xf numFmtId="4" fontId="188" fillId="28" borderId="30" xfId="0" applyNumberFormat="1" applyFont="1" applyFill="1" applyBorder="1"/>
    <xf numFmtId="0" fontId="188" fillId="28" borderId="0" xfId="0" applyFont="1" applyFill="1"/>
    <xf numFmtId="3" fontId="188" fillId="0" borderId="5" xfId="0" applyNumberFormat="1" applyFont="1" applyBorder="1" applyAlignment="1">
      <alignment horizontal="center"/>
    </xf>
    <xf numFmtId="0" fontId="188" fillId="0" borderId="0" xfId="0" applyFont="1" applyBorder="1"/>
    <xf numFmtId="3" fontId="187" fillId="0" borderId="75" xfId="0" applyNumberFormat="1" applyFont="1" applyBorder="1"/>
    <xf numFmtId="4" fontId="188" fillId="0" borderId="75" xfId="0" applyNumberFormat="1" applyFont="1" applyBorder="1"/>
    <xf numFmtId="4" fontId="188" fillId="0" borderId="22" xfId="0" applyNumberFormat="1" applyFont="1" applyFill="1" applyBorder="1"/>
    <xf numFmtId="0" fontId="177" fillId="0" borderId="149" xfId="0" applyFont="1" applyBorder="1" applyAlignment="1">
      <alignment horizontal="center"/>
    </xf>
    <xf numFmtId="0" fontId="187" fillId="0" borderId="55" xfId="36" applyFont="1" applyFill="1" applyBorder="1" applyAlignment="1">
      <alignment horizontal="center"/>
    </xf>
    <xf numFmtId="0" fontId="188" fillId="0" borderId="55" xfId="36" applyFont="1" applyFill="1" applyBorder="1" applyAlignment="1">
      <alignment horizontal="center"/>
    </xf>
    <xf numFmtId="0" fontId="188" fillId="0" borderId="55" xfId="0" applyFont="1" applyBorder="1" applyAlignment="1">
      <alignment horizontal="center"/>
    </xf>
    <xf numFmtId="0" fontId="188" fillId="0" borderId="55" xfId="0" applyFont="1" applyBorder="1" applyAlignment="1">
      <alignment horizontal="left" indent="1"/>
    </xf>
    <xf numFmtId="3" fontId="188" fillId="0" borderId="55" xfId="0" applyNumberFormat="1" applyFont="1" applyBorder="1" applyAlignment="1">
      <alignment horizontal="center"/>
    </xf>
    <xf numFmtId="0" fontId="188" fillId="0" borderId="55" xfId="0" applyFont="1" applyBorder="1" applyAlignment="1">
      <alignment horizontal="left" indent="4"/>
    </xf>
    <xf numFmtId="0" fontId="187" fillId="0" borderId="55" xfId="0" applyFont="1" applyBorder="1" applyAlignment="1">
      <alignment horizontal="center"/>
    </xf>
    <xf numFmtId="0" fontId="188" fillId="0" borderId="55" xfId="0" applyFont="1" applyFill="1" applyBorder="1" applyAlignment="1">
      <alignment horizontal="center"/>
    </xf>
    <xf numFmtId="0" fontId="187" fillId="5" borderId="55" xfId="0" applyFont="1" applyFill="1" applyBorder="1" applyAlignment="1">
      <alignment horizontal="center"/>
    </xf>
    <xf numFmtId="0" fontId="187" fillId="0" borderId="55" xfId="36" applyFont="1" applyFill="1" applyBorder="1" applyAlignment="1">
      <alignment horizontal="center" vertical="center"/>
    </xf>
    <xf numFmtId="0" fontId="187" fillId="28" borderId="55" xfId="0" applyFont="1" applyFill="1" applyBorder="1" applyAlignment="1">
      <alignment horizontal="center"/>
    </xf>
    <xf numFmtId="0" fontId="194" fillId="0" borderId="55" xfId="32" applyFont="1" applyBorder="1" applyAlignment="1">
      <alignment horizontal="center"/>
    </xf>
    <xf numFmtId="0" fontId="188" fillId="3" borderId="55" xfId="36" applyFont="1" applyFill="1" applyBorder="1" applyAlignment="1">
      <alignment horizontal="center"/>
    </xf>
    <xf numFmtId="0" fontId="188" fillId="0" borderId="55" xfId="0" applyFont="1" applyBorder="1" applyAlignment="1">
      <alignment horizontal="center" vertical="top" wrapText="1"/>
    </xf>
    <xf numFmtId="0" fontId="188" fillId="3" borderId="55" xfId="29" applyFont="1" applyFill="1" applyBorder="1" applyAlignment="1">
      <alignment horizontal="center"/>
    </xf>
    <xf numFmtId="0" fontId="187" fillId="0" borderId="150" xfId="36" applyFont="1" applyFill="1" applyBorder="1" applyAlignment="1">
      <alignment horizontal="center"/>
    </xf>
    <xf numFmtId="176" fontId="178" fillId="0" borderId="0" xfId="0" applyNumberFormat="1" applyFont="1" applyFill="1" applyBorder="1" applyAlignment="1">
      <alignment vertical="center"/>
    </xf>
    <xf numFmtId="3" fontId="178" fillId="2" borderId="152" xfId="32" applyNumberFormat="1" applyFont="1" applyFill="1" applyBorder="1" applyAlignment="1">
      <alignment horizontal="center" vertical="center" wrapText="1"/>
    </xf>
    <xf numFmtId="1" fontId="178" fillId="2" borderId="152" xfId="32" applyNumberFormat="1" applyFont="1" applyFill="1" applyBorder="1" applyAlignment="1">
      <alignment horizontal="center" vertical="center" wrapText="1"/>
    </xf>
    <xf numFmtId="0" fontId="187" fillId="0" borderId="81" xfId="32" applyFont="1" applyBorder="1" applyAlignment="1">
      <alignment horizontal="center"/>
    </xf>
    <xf numFmtId="0" fontId="187" fillId="0" borderId="21" xfId="32" applyFont="1" applyBorder="1" applyAlignment="1">
      <alignment horizontal="center"/>
    </xf>
    <xf numFmtId="3" fontId="187" fillId="0" borderId="21" xfId="0" applyNumberFormat="1" applyFont="1" applyBorder="1" applyAlignment="1">
      <alignment horizontal="center"/>
    </xf>
    <xf numFmtId="0" fontId="187" fillId="0" borderId="154" xfId="0" applyFont="1" applyBorder="1" applyAlignment="1"/>
    <xf numFmtId="0" fontId="187" fillId="0" borderId="155" xfId="0" applyFont="1" applyBorder="1" applyAlignment="1">
      <alignment horizontal="left" indent="1"/>
    </xf>
    <xf numFmtId="3" fontId="187" fillId="0" borderId="155" xfId="0" applyNumberFormat="1" applyFont="1" applyBorder="1" applyAlignment="1">
      <alignment horizontal="center"/>
    </xf>
    <xf numFmtId="176" fontId="187" fillId="0" borderId="155" xfId="41" applyNumberFormat="1" applyFont="1" applyBorder="1" applyAlignment="1">
      <alignment horizontal="center"/>
    </xf>
    <xf numFmtId="0" fontId="188" fillId="0" borderId="154" xfId="0" applyFont="1" applyBorder="1" applyAlignment="1"/>
    <xf numFmtId="0" fontId="188" fillId="0" borderId="155" xfId="0" applyFont="1" applyBorder="1" applyAlignment="1">
      <alignment horizontal="left" indent="2"/>
    </xf>
    <xf numFmtId="3" fontId="188" fillId="0" borderId="155" xfId="0" applyNumberFormat="1" applyFont="1" applyBorder="1" applyAlignment="1">
      <alignment horizontal="center"/>
    </xf>
    <xf numFmtId="3" fontId="188" fillId="0" borderId="155" xfId="0" applyNumberFormat="1" applyFont="1" applyFill="1" applyBorder="1" applyAlignment="1">
      <alignment horizontal="center"/>
    </xf>
    <xf numFmtId="176" fontId="188" fillId="0" borderId="155" xfId="41" applyNumberFormat="1" applyFont="1" applyBorder="1" applyAlignment="1">
      <alignment horizontal="center"/>
    </xf>
    <xf numFmtId="0" fontId="188" fillId="0" borderId="155" xfId="0" applyFont="1" applyBorder="1" applyAlignment="1">
      <alignment horizontal="left" indent="6"/>
    </xf>
    <xf numFmtId="0" fontId="188" fillId="0" borderId="155" xfId="0" applyFont="1" applyBorder="1" applyAlignment="1">
      <alignment horizontal="left" indent="5"/>
    </xf>
    <xf numFmtId="3" fontId="188" fillId="0" borderId="155" xfId="0" applyNumberFormat="1" applyFont="1" applyBorder="1" applyAlignment="1">
      <alignment horizontal="left" indent="1"/>
    </xf>
    <xf numFmtId="176" fontId="188" fillId="0" borderId="155" xfId="41" applyNumberFormat="1" applyFont="1" applyBorder="1" applyAlignment="1">
      <alignment horizontal="left" indent="1"/>
    </xf>
    <xf numFmtId="0" fontId="188" fillId="0" borderId="155" xfId="0" applyFont="1" applyBorder="1" applyAlignment="1">
      <alignment horizontal="left" indent="3"/>
    </xf>
    <xf numFmtId="0" fontId="188" fillId="0" borderId="154" xfId="0" applyFont="1" applyBorder="1" applyAlignment="1">
      <alignment horizontal="left"/>
    </xf>
    <xf numFmtId="0" fontId="187" fillId="0" borderId="154" xfId="0" applyFont="1" applyBorder="1" applyAlignment="1">
      <alignment horizontal="left"/>
    </xf>
    <xf numFmtId="0" fontId="188" fillId="0" borderId="154" xfId="0" applyFont="1" applyBorder="1" applyAlignment="1">
      <alignment horizontal="left" indent="1"/>
    </xf>
    <xf numFmtId="3" fontId="188" fillId="0" borderId="155" xfId="0" applyNumberFormat="1" applyFont="1" applyBorder="1" applyAlignment="1">
      <alignment horizontal="left" indent="4"/>
    </xf>
    <xf numFmtId="0" fontId="188" fillId="0" borderId="155" xfId="0" applyFont="1" applyBorder="1" applyAlignment="1">
      <alignment horizontal="left" indent="4"/>
    </xf>
    <xf numFmtId="0" fontId="187" fillId="0" borderId="154" xfId="0" applyFont="1" applyFill="1" applyBorder="1" applyAlignment="1">
      <alignment horizontal="left"/>
    </xf>
    <xf numFmtId="0" fontId="187" fillId="0" borderId="155" xfId="0" applyFont="1" applyFill="1" applyBorder="1" applyAlignment="1">
      <alignment horizontal="left" indent="1"/>
    </xf>
    <xf numFmtId="0" fontId="187" fillId="0" borderId="155" xfId="0" applyFont="1" applyBorder="1" applyAlignment="1">
      <alignment horizontal="left" indent="2"/>
    </xf>
    <xf numFmtId="0" fontId="188" fillId="0" borderId="154" xfId="0" applyFont="1" applyFill="1" applyBorder="1" applyAlignment="1"/>
    <xf numFmtId="0" fontId="188" fillId="0" borderId="154" xfId="0" applyFont="1" applyBorder="1" applyAlignment="1">
      <alignment horizontal="center"/>
    </xf>
    <xf numFmtId="0" fontId="188" fillId="0" borderId="155" xfId="0" applyFont="1" applyBorder="1" applyAlignment="1">
      <alignment horizontal="center"/>
    </xf>
    <xf numFmtId="0" fontId="187" fillId="0" borderId="154" xfId="0" applyFont="1" applyBorder="1" applyAlignment="1">
      <alignment horizontal="center"/>
    </xf>
    <xf numFmtId="0" fontId="187" fillId="0" borderId="155" xfId="0" applyFont="1" applyBorder="1" applyAlignment="1">
      <alignment horizontal="center"/>
    </xf>
    <xf numFmtId="3" fontId="191" fillId="0" borderId="155" xfId="0" applyNumberFormat="1" applyFont="1" applyBorder="1" applyAlignment="1">
      <alignment horizontal="center"/>
    </xf>
    <xf numFmtId="0" fontId="193" fillId="0" borderId="154" xfId="0" applyFont="1" applyBorder="1" applyAlignment="1">
      <alignment horizontal="center"/>
    </xf>
    <xf numFmtId="0" fontId="193" fillId="0" borderId="155" xfId="0" applyFont="1" applyBorder="1" applyAlignment="1">
      <alignment horizontal="center"/>
    </xf>
    <xf numFmtId="3" fontId="193" fillId="0" borderId="155" xfId="0" applyNumberFormat="1" applyFont="1" applyBorder="1" applyAlignment="1">
      <alignment horizontal="center"/>
    </xf>
    <xf numFmtId="0" fontId="187" fillId="0" borderId="155" xfId="0" applyFont="1" applyBorder="1" applyAlignment="1"/>
    <xf numFmtId="3" fontId="187" fillId="28" borderId="155" xfId="0" applyNumberFormat="1" applyFont="1" applyFill="1" applyBorder="1" applyAlignment="1">
      <alignment horizontal="center"/>
    </xf>
    <xf numFmtId="0" fontId="187" fillId="0" borderId="154" xfId="32" applyFont="1" applyBorder="1" applyAlignment="1">
      <alignment horizontal="center"/>
    </xf>
    <xf numFmtId="0" fontId="187" fillId="0" borderId="155" xfId="32" applyFont="1" applyBorder="1" applyAlignment="1">
      <alignment horizontal="center"/>
    </xf>
    <xf numFmtId="0" fontId="188" fillId="0" borderId="154" xfId="32" applyFont="1" applyBorder="1" applyAlignment="1">
      <alignment horizontal="center"/>
    </xf>
    <xf numFmtId="0" fontId="188" fillId="0" borderId="155" xfId="32" applyFont="1" applyBorder="1" applyAlignment="1">
      <alignment horizontal="center"/>
    </xf>
    <xf numFmtId="0" fontId="187" fillId="0" borderId="155" xfId="32" applyFont="1" applyBorder="1" applyAlignment="1">
      <alignment horizontal="left" indent="1"/>
    </xf>
    <xf numFmtId="0" fontId="188" fillId="0" borderId="154" xfId="36" applyFont="1" applyFill="1" applyBorder="1" applyAlignment="1">
      <alignment horizontal="center"/>
    </xf>
    <xf numFmtId="0" fontId="188" fillId="0" borderId="155" xfId="36" applyFont="1" applyFill="1" applyBorder="1" applyAlignment="1">
      <alignment horizontal="center"/>
    </xf>
    <xf numFmtId="0" fontId="188" fillId="0" borderId="154" xfId="0" applyFont="1" applyBorder="1" applyAlignment="1">
      <alignment horizontal="center" vertical="top" wrapText="1"/>
    </xf>
    <xf numFmtId="0" fontId="188" fillId="0" borderId="155" xfId="0" applyFont="1" applyBorder="1" applyAlignment="1">
      <alignment horizontal="center" vertical="top" wrapText="1"/>
    </xf>
    <xf numFmtId="0" fontId="188" fillId="0" borderId="155" xfId="0" applyFont="1" applyBorder="1"/>
    <xf numFmtId="0" fontId="188" fillId="0" borderId="155" xfId="0" applyFont="1" applyBorder="1" applyAlignment="1">
      <alignment horizontal="left" indent="1"/>
    </xf>
    <xf numFmtId="0" fontId="190" fillId="0" borderId="155" xfId="0" applyFont="1" applyBorder="1"/>
    <xf numFmtId="3" fontId="190" fillId="0" borderId="155" xfId="0" applyNumberFormat="1" applyFont="1" applyBorder="1" applyAlignment="1">
      <alignment horizontal="center"/>
    </xf>
    <xf numFmtId="0" fontId="190" fillId="0" borderId="155" xfId="36" applyFont="1" applyFill="1" applyBorder="1" applyAlignment="1">
      <alignment horizontal="center"/>
    </xf>
    <xf numFmtId="0" fontId="188" fillId="23" borderId="155" xfId="36" applyFont="1" applyFill="1" applyBorder="1" applyAlignment="1">
      <alignment horizontal="center"/>
    </xf>
    <xf numFmtId="3" fontId="188" fillId="23" borderId="155" xfId="0" applyNumberFormat="1" applyFont="1" applyFill="1" applyBorder="1" applyAlignment="1">
      <alignment horizontal="center"/>
    </xf>
    <xf numFmtId="0" fontId="188" fillId="0" borderId="157" xfId="36" applyFont="1" applyFill="1" applyBorder="1" applyAlignment="1">
      <alignment horizontal="center"/>
    </xf>
    <xf numFmtId="3" fontId="188" fillId="0" borderId="158" xfId="0" applyNumberFormat="1" applyFont="1" applyBorder="1" applyAlignment="1">
      <alignment horizontal="center"/>
    </xf>
    <xf numFmtId="0" fontId="188" fillId="0" borderId="155" xfId="36" applyFont="1" applyFill="1" applyBorder="1" applyAlignment="1">
      <alignment horizontal="left" indent="6"/>
    </xf>
    <xf numFmtId="0" fontId="188" fillId="0" borderId="154" xfId="32" applyFont="1" applyBorder="1" applyAlignment="1">
      <alignment horizontal="left"/>
    </xf>
    <xf numFmtId="0" fontId="188" fillId="0" borderId="154" xfId="36" applyFont="1" applyFill="1" applyBorder="1" applyAlignment="1">
      <alignment horizontal="left"/>
    </xf>
    <xf numFmtId="0" fontId="190" fillId="0" borderId="154" xfId="0" applyFont="1" applyBorder="1" applyAlignment="1">
      <alignment horizontal="left"/>
    </xf>
    <xf numFmtId="0" fontId="187" fillId="0" borderId="154" xfId="36" applyFont="1" applyFill="1" applyBorder="1" applyAlignment="1">
      <alignment horizontal="left"/>
    </xf>
    <xf numFmtId="0" fontId="190" fillId="0" borderId="154" xfId="36" applyFont="1" applyFill="1" applyBorder="1" applyAlignment="1">
      <alignment horizontal="left"/>
    </xf>
    <xf numFmtId="0" fontId="188" fillId="23" borderId="154" xfId="36" applyFont="1" applyFill="1" applyBorder="1" applyAlignment="1">
      <alignment horizontal="left"/>
    </xf>
    <xf numFmtId="0" fontId="188" fillId="0" borderId="155" xfId="32" applyFont="1" applyBorder="1" applyAlignment="1">
      <alignment horizontal="left" indent="3"/>
    </xf>
    <xf numFmtId="0" fontId="188" fillId="0" borderId="158" xfId="32" applyFont="1" applyBorder="1" applyAlignment="1">
      <alignment horizontal="left" indent="3"/>
    </xf>
    <xf numFmtId="0" fontId="188" fillId="26" borderId="154" xfId="0" applyFont="1" applyFill="1" applyBorder="1" applyAlignment="1">
      <alignment horizontal="center"/>
    </xf>
    <xf numFmtId="0" fontId="188" fillId="26" borderId="155" xfId="0" applyFont="1" applyFill="1" applyBorder="1" applyAlignment="1">
      <alignment horizontal="center"/>
    </xf>
    <xf numFmtId="3" fontId="187" fillId="26" borderId="155" xfId="0" applyNumberFormat="1" applyFont="1" applyFill="1" applyBorder="1" applyAlignment="1">
      <alignment horizontal="center"/>
    </xf>
    <xf numFmtId="0" fontId="188" fillId="0" borderId="154" xfId="0" applyFont="1" applyBorder="1" applyAlignment="1">
      <alignment horizontal="left" vertical="center" wrapText="1"/>
    </xf>
    <xf numFmtId="0" fontId="187" fillId="26" borderId="154" xfId="0" applyFont="1" applyFill="1" applyBorder="1" applyAlignment="1">
      <alignment horizontal="left" vertical="center"/>
    </xf>
    <xf numFmtId="0" fontId="187" fillId="26" borderId="155" xfId="0" applyFont="1" applyFill="1" applyBorder="1" applyAlignment="1">
      <alignment vertical="center"/>
    </xf>
    <xf numFmtId="3" fontId="187" fillId="26" borderId="155" xfId="0" applyNumberFormat="1" applyFont="1" applyFill="1" applyBorder="1" applyAlignment="1">
      <alignment horizontal="center" vertical="center"/>
    </xf>
    <xf numFmtId="176" fontId="187" fillId="26" borderId="155" xfId="41" applyNumberFormat="1" applyFont="1" applyFill="1" applyBorder="1" applyAlignment="1">
      <alignment horizontal="center" vertical="center"/>
    </xf>
    <xf numFmtId="0" fontId="178" fillId="0" borderId="151" xfId="0" applyFont="1" applyBorder="1" applyAlignment="1">
      <alignment horizontal="center" vertical="center"/>
    </xf>
    <xf numFmtId="3" fontId="178" fillId="0" borderId="152" xfId="0" applyNumberFormat="1" applyFont="1" applyBorder="1" applyAlignment="1">
      <alignment horizontal="center" vertical="center"/>
    </xf>
    <xf numFmtId="3" fontId="178" fillId="0" borderId="153" xfId="32" applyNumberFormat="1" applyFont="1" applyFill="1" applyBorder="1" applyAlignment="1">
      <alignment horizontal="center" vertical="center" wrapText="1"/>
    </xf>
    <xf numFmtId="0" fontId="188" fillId="0" borderId="155" xfId="0" applyFont="1" applyBorder="1" applyAlignment="1">
      <alignment horizontal="left" vertical="top" wrapText="1" indent="4"/>
    </xf>
    <xf numFmtId="0" fontId="187" fillId="0" borderId="155" xfId="36" applyFont="1" applyFill="1" applyBorder="1" applyAlignment="1">
      <alignment horizontal="left" indent="1"/>
    </xf>
    <xf numFmtId="0" fontId="188" fillId="28" borderId="155" xfId="36" applyFont="1" applyFill="1" applyBorder="1" applyAlignment="1">
      <alignment horizontal="left" wrapText="1" indent="7"/>
    </xf>
    <xf numFmtId="0" fontId="178" fillId="0" borderId="29" xfId="0" applyFont="1" applyBorder="1" applyAlignment="1">
      <alignment horizontal="center" wrapText="1"/>
    </xf>
    <xf numFmtId="176" fontId="187" fillId="26" borderId="156" xfId="41" applyNumberFormat="1" applyFont="1" applyFill="1" applyBorder="1" applyAlignment="1">
      <alignment horizontal="right" vertical="center"/>
    </xf>
    <xf numFmtId="176" fontId="187" fillId="0" borderId="156" xfId="41" applyNumberFormat="1" applyFont="1" applyBorder="1" applyAlignment="1">
      <alignment horizontal="right"/>
    </xf>
    <xf numFmtId="176" fontId="188" fillId="0" borderId="156" xfId="41" applyNumberFormat="1" applyFont="1" applyBorder="1" applyAlignment="1">
      <alignment horizontal="right"/>
    </xf>
    <xf numFmtId="176" fontId="188" fillId="0" borderId="156" xfId="41" applyNumberFormat="1" applyFont="1" applyBorder="1" applyAlignment="1">
      <alignment horizontal="center"/>
    </xf>
    <xf numFmtId="176" fontId="188" fillId="0" borderId="156" xfId="41" applyNumberFormat="1" applyFont="1" applyBorder="1" applyAlignment="1">
      <alignment horizontal="left" indent="1"/>
    </xf>
    <xf numFmtId="176" fontId="188" fillId="0" borderId="155" xfId="41" applyNumberFormat="1" applyFont="1" applyFill="1" applyBorder="1" applyAlignment="1">
      <alignment horizontal="center"/>
    </xf>
    <xf numFmtId="176" fontId="189" fillId="0" borderId="155" xfId="41" applyNumberFormat="1" applyFont="1" applyBorder="1" applyAlignment="1">
      <alignment horizontal="center"/>
    </xf>
    <xf numFmtId="176" fontId="192" fillId="0" borderId="155" xfId="41" applyNumberFormat="1" applyFont="1" applyBorder="1" applyAlignment="1">
      <alignment horizontal="center"/>
    </xf>
    <xf numFmtId="176" fontId="192" fillId="0" borderId="155" xfId="41" applyNumberFormat="1" applyFont="1" applyFill="1" applyBorder="1" applyAlignment="1">
      <alignment horizontal="center"/>
    </xf>
    <xf numFmtId="176" fontId="193" fillId="0" borderId="155" xfId="41" applyNumberFormat="1" applyFont="1" applyBorder="1" applyAlignment="1">
      <alignment horizontal="center"/>
    </xf>
    <xf numFmtId="176" fontId="187" fillId="28" borderId="155" xfId="41" applyNumberFormat="1" applyFont="1" applyFill="1" applyBorder="1" applyAlignment="1">
      <alignment horizontal="center"/>
    </xf>
    <xf numFmtId="176" fontId="187" fillId="26" borderId="155" xfId="41" applyNumberFormat="1" applyFont="1" applyFill="1" applyBorder="1" applyAlignment="1">
      <alignment horizontal="center"/>
    </xf>
    <xf numFmtId="176" fontId="192" fillId="26" borderId="155" xfId="41" applyNumberFormat="1" applyFont="1" applyFill="1" applyBorder="1" applyAlignment="1">
      <alignment horizontal="center"/>
    </xf>
    <xf numFmtId="176" fontId="187" fillId="26" borderId="156" xfId="41" applyNumberFormat="1" applyFont="1" applyFill="1" applyBorder="1" applyAlignment="1">
      <alignment horizontal="right"/>
    </xf>
    <xf numFmtId="176" fontId="193" fillId="0" borderId="156" xfId="41" applyNumberFormat="1" applyFont="1" applyBorder="1" applyAlignment="1">
      <alignment horizontal="right"/>
    </xf>
    <xf numFmtId="176" fontId="188" fillId="0" borderId="155" xfId="41" applyNumberFormat="1" applyFont="1" applyBorder="1" applyAlignment="1">
      <alignment horizontal="center" vertical="center"/>
    </xf>
    <xf numFmtId="176" fontId="190" fillId="0" borderId="155" xfId="41" applyNumberFormat="1" applyFont="1" applyBorder="1" applyAlignment="1">
      <alignment horizontal="center"/>
    </xf>
    <xf numFmtId="176" fontId="188" fillId="23" borderId="155" xfId="41" applyNumberFormat="1" applyFont="1" applyFill="1" applyBorder="1" applyAlignment="1">
      <alignment horizontal="center"/>
    </xf>
    <xf numFmtId="176" fontId="188" fillId="0" borderId="158" xfId="41" applyNumberFormat="1" applyFont="1" applyBorder="1" applyAlignment="1">
      <alignment horizontal="center"/>
    </xf>
    <xf numFmtId="176" fontId="188" fillId="0" borderId="159" xfId="41" applyNumberFormat="1" applyFont="1" applyBorder="1" applyAlignment="1">
      <alignment horizontal="right"/>
    </xf>
    <xf numFmtId="176" fontId="187" fillId="0" borderId="21" xfId="41" applyNumberFormat="1" applyFont="1" applyBorder="1" applyAlignment="1">
      <alignment horizontal="center"/>
    </xf>
    <xf numFmtId="176" fontId="187" fillId="0" borderId="22" xfId="41" applyNumberFormat="1" applyFont="1" applyBorder="1" applyAlignment="1">
      <alignment horizontal="center"/>
    </xf>
    <xf numFmtId="168" fontId="1" fillId="27" borderId="4" xfId="0" applyNumberFormat="1" applyFont="1" applyFill="1" applyBorder="1"/>
    <xf numFmtId="175" fontId="177" fillId="0" borderId="0" xfId="32" applyNumberFormat="1" applyFont="1" applyBorder="1" applyAlignment="1">
      <alignment horizontal="left" indent="4"/>
    </xf>
    <xf numFmtId="43" fontId="188" fillId="0" borderId="0" xfId="41" applyFont="1" applyBorder="1" applyAlignment="1">
      <alignment vertical="center"/>
    </xf>
    <xf numFmtId="184" fontId="178" fillId="0" borderId="58" xfId="41" applyNumberFormat="1" applyFont="1" applyBorder="1"/>
    <xf numFmtId="4" fontId="164" fillId="28" borderId="14" xfId="30" applyNumberFormat="1" applyFont="1" applyFill="1" applyBorder="1"/>
    <xf numFmtId="4" fontId="5" fillId="28" borderId="14" xfId="30" applyNumberFormat="1" applyFont="1" applyFill="1" applyBorder="1"/>
    <xf numFmtId="3" fontId="164" fillId="28" borderId="14" xfId="30" applyNumberFormat="1" applyFont="1" applyFill="1" applyBorder="1"/>
    <xf numFmtId="176" fontId="188" fillId="0" borderId="0" xfId="0" applyNumberFormat="1" applyFont="1" applyBorder="1" applyAlignment="1">
      <alignment vertical="center"/>
    </xf>
    <xf numFmtId="0" fontId="177" fillId="0" borderId="0" xfId="0" applyFont="1" applyAlignment="1">
      <alignment horizontal="center"/>
    </xf>
    <xf numFmtId="3" fontId="188" fillId="0" borderId="0" xfId="0" applyNumberFormat="1" applyFont="1"/>
    <xf numFmtId="3" fontId="188" fillId="0" borderId="0" xfId="0" applyNumberFormat="1" applyFont="1" applyFill="1"/>
    <xf numFmtId="3" fontId="1" fillId="0" borderId="4" xfId="0" applyNumberFormat="1" applyFont="1" applyBorder="1" applyAlignment="1">
      <alignment horizontal="left"/>
    </xf>
    <xf numFmtId="168" fontId="0" fillId="0" borderId="0" xfId="0" applyNumberFormat="1" applyBorder="1"/>
    <xf numFmtId="0" fontId="0" fillId="0" borderId="0" xfId="0" applyAlignment="1">
      <alignment horizontal="left" indent="1"/>
    </xf>
    <xf numFmtId="3" fontId="1" fillId="0" borderId="4" xfId="0" applyNumberFormat="1" applyFont="1" applyBorder="1" applyAlignment="1">
      <alignment horizontal="left" indent="1"/>
    </xf>
    <xf numFmtId="4" fontId="1" fillId="28" borderId="11" xfId="0" applyNumberFormat="1" applyFont="1" applyFill="1" applyBorder="1"/>
    <xf numFmtId="4" fontId="0" fillId="35" borderId="11" xfId="0" applyNumberFormat="1" applyFill="1" applyBorder="1"/>
    <xf numFmtId="176" fontId="183" fillId="0" borderId="0" xfId="0" applyNumberFormat="1" applyFont="1" applyFill="1" applyBorder="1" applyAlignment="1">
      <alignment vertical="center"/>
    </xf>
    <xf numFmtId="0" fontId="183" fillId="0" borderId="0" xfId="0" applyFont="1" applyFill="1" applyBorder="1" applyAlignment="1">
      <alignment vertical="center"/>
    </xf>
    <xf numFmtId="176" fontId="187" fillId="28" borderId="156" xfId="41" applyNumberFormat="1" applyFont="1" applyFill="1" applyBorder="1" applyAlignment="1">
      <alignment horizontal="right"/>
    </xf>
    <xf numFmtId="0" fontId="1" fillId="0" borderId="4" xfId="0" quotePrefix="1" applyFont="1" applyBorder="1" applyAlignment="1">
      <alignment horizontal="left" indent="3"/>
    </xf>
    <xf numFmtId="3" fontId="177" fillId="28" borderId="0" xfId="0" applyNumberFormat="1" applyFont="1" applyFill="1" applyBorder="1"/>
    <xf numFmtId="0" fontId="193" fillId="0" borderId="55" xfId="36" applyFont="1" applyFill="1" applyBorder="1" applyAlignment="1">
      <alignment horizontal="center"/>
    </xf>
    <xf numFmtId="0" fontId="193" fillId="0" borderId="154" xfId="0" applyFont="1" applyBorder="1" applyAlignment="1"/>
    <xf numFmtId="0" fontId="193" fillId="0" borderId="155" xfId="0" applyFont="1" applyBorder="1" applyAlignment="1">
      <alignment horizontal="left" indent="2"/>
    </xf>
    <xf numFmtId="4" fontId="193" fillId="0" borderId="0" xfId="0" applyNumberFormat="1" applyFont="1" applyBorder="1"/>
    <xf numFmtId="4" fontId="193" fillId="0" borderId="30" xfId="0" applyNumberFormat="1" applyFont="1" applyFill="1" applyBorder="1"/>
    <xf numFmtId="43" fontId="193" fillId="0" borderId="0" xfId="41" applyFont="1" applyBorder="1" applyAlignment="1">
      <alignment vertical="center"/>
    </xf>
    <xf numFmtId="0" fontId="193" fillId="0" borderId="0" xfId="0" applyFont="1"/>
    <xf numFmtId="176" fontId="193" fillId="0" borderId="0" xfId="0" applyNumberFormat="1" applyFont="1" applyBorder="1" applyAlignment="1">
      <alignment vertical="center"/>
    </xf>
    <xf numFmtId="3" fontId="193" fillId="0" borderId="0" xfId="0" applyNumberFormat="1" applyFont="1"/>
    <xf numFmtId="0" fontId="188" fillId="0" borderId="155" xfId="0" applyFont="1" applyBorder="1" applyAlignment="1">
      <alignment horizontal="left" indent="10"/>
    </xf>
    <xf numFmtId="4" fontId="188" fillId="0" borderId="0" xfId="0" applyNumberFormat="1" applyFont="1" applyBorder="1"/>
    <xf numFmtId="0" fontId="195" fillId="0" borderId="55" xfId="0" applyFont="1" applyBorder="1" applyAlignment="1">
      <alignment horizontal="center"/>
    </xf>
    <xf numFmtId="0" fontId="195" fillId="0" borderId="154" xfId="0" applyFont="1" applyBorder="1" applyAlignment="1"/>
    <xf numFmtId="0" fontId="195" fillId="0" borderId="155" xfId="0" applyFont="1" applyBorder="1" applyAlignment="1">
      <alignment horizontal="left" indent="7"/>
    </xf>
    <xf numFmtId="3" fontId="195" fillId="0" borderId="155" xfId="0" applyNumberFormat="1" applyFont="1" applyBorder="1" applyAlignment="1">
      <alignment horizontal="center"/>
    </xf>
    <xf numFmtId="176" fontId="195" fillId="0" borderId="155" xfId="41" applyNumberFormat="1" applyFont="1" applyBorder="1" applyAlignment="1">
      <alignment horizontal="center"/>
    </xf>
    <xf numFmtId="176" fontId="195" fillId="0" borderId="156" xfId="41" applyNumberFormat="1" applyFont="1" applyBorder="1" applyAlignment="1">
      <alignment horizontal="center"/>
    </xf>
    <xf numFmtId="4" fontId="195" fillId="0" borderId="0" xfId="0" applyNumberFormat="1" applyFont="1" applyBorder="1"/>
    <xf numFmtId="4" fontId="195" fillId="0" borderId="30" xfId="0" applyNumberFormat="1" applyFont="1" applyFill="1" applyBorder="1"/>
    <xf numFmtId="43" fontId="195" fillId="0" borderId="0" xfId="41" applyFont="1" applyBorder="1" applyAlignment="1">
      <alignment vertical="center"/>
    </xf>
    <xf numFmtId="0" fontId="195" fillId="0" borderId="0" xfId="0" applyFont="1"/>
    <xf numFmtId="176" fontId="195" fillId="0" borderId="0" xfId="0" applyNumberFormat="1" applyFont="1" applyBorder="1" applyAlignment="1">
      <alignment vertical="center"/>
    </xf>
    <xf numFmtId="0" fontId="188" fillId="0" borderId="155" xfId="0" applyFont="1" applyBorder="1" applyAlignment="1">
      <alignment horizontal="left" indent="8"/>
    </xf>
    <xf numFmtId="0" fontId="188" fillId="0" borderId="155" xfId="0" applyFont="1" applyBorder="1" applyAlignment="1">
      <alignment horizontal="left" indent="9"/>
    </xf>
    <xf numFmtId="0" fontId="196" fillId="0" borderId="55" xfId="0" applyFont="1" applyBorder="1" applyAlignment="1">
      <alignment horizontal="center"/>
    </xf>
    <xf numFmtId="0" fontId="196" fillId="0" borderId="154" xfId="0" applyFont="1" applyBorder="1" applyAlignment="1"/>
    <xf numFmtId="0" fontId="196" fillId="0" borderId="155" xfId="0" applyFont="1" applyBorder="1" applyAlignment="1">
      <alignment horizontal="left" indent="6"/>
    </xf>
    <xf numFmtId="3" fontId="196" fillId="0" borderId="155" xfId="0" applyNumberFormat="1" applyFont="1" applyBorder="1" applyAlignment="1">
      <alignment horizontal="center"/>
    </xf>
    <xf numFmtId="176" fontId="196" fillId="0" borderId="156" xfId="41" applyNumberFormat="1" applyFont="1" applyBorder="1" applyAlignment="1">
      <alignment horizontal="right"/>
    </xf>
    <xf numFmtId="176" fontId="196" fillId="0" borderId="155" xfId="41" applyNumberFormat="1" applyFont="1" applyBorder="1" applyAlignment="1">
      <alignment horizontal="center"/>
    </xf>
    <xf numFmtId="4" fontId="196" fillId="0" borderId="0" xfId="0" applyNumberFormat="1" applyFont="1" applyBorder="1"/>
    <xf numFmtId="4" fontId="196" fillId="0" borderId="30" xfId="0" applyNumberFormat="1" applyFont="1" applyFill="1" applyBorder="1"/>
    <xf numFmtId="43" fontId="196" fillId="0" borderId="0" xfId="41" applyFont="1" applyBorder="1" applyAlignment="1">
      <alignment vertical="center"/>
    </xf>
    <xf numFmtId="0" fontId="196" fillId="0" borderId="0" xfId="0" applyFont="1"/>
    <xf numFmtId="176" fontId="196" fillId="0" borderId="0" xfId="0" applyNumberFormat="1" applyFont="1" applyBorder="1" applyAlignment="1">
      <alignment vertical="center"/>
    </xf>
    <xf numFmtId="0" fontId="188" fillId="0" borderId="155" xfId="0" applyFont="1" applyBorder="1" applyAlignment="1">
      <alignment horizontal="left" indent="11"/>
    </xf>
    <xf numFmtId="0" fontId="188" fillId="0" borderId="155" xfId="0" applyFont="1" applyBorder="1" applyAlignment="1">
      <alignment horizontal="left" indent="13"/>
    </xf>
    <xf numFmtId="0" fontId="188" fillId="0" borderId="155" xfId="0" applyFont="1" applyBorder="1" applyAlignment="1">
      <alignment horizontal="left" indent="16"/>
    </xf>
    <xf numFmtId="0" fontId="1" fillId="0" borderId="11" xfId="33" applyFont="1" applyBorder="1"/>
    <xf numFmtId="0" fontId="24" fillId="0" borderId="11" xfId="33" applyFont="1" applyBorder="1" applyAlignment="1">
      <alignment horizontal="left" indent="3"/>
    </xf>
    <xf numFmtId="0" fontId="195" fillId="0" borderId="155" xfId="0" applyFont="1" applyBorder="1" applyAlignment="1">
      <alignment horizontal="left"/>
    </xf>
    <xf numFmtId="176" fontId="195" fillId="0" borderId="155" xfId="0" applyNumberFormat="1" applyFont="1" applyBorder="1" applyAlignment="1">
      <alignment horizontal="left" indent="7"/>
    </xf>
    <xf numFmtId="176" fontId="195" fillId="0" borderId="155" xfId="41" applyNumberFormat="1" applyFont="1" applyBorder="1" applyAlignment="1">
      <alignment horizontal="left" indent="7"/>
    </xf>
    <xf numFmtId="0" fontId="188" fillId="0" borderId="155" xfId="0" applyFont="1" applyBorder="1" applyAlignment="1">
      <alignment horizontal="left" wrapText="1" indent="10"/>
    </xf>
    <xf numFmtId="176" fontId="187" fillId="36" borderId="155" xfId="41" applyNumberFormat="1" applyFont="1" applyFill="1" applyBorder="1" applyAlignment="1">
      <alignment horizontal="center" vertical="center"/>
    </xf>
    <xf numFmtId="176" fontId="187" fillId="36" borderId="155" xfId="41" applyNumberFormat="1" applyFont="1" applyFill="1" applyBorder="1" applyAlignment="1">
      <alignment horizontal="center"/>
    </xf>
    <xf numFmtId="176" fontId="193" fillId="36" borderId="155" xfId="41" applyNumberFormat="1" applyFont="1" applyFill="1" applyBorder="1" applyAlignment="1">
      <alignment horizontal="center"/>
    </xf>
    <xf numFmtId="176" fontId="196" fillId="36" borderId="155" xfId="41" applyNumberFormat="1" applyFont="1" applyFill="1" applyBorder="1" applyAlignment="1">
      <alignment horizontal="center"/>
    </xf>
    <xf numFmtId="176" fontId="195" fillId="36" borderId="155" xfId="41" applyNumberFormat="1" applyFont="1" applyFill="1" applyBorder="1" applyAlignment="1">
      <alignment horizontal="center"/>
    </xf>
    <xf numFmtId="176" fontId="188" fillId="36" borderId="155" xfId="41" applyNumberFormat="1" applyFont="1" applyFill="1" applyBorder="1" applyAlignment="1">
      <alignment horizontal="center"/>
    </xf>
    <xf numFmtId="176" fontId="188" fillId="36" borderId="155" xfId="41" applyNumberFormat="1" applyFont="1" applyFill="1" applyBorder="1" applyAlignment="1">
      <alignment horizontal="left" indent="1"/>
    </xf>
    <xf numFmtId="176" fontId="195" fillId="36" borderId="155" xfId="0" applyNumberFormat="1" applyFont="1" applyFill="1" applyBorder="1" applyAlignment="1">
      <alignment horizontal="left" indent="7"/>
    </xf>
    <xf numFmtId="0" fontId="195" fillId="36" borderId="155" xfId="0" applyFont="1" applyFill="1" applyBorder="1" applyAlignment="1">
      <alignment horizontal="left" indent="7"/>
    </xf>
    <xf numFmtId="176" fontId="192" fillId="36" borderId="155" xfId="41" applyNumberFormat="1" applyFont="1" applyFill="1" applyBorder="1" applyAlignment="1">
      <alignment horizontal="center"/>
    </xf>
    <xf numFmtId="176" fontId="188" fillId="36" borderId="155" xfId="41" applyNumberFormat="1" applyFont="1" applyFill="1" applyBorder="1" applyAlignment="1">
      <alignment horizontal="center" vertical="center"/>
    </xf>
    <xf numFmtId="176" fontId="189" fillId="36" borderId="155" xfId="41" applyNumberFormat="1" applyFont="1" applyFill="1" applyBorder="1" applyAlignment="1">
      <alignment horizontal="center"/>
    </xf>
    <xf numFmtId="176" fontId="190" fillId="36" borderId="155" xfId="41" applyNumberFormat="1" applyFont="1" applyFill="1" applyBorder="1" applyAlignment="1">
      <alignment horizontal="center"/>
    </xf>
    <xf numFmtId="176" fontId="188" fillId="36" borderId="158" xfId="41" applyNumberFormat="1" applyFont="1" applyFill="1" applyBorder="1" applyAlignment="1">
      <alignment horizontal="center"/>
    </xf>
    <xf numFmtId="3" fontId="192" fillId="0" borderId="155" xfId="0" applyNumberFormat="1" applyFont="1" applyBorder="1" applyAlignment="1">
      <alignment horizontal="center"/>
    </xf>
    <xf numFmtId="176" fontId="192" fillId="0" borderId="156" xfId="41" applyNumberFormat="1" applyFont="1" applyBorder="1" applyAlignment="1">
      <alignment horizontal="right"/>
    </xf>
    <xf numFmtId="3" fontId="192" fillId="0" borderId="4" xfId="0" applyNumberFormat="1" applyFont="1" applyBorder="1"/>
    <xf numFmtId="4" fontId="192" fillId="0" borderId="11" xfId="0" applyNumberFormat="1" applyFont="1" applyBorder="1"/>
    <xf numFmtId="4" fontId="192" fillId="0" borderId="30" xfId="0" applyNumberFormat="1" applyFont="1" applyFill="1" applyBorder="1"/>
    <xf numFmtId="0" fontId="192" fillId="0" borderId="0" xfId="0" applyFont="1"/>
    <xf numFmtId="0" fontId="197" fillId="0" borderId="55" xfId="0" applyFont="1" applyBorder="1" applyAlignment="1">
      <alignment horizontal="center"/>
    </xf>
    <xf numFmtId="0" fontId="197" fillId="0" borderId="154" xfId="0" applyFont="1" applyBorder="1" applyAlignment="1"/>
    <xf numFmtId="0" fontId="197" fillId="0" borderId="155" xfId="0" applyFont="1" applyBorder="1" applyAlignment="1">
      <alignment horizontal="left" indent="7"/>
    </xf>
    <xf numFmtId="3" fontId="197" fillId="0" borderId="155" xfId="0" applyNumberFormat="1" applyFont="1" applyBorder="1" applyAlignment="1">
      <alignment horizontal="center"/>
    </xf>
    <xf numFmtId="176" fontId="197" fillId="0" borderId="155" xfId="41" applyNumberFormat="1" applyFont="1" applyBorder="1" applyAlignment="1">
      <alignment horizontal="center"/>
    </xf>
    <xf numFmtId="176" fontId="197" fillId="0" borderId="156" xfId="41" applyNumberFormat="1" applyFont="1" applyBorder="1" applyAlignment="1">
      <alignment horizontal="center"/>
    </xf>
    <xf numFmtId="3" fontId="197" fillId="0" borderId="4" xfId="0" applyNumberFormat="1" applyFont="1" applyBorder="1"/>
    <xf numFmtId="4" fontId="197" fillId="0" borderId="11" xfId="0" applyNumberFormat="1" applyFont="1" applyBorder="1"/>
    <xf numFmtId="4" fontId="197" fillId="0" borderId="0" xfId="0" applyNumberFormat="1" applyFont="1" applyBorder="1"/>
    <xf numFmtId="4" fontId="197" fillId="0" borderId="30" xfId="0" applyNumberFormat="1" applyFont="1" applyFill="1" applyBorder="1"/>
    <xf numFmtId="43" fontId="197" fillId="0" borderId="0" xfId="41" applyFont="1" applyBorder="1" applyAlignment="1">
      <alignment vertical="center"/>
    </xf>
    <xf numFmtId="0" fontId="197" fillId="0" borderId="0" xfId="0" applyFont="1"/>
    <xf numFmtId="176" fontId="197" fillId="0" borderId="0" xfId="0" applyNumberFormat="1" applyFont="1" applyBorder="1" applyAlignment="1">
      <alignment vertical="center"/>
    </xf>
    <xf numFmtId="0" fontId="197" fillId="0" borderId="155" xfId="0" applyFont="1" applyBorder="1" applyAlignment="1">
      <alignment horizontal="left" indent="10"/>
    </xf>
    <xf numFmtId="0" fontId="197" fillId="0" borderId="155" xfId="0" applyFont="1" applyBorder="1" applyAlignment="1">
      <alignment horizontal="left" indent="9"/>
    </xf>
    <xf numFmtId="0" fontId="197" fillId="0" borderId="55" xfId="0" applyFont="1" applyBorder="1" applyAlignment="1">
      <alignment horizontal="left" indent="1"/>
    </xf>
    <xf numFmtId="3" fontId="197" fillId="0" borderId="155" xfId="0" applyNumberFormat="1" applyFont="1" applyBorder="1" applyAlignment="1">
      <alignment horizontal="left" indent="1"/>
    </xf>
    <xf numFmtId="176" fontId="197" fillId="0" borderId="155" xfId="41" applyNumberFormat="1" applyFont="1" applyBorder="1" applyAlignment="1">
      <alignment horizontal="left" indent="1"/>
    </xf>
    <xf numFmtId="176" fontId="197" fillId="0" borderId="156" xfId="41" applyNumberFormat="1" applyFont="1" applyBorder="1" applyAlignment="1">
      <alignment horizontal="left" indent="1"/>
    </xf>
    <xf numFmtId="3" fontId="197" fillId="0" borderId="4" xfId="0" applyNumberFormat="1" applyFont="1" applyBorder="1" applyAlignment="1">
      <alignment horizontal="left" indent="1"/>
    </xf>
    <xf numFmtId="4" fontId="197" fillId="0" borderId="11" xfId="0" applyNumberFormat="1" applyFont="1" applyBorder="1" applyAlignment="1">
      <alignment horizontal="left" indent="1"/>
    </xf>
    <xf numFmtId="4" fontId="197" fillId="0" borderId="30" xfId="0" applyNumberFormat="1" applyFont="1" applyFill="1" applyBorder="1" applyAlignment="1">
      <alignment horizontal="left" indent="1"/>
    </xf>
    <xf numFmtId="0" fontId="197" fillId="0" borderId="0" xfId="0" applyFont="1" applyAlignment="1">
      <alignment horizontal="left" indent="1"/>
    </xf>
    <xf numFmtId="0" fontId="197" fillId="0" borderId="155" xfId="0" applyFont="1" applyBorder="1" applyAlignment="1">
      <alignment horizontal="left" indent="13"/>
    </xf>
    <xf numFmtId="0" fontId="197" fillId="0" borderId="154" xfId="0" applyFont="1" applyBorder="1" applyAlignment="1">
      <alignment horizontal="left"/>
    </xf>
    <xf numFmtId="0" fontId="197" fillId="0" borderId="155" xfId="0" applyFont="1" applyBorder="1" applyAlignment="1">
      <alignment horizontal="left" indent="6"/>
    </xf>
    <xf numFmtId="0" fontId="197" fillId="0" borderId="154" xfId="0" applyFont="1" applyBorder="1" applyAlignment="1">
      <alignment horizontal="left" indent="1"/>
    </xf>
    <xf numFmtId="0" fontId="197" fillId="0" borderId="155" xfId="0" applyFont="1" applyBorder="1" applyAlignment="1">
      <alignment horizontal="left" indent="11"/>
    </xf>
    <xf numFmtId="0" fontId="197" fillId="0" borderId="155" xfId="0" applyFont="1" applyBorder="1" applyAlignment="1">
      <alignment horizontal="left"/>
    </xf>
    <xf numFmtId="3" fontId="197" fillId="0" borderId="55" xfId="0" applyNumberFormat="1" applyFont="1" applyBorder="1" applyAlignment="1">
      <alignment horizontal="center"/>
    </xf>
    <xf numFmtId="0" fontId="197" fillId="0" borderId="55" xfId="0" applyFont="1" applyBorder="1" applyAlignment="1">
      <alignment horizontal="left" indent="4"/>
    </xf>
    <xf numFmtId="3" fontId="197" fillId="0" borderId="155" xfId="0" applyNumberFormat="1" applyFont="1" applyBorder="1" applyAlignment="1">
      <alignment horizontal="left" indent="4"/>
    </xf>
    <xf numFmtId="3" fontId="197" fillId="0" borderId="4" xfId="0" applyNumberFormat="1" applyFont="1" applyBorder="1" applyAlignment="1">
      <alignment horizontal="left" indent="4"/>
    </xf>
    <xf numFmtId="4" fontId="197" fillId="0" borderId="11" xfId="0" applyNumberFormat="1" applyFont="1" applyBorder="1" applyAlignment="1">
      <alignment horizontal="left" indent="4"/>
    </xf>
    <xf numFmtId="4" fontId="197" fillId="0" borderId="30" xfId="0" applyNumberFormat="1" applyFont="1" applyFill="1" applyBorder="1" applyAlignment="1">
      <alignment horizontal="left" indent="4"/>
    </xf>
    <xf numFmtId="0" fontId="197" fillId="0" borderId="0" xfId="0" applyFont="1" applyAlignment="1">
      <alignment horizontal="left" indent="4"/>
    </xf>
    <xf numFmtId="0" fontId="197" fillId="0" borderId="155" xfId="0" applyFont="1" applyBorder="1" applyAlignment="1">
      <alignment horizontal="left" indent="8"/>
    </xf>
    <xf numFmtId="0" fontId="197" fillId="0" borderId="155" xfId="0" applyFont="1" applyBorder="1" applyAlignment="1">
      <alignment horizontal="left" indent="16"/>
    </xf>
    <xf numFmtId="0" fontId="197" fillId="0" borderId="55" xfId="36" applyFont="1" applyFill="1" applyBorder="1" applyAlignment="1">
      <alignment horizontal="center"/>
    </xf>
    <xf numFmtId="3" fontId="197" fillId="0" borderId="155" xfId="0" applyNumberFormat="1" applyFont="1" applyFill="1" applyBorder="1" applyAlignment="1">
      <alignment horizontal="center"/>
    </xf>
    <xf numFmtId="0" fontId="197" fillId="0" borderId="55" xfId="0" applyFont="1" applyFill="1" applyBorder="1" applyAlignment="1">
      <alignment horizontal="center"/>
    </xf>
    <xf numFmtId="176" fontId="197" fillId="0" borderId="155" xfId="41" applyNumberFormat="1" applyFont="1" applyFill="1" applyBorder="1" applyAlignment="1">
      <alignment horizontal="center"/>
    </xf>
    <xf numFmtId="3" fontId="197" fillId="0" borderId="4" xfId="0" applyNumberFormat="1" applyFont="1" applyFill="1" applyBorder="1"/>
    <xf numFmtId="4" fontId="197" fillId="0" borderId="11" xfId="0" applyNumberFormat="1" applyFont="1" applyFill="1" applyBorder="1"/>
    <xf numFmtId="0" fontId="197" fillId="0" borderId="0" xfId="0" applyFont="1" applyFill="1"/>
    <xf numFmtId="176" fontId="197" fillId="0" borderId="156" xfId="41" applyNumberFormat="1" applyFont="1" applyBorder="1" applyAlignment="1">
      <alignment horizontal="right"/>
    </xf>
    <xf numFmtId="176" fontId="197" fillId="0" borderId="155" xfId="0" applyNumberFormat="1" applyFont="1" applyBorder="1" applyAlignment="1">
      <alignment horizontal="left" indent="7"/>
    </xf>
    <xf numFmtId="0" fontId="197" fillId="0" borderId="156" xfId="0" applyFont="1" applyBorder="1" applyAlignment="1">
      <alignment horizontal="left" indent="7"/>
    </xf>
    <xf numFmtId="0" fontId="197" fillId="0" borderId="160" xfId="0" applyFont="1" applyBorder="1" applyAlignment="1">
      <alignment horizontal="left" indent="7"/>
    </xf>
    <xf numFmtId="3" fontId="197" fillId="0" borderId="11" xfId="0" applyNumberFormat="1" applyFont="1" applyFill="1" applyBorder="1"/>
    <xf numFmtId="176" fontId="197" fillId="0" borderId="156" xfId="41" applyNumberFormat="1" applyFont="1" applyBorder="1" applyAlignment="1">
      <alignment horizontal="left" indent="7"/>
    </xf>
    <xf numFmtId="176" fontId="197" fillId="0" borderId="155" xfId="41" applyNumberFormat="1" applyFont="1" applyBorder="1" applyAlignment="1">
      <alignment horizontal="left" indent="7"/>
    </xf>
    <xf numFmtId="0" fontId="197" fillId="0" borderId="155" xfId="0" applyFont="1" applyBorder="1" applyAlignment="1">
      <alignment horizontal="left" wrapText="1" indent="10"/>
    </xf>
    <xf numFmtId="0" fontId="192" fillId="5" borderId="55" xfId="0" applyFont="1" applyFill="1" applyBorder="1" applyAlignment="1">
      <alignment horizontal="center"/>
    </xf>
    <xf numFmtId="0" fontId="192" fillId="0" borderId="154" xfId="0" applyFont="1" applyFill="1" applyBorder="1" applyAlignment="1">
      <alignment horizontal="left"/>
    </xf>
    <xf numFmtId="0" fontId="192" fillId="0" borderId="155" xfId="0" applyFont="1" applyBorder="1" applyAlignment="1">
      <alignment horizontal="left" indent="1"/>
    </xf>
    <xf numFmtId="0" fontId="197" fillId="0" borderId="155" xfId="0" applyFont="1" applyBorder="1" applyAlignment="1">
      <alignment horizontal="left" indent="2"/>
    </xf>
    <xf numFmtId="3" fontId="197" fillId="0" borderId="0" xfId="0" applyNumberFormat="1" applyFont="1"/>
    <xf numFmtId="176" fontId="187" fillId="0" borderId="155" xfId="41" applyNumberFormat="1" applyFont="1" applyFill="1" applyBorder="1" applyAlignment="1">
      <alignment horizontal="center"/>
    </xf>
    <xf numFmtId="176" fontId="197" fillId="0" borderId="155" xfId="41" applyNumberFormat="1" applyFont="1" applyFill="1" applyBorder="1" applyAlignment="1">
      <alignment horizontal="left" indent="1"/>
    </xf>
    <xf numFmtId="176" fontId="197" fillId="0" borderId="155" xfId="0" applyNumberFormat="1" applyFont="1" applyFill="1" applyBorder="1" applyAlignment="1">
      <alignment horizontal="left" indent="7"/>
    </xf>
    <xf numFmtId="0" fontId="197" fillId="0" borderId="155" xfId="0" applyFont="1" applyFill="1" applyBorder="1" applyAlignment="1">
      <alignment horizontal="left" indent="7"/>
    </xf>
    <xf numFmtId="0" fontId="177" fillId="0" borderId="4" xfId="0" applyFont="1" applyBorder="1" applyAlignment="1">
      <alignment horizontal="left" indent="6"/>
    </xf>
    <xf numFmtId="0" fontId="177" fillId="0" borderId="4" xfId="0" applyFont="1" applyBorder="1" applyAlignment="1">
      <alignment horizontal="left" indent="7"/>
    </xf>
    <xf numFmtId="0" fontId="177" fillId="0" borderId="4" xfId="0" applyFont="1" applyBorder="1" applyAlignment="1">
      <alignment horizontal="left" indent="8"/>
    </xf>
    <xf numFmtId="0" fontId="188" fillId="0" borderId="155" xfId="36" applyFont="1" applyFill="1" applyBorder="1" applyAlignment="1">
      <alignment horizontal="left" indent="8"/>
    </xf>
    <xf numFmtId="0" fontId="188" fillId="0" borderId="155" xfId="0" applyFont="1" applyBorder="1" applyAlignment="1">
      <alignment horizontal="left" vertical="top" wrapText="1" indent="6"/>
    </xf>
    <xf numFmtId="0" fontId="188" fillId="0" borderId="155" xfId="0" applyFont="1" applyBorder="1" applyAlignment="1">
      <alignment horizontal="left" vertical="top" wrapText="1" indent="7"/>
    </xf>
    <xf numFmtId="0" fontId="188" fillId="0" borderId="155" xfId="0" applyFont="1" applyBorder="1" applyAlignment="1">
      <alignment horizontal="left" indent="7"/>
    </xf>
    <xf numFmtId="0" fontId="195" fillId="0" borderId="55" xfId="36" applyFont="1" applyFill="1" applyBorder="1" applyAlignment="1">
      <alignment horizontal="center"/>
    </xf>
    <xf numFmtId="0" fontId="195" fillId="0" borderId="154" xfId="0" applyFont="1" applyBorder="1" applyAlignment="1">
      <alignment horizontal="left"/>
    </xf>
    <xf numFmtId="176" fontId="195" fillId="0" borderId="156" xfId="41" applyNumberFormat="1" applyFont="1" applyBorder="1" applyAlignment="1">
      <alignment horizontal="right"/>
    </xf>
    <xf numFmtId="0" fontId="195" fillId="0" borderId="154" xfId="36" applyFont="1" applyFill="1" applyBorder="1" applyAlignment="1">
      <alignment horizontal="left"/>
    </xf>
    <xf numFmtId="0" fontId="195" fillId="0" borderId="155" xfId="0" applyFont="1" applyBorder="1" applyAlignment="1">
      <alignment horizontal="left" indent="2"/>
    </xf>
    <xf numFmtId="0" fontId="188" fillId="0" borderId="155" xfId="36" applyFont="1" applyFill="1" applyBorder="1" applyAlignment="1">
      <alignment horizontal="left" wrapText="1" indent="12"/>
    </xf>
    <xf numFmtId="0" fontId="190" fillId="0" borderId="155" xfId="0" applyFont="1" applyBorder="1" applyAlignment="1">
      <alignment horizontal="left" indent="10"/>
    </xf>
    <xf numFmtId="3" fontId="178" fillId="26" borderId="4" xfId="0" applyNumberFormat="1" applyFont="1" applyFill="1" applyBorder="1" applyAlignment="1">
      <alignment horizontal="center" vertical="center" wrapText="1"/>
    </xf>
    <xf numFmtId="3" fontId="187" fillId="26" borderId="4" xfId="0" applyNumberFormat="1" applyFont="1" applyFill="1" applyBorder="1" applyAlignment="1">
      <alignment vertical="center"/>
    </xf>
    <xf numFmtId="3" fontId="187" fillId="26" borderId="4" xfId="0" applyNumberFormat="1" applyFont="1" applyFill="1" applyBorder="1"/>
    <xf numFmtId="3" fontId="193" fillId="26" borderId="4" xfId="0" applyNumberFormat="1" applyFont="1" applyFill="1" applyBorder="1"/>
    <xf numFmtId="3" fontId="196" fillId="26" borderId="4" xfId="0" applyNumberFormat="1" applyFont="1" applyFill="1" applyBorder="1"/>
    <xf numFmtId="3" fontId="195" fillId="26" borderId="4" xfId="0" applyNumberFormat="1" applyFont="1" applyFill="1" applyBorder="1"/>
    <xf numFmtId="3" fontId="188" fillId="26" borderId="4" xfId="0" applyNumberFormat="1" applyFont="1" applyFill="1" applyBorder="1"/>
    <xf numFmtId="3" fontId="188" fillId="26" borderId="4" xfId="0" applyNumberFormat="1" applyFont="1" applyFill="1" applyBorder="1" applyAlignment="1">
      <alignment horizontal="left" indent="1"/>
    </xf>
    <xf numFmtId="0" fontId="195" fillId="26" borderId="160" xfId="0" applyFont="1" applyFill="1" applyBorder="1" applyAlignment="1">
      <alignment horizontal="left" indent="7"/>
    </xf>
    <xf numFmtId="3" fontId="188" fillId="26" borderId="11" xfId="0" applyNumberFormat="1" applyFont="1" applyFill="1" applyBorder="1"/>
    <xf numFmtId="176" fontId="188" fillId="26" borderId="155" xfId="41" applyNumberFormat="1" applyFont="1" applyFill="1" applyBorder="1" applyAlignment="1">
      <alignment horizontal="center"/>
    </xf>
    <xf numFmtId="3" fontId="188" fillId="26" borderId="5" xfId="0" applyNumberFormat="1" applyFont="1" applyFill="1" applyBorder="1" applyAlignment="1">
      <alignment horizontal="center"/>
    </xf>
    <xf numFmtId="3" fontId="187" fillId="26" borderId="75" xfId="0" applyNumberFormat="1" applyFont="1" applyFill="1" applyBorder="1"/>
    <xf numFmtId="3" fontId="177" fillId="23" borderId="0" xfId="0" applyNumberFormat="1" applyFont="1" applyFill="1" applyBorder="1" applyAlignment="1">
      <alignment horizontal="center" vertical="center" wrapText="1"/>
    </xf>
    <xf numFmtId="3" fontId="177" fillId="23" borderId="0" xfId="0" applyNumberFormat="1" applyFont="1" applyFill="1"/>
    <xf numFmtId="3" fontId="193" fillId="23" borderId="8" xfId="0" applyNumberFormat="1" applyFont="1" applyFill="1" applyBorder="1" applyAlignment="1">
      <alignment vertical="center"/>
    </xf>
    <xf numFmtId="0" fontId="177" fillId="23" borderId="0" xfId="0" applyFont="1" applyFill="1"/>
    <xf numFmtId="3" fontId="193" fillId="28" borderId="8" xfId="0" applyNumberFormat="1" applyFont="1" applyFill="1" applyBorder="1" applyAlignment="1">
      <alignment vertical="center"/>
    </xf>
    <xf numFmtId="3" fontId="193" fillId="0" borderId="8" xfId="0" applyNumberFormat="1" applyFont="1" applyFill="1" applyBorder="1" applyAlignment="1">
      <alignment vertical="center"/>
    </xf>
    <xf numFmtId="176" fontId="188" fillId="28" borderId="156" xfId="41" applyNumberFormat="1" applyFont="1" applyFill="1" applyBorder="1" applyAlignment="1">
      <alignment horizontal="left" indent="1"/>
    </xf>
    <xf numFmtId="168" fontId="193" fillId="28" borderId="8" xfId="0" applyNumberFormat="1" applyFont="1" applyFill="1" applyBorder="1" applyAlignment="1">
      <alignment vertical="center"/>
    </xf>
    <xf numFmtId="176" fontId="183" fillId="0" borderId="0" xfId="0" applyNumberFormat="1" applyFont="1" applyFill="1" applyBorder="1" applyAlignment="1">
      <alignment horizontal="center" vertical="center"/>
    </xf>
    <xf numFmtId="185" fontId="183" fillId="0" borderId="0" xfId="0" applyNumberFormat="1" applyFont="1" applyFill="1" applyBorder="1" applyAlignment="1">
      <alignment vertical="center"/>
    </xf>
    <xf numFmtId="3" fontId="22" fillId="28" borderId="0" xfId="0" applyNumberFormat="1" applyFont="1" applyFill="1"/>
    <xf numFmtId="3" fontId="133" fillId="28" borderId="0" xfId="0" applyNumberFormat="1" applyFont="1" applyFill="1"/>
    <xf numFmtId="176" fontId="183" fillId="0" borderId="0" xfId="41" applyNumberFormat="1" applyFont="1" applyFill="1" applyBorder="1" applyAlignment="1">
      <alignment vertical="center"/>
    </xf>
    <xf numFmtId="176" fontId="20" fillId="0" borderId="8" xfId="41" applyNumberFormat="1" applyFont="1" applyBorder="1"/>
    <xf numFmtId="4" fontId="15" fillId="7" borderId="104" xfId="0" applyNumberFormat="1" applyFont="1" applyFill="1" applyBorder="1"/>
    <xf numFmtId="183" fontId="15" fillId="0" borderId="61" xfId="0" applyNumberFormat="1" applyFont="1" applyBorder="1"/>
    <xf numFmtId="0" fontId="1" fillId="0" borderId="62" xfId="0" applyFont="1" applyBorder="1" applyAlignment="1"/>
    <xf numFmtId="0" fontId="188" fillId="0" borderId="155" xfId="0" applyFont="1" applyFill="1" applyBorder="1" applyAlignment="1">
      <alignment horizontal="left" indent="10"/>
    </xf>
    <xf numFmtId="176" fontId="188" fillId="28" borderId="155" xfId="41" applyNumberFormat="1" applyFont="1" applyFill="1" applyBorder="1" applyAlignment="1">
      <alignment horizontal="center"/>
    </xf>
    <xf numFmtId="0" fontId="183" fillId="0" borderId="0" xfId="0" applyFont="1"/>
    <xf numFmtId="176" fontId="183" fillId="0" borderId="0" xfId="0" applyNumberFormat="1" applyFont="1"/>
    <xf numFmtId="0" fontId="183" fillId="23" borderId="0" xfId="0" applyFont="1" applyFill="1"/>
    <xf numFmtId="176" fontId="188" fillId="0" borderId="156" xfId="41" applyNumberFormat="1" applyFont="1" applyFill="1" applyBorder="1" applyAlignment="1">
      <alignment horizontal="right"/>
    </xf>
    <xf numFmtId="176" fontId="188" fillId="37" borderId="155" xfId="41" applyNumberFormat="1" applyFont="1" applyFill="1" applyBorder="1" applyAlignment="1">
      <alignment horizontal="center"/>
    </xf>
    <xf numFmtId="176" fontId="188" fillId="28" borderId="155" xfId="41" applyNumberFormat="1" applyFont="1" applyFill="1" applyBorder="1" applyAlignment="1">
      <alignment horizontal="left"/>
    </xf>
    <xf numFmtId="0" fontId="188" fillId="28" borderId="155" xfId="0" applyFont="1" applyFill="1" applyBorder="1" applyAlignment="1">
      <alignment horizontal="left" indent="10"/>
    </xf>
    <xf numFmtId="176" fontId="196" fillId="28" borderId="155" xfId="41" applyNumberFormat="1" applyFont="1" applyFill="1" applyBorder="1" applyAlignment="1">
      <alignment horizontal="center"/>
    </xf>
    <xf numFmtId="168" fontId="193" fillId="0" borderId="8" xfId="0" applyNumberFormat="1" applyFont="1" applyFill="1" applyBorder="1" applyAlignment="1">
      <alignment vertical="center"/>
    </xf>
    <xf numFmtId="3" fontId="193" fillId="31" borderId="8" xfId="0" applyNumberFormat="1" applyFont="1" applyFill="1" applyBorder="1" applyAlignment="1">
      <alignment vertical="center"/>
    </xf>
    <xf numFmtId="3" fontId="196" fillId="23" borderId="8" xfId="0" applyNumberFormat="1" applyFont="1" applyFill="1" applyBorder="1" applyAlignment="1">
      <alignment vertical="center"/>
    </xf>
    <xf numFmtId="3" fontId="198" fillId="23" borderId="8" xfId="0" applyNumberFormat="1" applyFont="1" applyFill="1" applyBorder="1" applyAlignment="1">
      <alignment vertical="center"/>
    </xf>
    <xf numFmtId="176" fontId="193" fillId="0" borderId="155" xfId="41" applyNumberFormat="1" applyFont="1" applyFill="1" applyBorder="1" applyAlignment="1">
      <alignment horizontal="center"/>
    </xf>
    <xf numFmtId="0" fontId="166" fillId="0" borderId="62" xfId="0" applyFont="1" applyBorder="1" applyAlignment="1"/>
    <xf numFmtId="176" fontId="188" fillId="0" borderId="156" xfId="41" applyNumberFormat="1" applyFont="1" applyFill="1" applyBorder="1" applyAlignment="1">
      <alignment horizontal="center"/>
    </xf>
    <xf numFmtId="0" fontId="188" fillId="0" borderId="155" xfId="0" applyFont="1" applyFill="1" applyBorder="1" applyAlignment="1">
      <alignment horizontal="left" indent="9"/>
    </xf>
    <xf numFmtId="179" fontId="188" fillId="0" borderId="155" xfId="41" applyNumberFormat="1" applyFont="1" applyFill="1" applyBorder="1" applyAlignment="1">
      <alignment horizontal="center"/>
    </xf>
    <xf numFmtId="176" fontId="188" fillId="0" borderId="156" xfId="41" applyNumberFormat="1" applyFont="1" applyFill="1" applyBorder="1" applyAlignment="1">
      <alignment horizontal="left"/>
    </xf>
    <xf numFmtId="0" fontId="35" fillId="0" borderId="0" xfId="31" applyFont="1" applyAlignment="1">
      <alignment horizontal="center"/>
    </xf>
    <xf numFmtId="0" fontId="96" fillId="0" borderId="0" xfId="31" applyFont="1" applyBorder="1" applyAlignment="1">
      <alignment horizontal="center"/>
    </xf>
    <xf numFmtId="3" fontId="37" fillId="0" borderId="144" xfId="31" applyNumberFormat="1" applyFont="1" applyBorder="1" applyAlignment="1">
      <alignment horizontal="center"/>
    </xf>
    <xf numFmtId="3" fontId="37" fillId="0" borderId="142" xfId="31" applyNumberFormat="1" applyFont="1" applyBorder="1" applyAlignment="1">
      <alignment horizontal="center"/>
    </xf>
    <xf numFmtId="3" fontId="37" fillId="0" borderId="143" xfId="31" applyNumberFormat="1" applyFont="1" applyBorder="1" applyAlignment="1">
      <alignment horizontal="center"/>
    </xf>
    <xf numFmtId="0" fontId="15" fillId="0" borderId="72" xfId="35" applyFont="1" applyFill="1" applyBorder="1" applyAlignment="1">
      <alignment horizontal="center" vertical="center" wrapText="1"/>
    </xf>
    <xf numFmtId="0" fontId="15" fillId="0" borderId="117" xfId="35" applyFont="1" applyFill="1" applyBorder="1" applyAlignment="1">
      <alignment horizontal="center" vertical="center" wrapText="1"/>
    </xf>
    <xf numFmtId="0" fontId="15" fillId="0" borderId="82" xfId="35" applyFont="1" applyFill="1" applyBorder="1" applyAlignment="1">
      <alignment horizontal="center" vertical="center" wrapText="1"/>
    </xf>
    <xf numFmtId="0" fontId="15" fillId="0" borderId="83" xfId="35" applyFont="1" applyFill="1" applyBorder="1" applyAlignment="1">
      <alignment horizontal="center" vertical="center" wrapText="1"/>
    </xf>
    <xf numFmtId="0" fontId="15" fillId="0" borderId="20" xfId="35" applyFont="1" applyFill="1" applyBorder="1" applyAlignment="1">
      <alignment horizontal="center" vertical="center" wrapText="1"/>
    </xf>
    <xf numFmtId="0" fontId="15" fillId="0" borderId="4" xfId="35" applyFont="1" applyFill="1" applyBorder="1" applyAlignment="1">
      <alignment horizontal="center" vertical="center" wrapText="1"/>
    </xf>
    <xf numFmtId="3" fontId="37" fillId="0" borderId="46" xfId="31" applyNumberFormat="1" applyFont="1" applyBorder="1" applyAlignment="1">
      <alignment horizontal="center"/>
    </xf>
    <xf numFmtId="3" fontId="37" fillId="0" borderId="141" xfId="31" applyNumberFormat="1" applyFont="1" applyBorder="1" applyAlignment="1">
      <alignment horizontal="center"/>
    </xf>
    <xf numFmtId="3" fontId="37" fillId="0" borderId="18" xfId="31" applyNumberFormat="1" applyFont="1" applyBorder="1" applyAlignment="1">
      <alignment horizontal="center"/>
    </xf>
    <xf numFmtId="0" fontId="13" fillId="0" borderId="0" xfId="29" applyFont="1" applyAlignment="1">
      <alignment horizontal="center" vertical="center"/>
    </xf>
    <xf numFmtId="0" fontId="35" fillId="0" borderId="0" xfId="29" applyFont="1" applyAlignment="1">
      <alignment horizontal="center" vertical="center"/>
    </xf>
    <xf numFmtId="0" fontId="13" fillId="0" borderId="0" xfId="29" applyFont="1" applyAlignment="1">
      <alignment horizontal="center"/>
    </xf>
    <xf numFmtId="168" fontId="37" fillId="5" borderId="2" xfId="29" applyNumberFormat="1" applyFont="1" applyFill="1" applyBorder="1" applyAlignment="1">
      <alignment horizontal="center" vertical="center" wrapText="1"/>
    </xf>
    <xf numFmtId="0" fontId="3" fillId="0" borderId="10" xfId="29" applyBorder="1" applyAlignment="1">
      <alignment horizontal="center" vertical="center" wrapText="1"/>
    </xf>
    <xf numFmtId="0" fontId="36" fillId="4" borderId="18" xfId="29" quotePrefix="1" applyNumberFormat="1" applyFont="1" applyFill="1" applyBorder="1" applyAlignment="1">
      <alignment horizontal="center" vertical="center"/>
    </xf>
    <xf numFmtId="0" fontId="36" fillId="4" borderId="147" xfId="29" quotePrefix="1" applyNumberFormat="1" applyFont="1" applyFill="1" applyBorder="1" applyAlignment="1">
      <alignment horizontal="center" vertical="center"/>
    </xf>
    <xf numFmtId="0" fontId="36" fillId="4" borderId="67" xfId="29" quotePrefix="1" applyNumberFormat="1" applyFont="1" applyFill="1" applyBorder="1" applyAlignment="1">
      <alignment horizontal="center" vertical="center"/>
    </xf>
    <xf numFmtId="3" fontId="13" fillId="5" borderId="19" xfId="29" applyNumberFormat="1" applyFont="1" applyFill="1" applyBorder="1" applyAlignment="1">
      <alignment horizontal="center" vertical="center"/>
    </xf>
    <xf numFmtId="3" fontId="13" fillId="5" borderId="64" xfId="29" applyNumberFormat="1" applyFont="1" applyFill="1" applyBorder="1" applyAlignment="1">
      <alignment horizontal="center" vertical="center"/>
    </xf>
    <xf numFmtId="3" fontId="13" fillId="5" borderId="54" xfId="29" applyNumberFormat="1" applyFont="1" applyFill="1" applyBorder="1" applyAlignment="1">
      <alignment horizontal="center" vertical="center"/>
    </xf>
    <xf numFmtId="49" fontId="37" fillId="5" borderId="18" xfId="29" applyNumberFormat="1" applyFont="1" applyFill="1" applyBorder="1" applyAlignment="1">
      <alignment horizontal="center" vertical="center"/>
    </xf>
    <xf numFmtId="49" fontId="37" fillId="5" borderId="147" xfId="29" applyNumberFormat="1" applyFont="1" applyFill="1" applyBorder="1" applyAlignment="1">
      <alignment horizontal="center" vertical="center"/>
    </xf>
    <xf numFmtId="49" fontId="37" fillId="5" borderId="67" xfId="29" applyNumberFormat="1" applyFont="1" applyFill="1" applyBorder="1" applyAlignment="1">
      <alignment horizontal="center" vertical="center"/>
    </xf>
    <xf numFmtId="49" fontId="9" fillId="0" borderId="0" xfId="29" applyNumberFormat="1" applyFont="1" applyBorder="1" applyAlignment="1">
      <alignment horizontal="center" vertical="center"/>
    </xf>
    <xf numFmtId="49" fontId="37" fillId="5" borderId="148" xfId="29" applyNumberFormat="1" applyFont="1" applyFill="1" applyBorder="1" applyAlignment="1">
      <alignment horizontal="center" vertical="center"/>
    </xf>
    <xf numFmtId="49" fontId="37" fillId="5" borderId="37" xfId="29" applyNumberFormat="1" applyFont="1" applyFill="1" applyBorder="1" applyAlignment="1">
      <alignment horizontal="center" vertical="center"/>
    </xf>
    <xf numFmtId="0" fontId="37" fillId="5" borderId="145" xfId="29" applyFont="1" applyFill="1" applyBorder="1" applyAlignment="1">
      <alignment horizontal="center" vertical="center"/>
    </xf>
    <xf numFmtId="0" fontId="37" fillId="5" borderId="146" xfId="29" applyFont="1" applyFill="1" applyBorder="1" applyAlignment="1">
      <alignment horizontal="center" vertical="center"/>
    </xf>
    <xf numFmtId="49" fontId="36" fillId="5" borderId="86" xfId="29" quotePrefix="1" applyNumberFormat="1" applyFont="1" applyFill="1" applyBorder="1" applyAlignment="1">
      <alignment horizontal="center" vertical="center"/>
    </xf>
    <xf numFmtId="49" fontId="36" fillId="5" borderId="52" xfId="29" quotePrefix="1" applyNumberFormat="1" applyFont="1" applyFill="1" applyBorder="1" applyAlignment="1">
      <alignment horizontal="center" vertical="center"/>
    </xf>
    <xf numFmtId="3" fontId="13" fillId="5" borderId="145" xfId="29" applyNumberFormat="1" applyFont="1" applyFill="1" applyBorder="1" applyAlignment="1">
      <alignment horizontal="center" vertical="center"/>
    </xf>
    <xf numFmtId="3" fontId="13" fillId="5" borderId="146" xfId="29" applyNumberFormat="1" applyFont="1" applyFill="1" applyBorder="1" applyAlignment="1">
      <alignment horizontal="center" vertical="center"/>
    </xf>
    <xf numFmtId="49" fontId="13" fillId="5" borderId="98" xfId="29" applyNumberFormat="1" applyFont="1" applyFill="1" applyBorder="1" applyAlignment="1">
      <alignment horizontal="center" vertical="center"/>
    </xf>
    <xf numFmtId="49" fontId="13" fillId="5" borderId="57" xfId="29" applyNumberFormat="1" applyFont="1" applyFill="1" applyBorder="1" applyAlignment="1">
      <alignment horizontal="center" vertical="center"/>
    </xf>
    <xf numFmtId="0" fontId="96" fillId="0" borderId="59" xfId="31" applyFont="1" applyBorder="1" applyAlignment="1">
      <alignment horizontal="center"/>
    </xf>
    <xf numFmtId="3" fontId="37" fillId="0" borderId="12" xfId="31" applyNumberFormat="1" applyFont="1" applyBorder="1" applyAlignment="1">
      <alignment horizontal="center"/>
    </xf>
    <xf numFmtId="3" fontId="37" fillId="0" borderId="1" xfId="31" applyNumberFormat="1" applyFont="1" applyBorder="1" applyAlignment="1">
      <alignment horizontal="center"/>
    </xf>
    <xf numFmtId="3" fontId="37" fillId="0" borderId="9" xfId="31" applyNumberFormat="1" applyFont="1" applyBorder="1" applyAlignment="1">
      <alignment horizontal="center"/>
    </xf>
    <xf numFmtId="0" fontId="3" fillId="0" borderId="11" xfId="31" applyFont="1" applyBorder="1" applyAlignment="1">
      <alignment horizontal="center"/>
    </xf>
    <xf numFmtId="0" fontId="3" fillId="0" borderId="8" xfId="31" applyFont="1" applyBorder="1" applyAlignment="1">
      <alignment horizontal="center"/>
    </xf>
    <xf numFmtId="0" fontId="15" fillId="0" borderId="71" xfId="35" applyFont="1" applyFill="1" applyBorder="1" applyAlignment="1">
      <alignment horizontal="center" vertical="center" wrapText="1"/>
    </xf>
    <xf numFmtId="0" fontId="15" fillId="0" borderId="124" xfId="35" applyFont="1" applyFill="1" applyBorder="1" applyAlignment="1">
      <alignment horizontal="center" vertical="center" wrapText="1"/>
    </xf>
    <xf numFmtId="0" fontId="15" fillId="0" borderId="3" xfId="35" applyFont="1" applyFill="1" applyBorder="1" applyAlignment="1">
      <alignment horizontal="center" vertical="center" wrapText="1"/>
    </xf>
    <xf numFmtId="3" fontId="178" fillId="2" borderId="20" xfId="32" applyNumberFormat="1" applyFont="1" applyFill="1" applyBorder="1" applyAlignment="1">
      <alignment horizontal="center" vertical="center"/>
    </xf>
    <xf numFmtId="3" fontId="178" fillId="2" borderId="93" xfId="32" applyNumberFormat="1" applyFont="1" applyFill="1" applyBorder="1" applyAlignment="1">
      <alignment horizontal="center" vertical="center"/>
    </xf>
    <xf numFmtId="0" fontId="53" fillId="0" borderId="58" xfId="33" applyFont="1" applyBorder="1" applyAlignment="1">
      <alignment horizontal="center"/>
    </xf>
    <xf numFmtId="0" fontId="15" fillId="2" borderId="82" xfId="33" applyFont="1" applyFill="1" applyBorder="1" applyAlignment="1">
      <alignment horizontal="center" vertical="center" wrapText="1"/>
    </xf>
    <xf numFmtId="0" fontId="15" fillId="2" borderId="81" xfId="33" applyFont="1" applyFill="1" applyBorder="1" applyAlignment="1">
      <alignment horizontal="center" vertical="center" wrapText="1"/>
    </xf>
    <xf numFmtId="0" fontId="15" fillId="2" borderId="20" xfId="33" applyFont="1" applyFill="1" applyBorder="1" applyAlignment="1">
      <alignment horizontal="center" vertical="center"/>
    </xf>
    <xf numFmtId="0" fontId="15" fillId="2" borderId="21" xfId="33" applyFont="1" applyFill="1" applyBorder="1" applyAlignment="1">
      <alignment horizontal="center" vertical="center"/>
    </xf>
    <xf numFmtId="0" fontId="53" fillId="0" borderId="0" xfId="29" applyFont="1" applyAlignment="1">
      <alignment horizontal="center" vertical="center"/>
    </xf>
    <xf numFmtId="172" fontId="54" fillId="0" borderId="0" xfId="29" applyNumberFormat="1" applyFont="1" applyAlignment="1">
      <alignment horizontal="center" vertical="center"/>
    </xf>
    <xf numFmtId="0" fontId="54" fillId="0" borderId="0" xfId="29" applyFont="1" applyAlignment="1">
      <alignment horizontal="center" vertical="center"/>
    </xf>
    <xf numFmtId="0" fontId="53" fillId="0" borderId="0" xfId="29" applyFont="1" applyAlignment="1">
      <alignment horizontal="center"/>
    </xf>
    <xf numFmtId="0" fontId="64" fillId="0" borderId="0" xfId="0" applyFont="1" applyBorder="1" applyAlignment="1">
      <alignment horizontal="center"/>
    </xf>
    <xf numFmtId="0" fontId="64" fillId="0" borderId="11" xfId="0" applyFont="1" applyBorder="1" applyAlignment="1">
      <alignment horizontal="center"/>
    </xf>
    <xf numFmtId="0" fontId="18" fillId="2" borderId="12" xfId="0" applyFont="1" applyFill="1" applyBorder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15" fillId="0" borderId="59" xfId="0" applyFont="1" applyBorder="1" applyAlignment="1">
      <alignment horizontal="left"/>
    </xf>
    <xf numFmtId="0" fontId="104" fillId="0" borderId="0" xfId="0" applyFont="1" applyAlignment="1">
      <alignment horizontal="center"/>
    </xf>
    <xf numFmtId="17" fontId="54" fillId="0" borderId="60" xfId="13" applyNumberFormat="1" applyFont="1" applyBorder="1" applyAlignment="1" applyProtection="1">
      <alignment horizontal="center" vertical="center" wrapText="1"/>
    </xf>
    <xf numFmtId="0" fontId="54" fillId="0" borderId="61" xfId="13" applyFont="1" applyBorder="1" applyAlignment="1" applyProtection="1">
      <alignment horizontal="center" vertical="center" wrapText="1"/>
    </xf>
    <xf numFmtId="0" fontId="55" fillId="0" borderId="66" xfId="13" applyFont="1" applyBorder="1" applyAlignment="1" applyProtection="1">
      <alignment horizontal="center" vertical="center" wrapText="1"/>
    </xf>
    <xf numFmtId="0" fontId="154" fillId="0" borderId="0" xfId="0" applyFont="1" applyBorder="1" applyAlignment="1">
      <alignment horizontal="center" vertical="top"/>
    </xf>
    <xf numFmtId="0" fontId="154" fillId="0" borderId="58" xfId="0" applyFont="1" applyBorder="1" applyAlignment="1">
      <alignment horizontal="center" vertical="top"/>
    </xf>
    <xf numFmtId="0" fontId="131" fillId="23" borderId="0" xfId="0" applyFont="1" applyFill="1"/>
    <xf numFmtId="0" fontId="130" fillId="23" borderId="0" xfId="0" applyFont="1" applyFill="1"/>
    <xf numFmtId="0" fontId="199" fillId="23" borderId="0" xfId="44" applyFill="1"/>
    <xf numFmtId="0" fontId="200" fillId="23" borderId="0" xfId="44" applyFont="1" applyFill="1"/>
    <xf numFmtId="0" fontId="201" fillId="23" borderId="0" xfId="0" applyFont="1" applyFill="1"/>
    <xf numFmtId="0" fontId="200" fillId="23" borderId="0" xfId="44" quotePrefix="1" applyFont="1" applyFill="1"/>
    <xf numFmtId="0" fontId="202" fillId="23" borderId="0" xfId="44" quotePrefix="1" applyFont="1" applyFill="1"/>
  </cellXfs>
  <cellStyles count="45">
    <cellStyle name="Comma 3" xfId="1"/>
    <cellStyle name="eptembre" xfId="2"/>
    <cellStyle name="Euro" xfId="3"/>
    <cellStyle name="GOVDATA" xfId="4"/>
    <cellStyle name="Hiperligação" xfId="44" builtinId="8"/>
    <cellStyle name="Milliers_rec-01-Abril" xfId="5"/>
    <cellStyle name="Normal" xfId="0" builtinId="0"/>
    <cellStyle name="Normal - Style1" xfId="6"/>
    <cellStyle name="Normal 10" xfId="7"/>
    <cellStyle name="Normal 11" xfId="8"/>
    <cellStyle name="Normal 12" xfId="9"/>
    <cellStyle name="Normal 13" xfId="10"/>
    <cellStyle name="Normal 14" xfId="11"/>
    <cellStyle name="Normal 2" xfId="12"/>
    <cellStyle name="Normal 2 2" xfId="13"/>
    <cellStyle name="Normal 24" xfId="14"/>
    <cellStyle name="Normal 24 3" xfId="15"/>
    <cellStyle name="Normal 3" xfId="16"/>
    <cellStyle name="Normal 4" xfId="17"/>
    <cellStyle name="Normal 5" xfId="18"/>
    <cellStyle name="Normal 5 2" xfId="19"/>
    <cellStyle name="Normal 6" xfId="20"/>
    <cellStyle name="Normal 7" xfId="21"/>
    <cellStyle name="Normal 8" xfId="22"/>
    <cellStyle name="Normal 9" xfId="23"/>
    <cellStyle name="Normal Table" xfId="24"/>
    <cellStyle name="Normal_ARRIE04" xfId="25"/>
    <cellStyle name="Normal_ARRIE04 2" xfId="26"/>
    <cellStyle name="Normal_CAS04" xfId="27"/>
    <cellStyle name="Normal_Classeur2" xfId="28"/>
    <cellStyle name="Normal_FINANÇAS 2004-correcçoes-ultimaII" xfId="29"/>
    <cellStyle name="Normal_FINEX04" xfId="30"/>
    <cellStyle name="Normal_NNO -Desp 2010- 07-06-2011" xfId="31"/>
    <cellStyle name="Normal_QUEST-00-1" xfId="32"/>
    <cellStyle name="Normal_rec-01-Abril" xfId="33"/>
    <cellStyle name="Normal_revisto_execucao2009 Jan Maio" xfId="34"/>
    <cellStyle name="Normal_Sheet1" xfId="35"/>
    <cellStyle name="Normal_Tofe" xfId="36"/>
    <cellStyle name="Numbers(2)" xfId="37"/>
    <cellStyle name="Percentagem" xfId="38" builtinId="5"/>
    <cellStyle name="Porcentagem 2" xfId="39"/>
    <cellStyle name="Publication" xfId="40"/>
    <cellStyle name="Vírgula" xfId="41" builtinId="3"/>
    <cellStyle name="Vírgula 2" xfId="42"/>
    <cellStyle name="Vírgula 3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8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externalLink" Target="externalLinks/externalLink11.xml"/><Relationship Id="rId47" Type="http://schemas.openxmlformats.org/officeDocument/2006/relationships/externalLink" Target="externalLinks/externalLink16.xml"/><Relationship Id="rId50" Type="http://schemas.openxmlformats.org/officeDocument/2006/relationships/externalLink" Target="externalLinks/externalLink19.xml"/><Relationship Id="rId55" Type="http://schemas.openxmlformats.org/officeDocument/2006/relationships/externalLink" Target="externalLinks/externalLink24.xml"/><Relationship Id="rId63" Type="http://schemas.openxmlformats.org/officeDocument/2006/relationships/externalLink" Target="externalLinks/externalLink32.xml"/><Relationship Id="rId68" Type="http://schemas.openxmlformats.org/officeDocument/2006/relationships/externalLink" Target="externalLinks/externalLink37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externalLink" Target="externalLinks/externalLink6.xml"/><Relationship Id="rId40" Type="http://schemas.openxmlformats.org/officeDocument/2006/relationships/externalLink" Target="externalLinks/externalLink9.xml"/><Relationship Id="rId45" Type="http://schemas.openxmlformats.org/officeDocument/2006/relationships/externalLink" Target="externalLinks/externalLink14.xml"/><Relationship Id="rId53" Type="http://schemas.openxmlformats.org/officeDocument/2006/relationships/externalLink" Target="externalLinks/externalLink22.xml"/><Relationship Id="rId58" Type="http://schemas.openxmlformats.org/officeDocument/2006/relationships/externalLink" Target="externalLinks/externalLink27.xml"/><Relationship Id="rId66" Type="http://schemas.openxmlformats.org/officeDocument/2006/relationships/externalLink" Target="externalLinks/externalLink35.xml"/><Relationship Id="rId7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49" Type="http://schemas.openxmlformats.org/officeDocument/2006/relationships/externalLink" Target="externalLinks/externalLink18.xml"/><Relationship Id="rId57" Type="http://schemas.openxmlformats.org/officeDocument/2006/relationships/externalLink" Target="externalLinks/externalLink26.xml"/><Relationship Id="rId61" Type="http://schemas.openxmlformats.org/officeDocument/2006/relationships/externalLink" Target="externalLinks/externalLink30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3.xml"/><Relationship Id="rId52" Type="http://schemas.openxmlformats.org/officeDocument/2006/relationships/externalLink" Target="externalLinks/externalLink21.xml"/><Relationship Id="rId60" Type="http://schemas.openxmlformats.org/officeDocument/2006/relationships/externalLink" Target="externalLinks/externalLink29.xml"/><Relationship Id="rId65" Type="http://schemas.openxmlformats.org/officeDocument/2006/relationships/externalLink" Target="externalLinks/externalLink34.xml"/><Relationship Id="rId7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externalLink" Target="externalLinks/externalLink12.xml"/><Relationship Id="rId48" Type="http://schemas.openxmlformats.org/officeDocument/2006/relationships/externalLink" Target="externalLinks/externalLink17.xml"/><Relationship Id="rId56" Type="http://schemas.openxmlformats.org/officeDocument/2006/relationships/externalLink" Target="externalLinks/externalLink25.xml"/><Relationship Id="rId64" Type="http://schemas.openxmlformats.org/officeDocument/2006/relationships/externalLink" Target="externalLinks/externalLink33.xml"/><Relationship Id="rId69" Type="http://schemas.openxmlformats.org/officeDocument/2006/relationships/externalLink" Target="externalLinks/externalLink38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0.xml"/><Relationship Id="rId72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externalLink" Target="externalLinks/externalLink7.xml"/><Relationship Id="rId46" Type="http://schemas.openxmlformats.org/officeDocument/2006/relationships/externalLink" Target="externalLinks/externalLink15.xml"/><Relationship Id="rId59" Type="http://schemas.openxmlformats.org/officeDocument/2006/relationships/externalLink" Target="externalLinks/externalLink28.xml"/><Relationship Id="rId67" Type="http://schemas.openxmlformats.org/officeDocument/2006/relationships/externalLink" Target="externalLinks/externalLink36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0.xml"/><Relationship Id="rId54" Type="http://schemas.openxmlformats.org/officeDocument/2006/relationships/externalLink" Target="externalLinks/externalLink23.xml"/><Relationship Id="rId62" Type="http://schemas.openxmlformats.org/officeDocument/2006/relationships/externalLink" Target="externalLinks/externalLink31.xml"/><Relationship Id="rId70" Type="http://schemas.openxmlformats.org/officeDocument/2006/relationships/externalLink" Target="externalLinks/externalLink3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7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543620808"/>
        <c:axId val="543622768"/>
        <c:axId val="0"/>
      </c:bar3DChart>
      <c:catAx>
        <c:axId val="543620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227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54362276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20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7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543621984"/>
        <c:axId val="543622376"/>
        <c:axId val="0"/>
      </c:bar3DChart>
      <c:catAx>
        <c:axId val="54362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22376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5436223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21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7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543621200"/>
        <c:axId val="543623160"/>
        <c:axId val="0"/>
      </c:bar3DChart>
      <c:catAx>
        <c:axId val="543621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2316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5436231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21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Demonstração Gráfica das Receitas </a:t>
            </a:r>
            <a:r>
              <a:rPr lang="pt-PT" sz="1275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TOTAL DGCI 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- (Bissau/Regiões e Bairros Fiscais) - Ano 2001</a:t>
            </a:r>
          </a:p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Clarendon Condensed"/>
                <a:cs typeface="Arial"/>
              </a:rPr>
              <a:t>Dados até 27/04/2001</a:t>
            </a:r>
            <a:r>
              <a:rPr lang="pt-PT" sz="1275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)</a:t>
            </a:r>
          </a:p>
        </c:rich>
      </c:tx>
      <c:layout>
        <c:manualLayout>
          <c:xMode val="edge"/>
          <c:yMode val="edge"/>
          <c:x val="0.13323982043228241"/>
          <c:y val="2.8813443774073886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20"/>
      <c:depthPercent val="100"/>
      <c:rAngAx val="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sideWall>
    <c:backWall>
      <c:thickness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7.1528751753155678E-2"/>
          <c:y val="0.17095603579894644"/>
          <c:w val="0.90883590462833164"/>
          <c:h val="0.7408094884621047"/>
        </c:manualLayout>
      </c:layout>
      <c:bar3DChart>
        <c:barDir val="col"/>
        <c:grouping val="clustered"/>
        <c:varyColors val="0"/>
        <c:ser>
          <c:idx val="0"/>
          <c:order val="0"/>
          <c:tx>
            <c:v>Jan</c:v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9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"/>
          <c:order val="1"/>
          <c:tx>
            <c:v>Feb</c:v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2"/>
          <c:order val="2"/>
          <c:tx>
            <c:v>Mar</c:v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3"/>
          <c:order val="3"/>
          <c:tx>
            <c:v>Apr</c:v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4"/>
          <c:order val="4"/>
          <c:tx>
            <c:v>May</c:v>
          </c:tx>
          <c:spPr>
            <a:solidFill>
              <a:srgbClr val="6600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5"/>
          <c:order val="5"/>
          <c:tx>
            <c:v>Jun</c:v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6"/>
          <c:order val="6"/>
          <c:tx>
            <c:v>Jul</c:v>
          </c:tx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7"/>
          <c:order val="7"/>
          <c:tx>
            <c:v>Aug</c:v>
          </c:tx>
          <c:spPr>
            <a:solidFill>
              <a:srgbClr val="CC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8"/>
          <c:order val="8"/>
          <c:tx>
            <c:v>Sep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9"/>
          <c:order val="9"/>
          <c:tx>
            <c:v>Oct</c:v>
          </c:tx>
          <c:spPr>
            <a:solidFill>
              <a:srgbClr val="FF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0"/>
          <c:order val="10"/>
          <c:tx>
            <c:v>Nov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ser>
          <c:idx val="11"/>
          <c:order val="11"/>
          <c:tx>
            <c:v>Dec</c:v>
          </c:tx>
          <c:spPr>
            <a:solidFill>
              <a:srgbClr val="00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lang="pt-PT"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pt-PT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shape val="pyramid"/>
        <c:axId val="543614536"/>
        <c:axId val="543615320"/>
        <c:axId val="0"/>
      </c:bar3DChart>
      <c:catAx>
        <c:axId val="543614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1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15320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543615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pt-PT"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t-PT"/>
          </a:p>
        </c:txPr>
        <c:crossAx val="543614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t-PT"/>
    </a:p>
  </c:txPr>
  <c:printSettings>
    <c:headerFooter alignWithMargins="0"/>
    <c:pageMargins b="1" l="0.75000000000000278" r="0.75000000000000278" t="1" header="0" footer="0"/>
    <c:pageSetup/>
  </c:printSettings>
</c:chartSpace>
</file>

<file path=xl/ctrlProps/ctrlProp1.xml><?xml version="1.0" encoding="utf-8"?>
<formControlPr xmlns="http://schemas.microsoft.com/office/spreadsheetml/2009/9/main" objectType="CheckBox" fmlaLink="#REF!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NULL"/><Relationship Id="rId1" Type="http://schemas.openxmlformats.org/officeDocument/2006/relationships/chart" Target="../charts/chart1.xml"/><Relationship Id="rId5" Type="http://schemas.openxmlformats.org/officeDocument/2006/relationships/chart" Target="../charts/chart4.xml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2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31820" y="99060"/>
          <a:ext cx="7162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3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31820" y="99060"/>
          <a:ext cx="7162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4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31820" y="99060"/>
          <a:ext cx="7162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2514600</xdr:colOff>
      <xdr:row>0</xdr:row>
      <xdr:rowOff>99060</xdr:rowOff>
    </xdr:from>
    <xdr:to>
      <xdr:col>3</xdr:col>
      <xdr:colOff>38100</xdr:colOff>
      <xdr:row>3</xdr:row>
      <xdr:rowOff>121920</xdr:rowOff>
    </xdr:to>
    <xdr:pic>
      <xdr:nvPicPr>
        <xdr:cNvPr id="27191395" name="Picture 2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3131820" y="99060"/>
          <a:ext cx="716280" cy="5257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18308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18308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8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8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8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183087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183088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89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90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91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18309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18309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9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9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9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183097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183098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099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100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183101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18310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18310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2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2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2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290627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290628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29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30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31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290632" name="Line 1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290633" name="Line 2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34" name="Line 3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35" name="Line 4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36" name="Line 5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60960</xdr:colOff>
      <xdr:row>4</xdr:row>
      <xdr:rowOff>0</xdr:rowOff>
    </xdr:from>
    <xdr:to>
      <xdr:col>5</xdr:col>
      <xdr:colOff>60960</xdr:colOff>
      <xdr:row>4</xdr:row>
      <xdr:rowOff>0</xdr:rowOff>
    </xdr:to>
    <xdr:sp macro="" textlink="">
      <xdr:nvSpPr>
        <xdr:cNvPr id="27290637" name="Line 7"/>
        <xdr:cNvSpPr>
          <a:spLocks noChangeShapeType="1"/>
        </xdr:cNvSpPr>
      </xdr:nvSpPr>
      <xdr:spPr bwMode="auto">
        <a:xfrm>
          <a:off x="31623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38" name="Line 8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39" name="Line 9"/>
        <xdr:cNvSpPr>
          <a:spLocks noChangeShapeType="1"/>
        </xdr:cNvSpPr>
      </xdr:nvSpPr>
      <xdr:spPr bwMode="auto">
        <a:xfrm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4</xdr:row>
      <xdr:rowOff>0</xdr:rowOff>
    </xdr:from>
    <xdr:to>
      <xdr:col>7</xdr:col>
      <xdr:colOff>0</xdr:colOff>
      <xdr:row>4</xdr:row>
      <xdr:rowOff>0</xdr:rowOff>
    </xdr:to>
    <xdr:sp macro="" textlink="">
      <xdr:nvSpPr>
        <xdr:cNvPr id="27290640" name="Line 10"/>
        <xdr:cNvSpPr>
          <a:spLocks noChangeShapeType="1"/>
        </xdr:cNvSpPr>
      </xdr:nvSpPr>
      <xdr:spPr bwMode="auto">
        <a:xfrm flipV="1">
          <a:off x="514350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4</xdr:row>
      <xdr:rowOff>0</xdr:rowOff>
    </xdr:from>
    <xdr:to>
      <xdr:col>5</xdr:col>
      <xdr:colOff>0</xdr:colOff>
      <xdr:row>4</xdr:row>
      <xdr:rowOff>0</xdr:rowOff>
    </xdr:to>
    <xdr:sp macro="" textlink="">
      <xdr:nvSpPr>
        <xdr:cNvPr id="27290641" name="Line 6"/>
        <xdr:cNvSpPr>
          <a:spLocks noChangeShapeType="1"/>
        </xdr:cNvSpPr>
      </xdr:nvSpPr>
      <xdr:spPr bwMode="auto">
        <a:xfrm>
          <a:off x="3101340" y="47244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17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19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0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1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27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28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29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0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1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4" name="Line 3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5" name="Line 4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6" name="Line 5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2</xdr:row>
      <xdr:rowOff>0</xdr:rowOff>
    </xdr:from>
    <xdr:to>
      <xdr:col>6</xdr:col>
      <xdr:colOff>60960</xdr:colOff>
      <xdr:row>2</xdr:row>
      <xdr:rowOff>0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642366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8" name="Line 8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39" name="Line 9"/>
        <xdr:cNvSpPr>
          <a:spLocks noChangeShapeType="1"/>
        </xdr:cNvSpPr>
      </xdr:nvSpPr>
      <xdr:spPr bwMode="auto">
        <a:xfrm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2</xdr:row>
      <xdr:rowOff>0</xdr:rowOff>
    </xdr:from>
    <xdr:to>
      <xdr:col>8</xdr:col>
      <xdr:colOff>0</xdr:colOff>
      <xdr:row>2</xdr:row>
      <xdr:rowOff>0</xdr:rowOff>
    </xdr:to>
    <xdr:sp macro="" textlink="">
      <xdr:nvSpPr>
        <xdr:cNvPr id="40" name="Line 10"/>
        <xdr:cNvSpPr>
          <a:spLocks noChangeShapeType="1"/>
        </xdr:cNvSpPr>
      </xdr:nvSpPr>
      <xdr:spPr bwMode="auto">
        <a:xfrm flipV="1">
          <a:off x="9410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2</xdr:row>
      <xdr:rowOff>0</xdr:rowOff>
    </xdr:from>
    <xdr:to>
      <xdr:col>6</xdr:col>
      <xdr:colOff>0</xdr:colOff>
      <xdr:row>2</xdr:row>
      <xdr:rowOff>0</xdr:rowOff>
    </xdr:to>
    <xdr:sp macro="" textlink="">
      <xdr:nvSpPr>
        <xdr:cNvPr id="41" name="Line 6"/>
        <xdr:cNvSpPr>
          <a:spLocks noChangeShapeType="1"/>
        </xdr:cNvSpPr>
      </xdr:nvSpPr>
      <xdr:spPr bwMode="auto">
        <a:xfrm>
          <a:off x="6362700" y="1085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2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3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4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7</xdr:col>
      <xdr:colOff>731520</xdr:colOff>
      <xdr:row>0</xdr:row>
      <xdr:rowOff>160020</xdr:rowOff>
    </xdr:from>
    <xdr:to>
      <xdr:col>8</xdr:col>
      <xdr:colOff>411480</xdr:colOff>
      <xdr:row>3</xdr:row>
      <xdr:rowOff>160020</xdr:rowOff>
    </xdr:to>
    <xdr:pic>
      <xdr:nvPicPr>
        <xdr:cNvPr id="27106485" name="Picture 1" descr="logogb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69380" y="160020"/>
          <a:ext cx="594360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0</xdr:row>
          <xdr:rowOff>0</xdr:rowOff>
        </xdr:from>
        <xdr:to>
          <xdr:col>17</xdr:col>
          <xdr:colOff>171450</xdr:colOff>
          <xdr:row>2</xdr:row>
          <xdr:rowOff>85725</xdr:rowOff>
        </xdr:to>
        <xdr:sp macro="" textlink="">
          <xdr:nvSpPr>
            <xdr:cNvPr id="12290" name="Check Box 2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00" mc:Ignorable="a14" a14:legacySpreadsheetColorIndex="13"/>
            </a:solidFill>
            <a:ln w="317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4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4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5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5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5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24</xdr:col>
      <xdr:colOff>441960</xdr:colOff>
      <xdr:row>7</xdr:row>
      <xdr:rowOff>0</xdr:rowOff>
    </xdr:from>
    <xdr:to>
      <xdr:col>34</xdr:col>
      <xdr:colOff>419100</xdr:colOff>
      <xdr:row>36</xdr:row>
      <xdr:rowOff>144780</xdr:rowOff>
    </xdr:to>
    <xdr:graphicFrame macro="">
      <xdr:nvGraphicFramePr>
        <xdr:cNvPr id="2715265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624840</xdr:colOff>
      <xdr:row>3</xdr:row>
      <xdr:rowOff>152400</xdr:rowOff>
    </xdr:from>
    <xdr:to>
      <xdr:col>8</xdr:col>
      <xdr:colOff>60960</xdr:colOff>
      <xdr:row>4</xdr:row>
      <xdr:rowOff>342900</xdr:rowOff>
    </xdr:to>
    <xdr:pic>
      <xdr:nvPicPr>
        <xdr:cNvPr id="2715265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6728460" y="731520"/>
          <a:ext cx="82296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7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8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9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0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1" name="Line 10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1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1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17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18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19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0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1" name="Line 10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2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2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27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28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29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0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1" name="Line 10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32" name="Line 1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33" name="Line 2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4" name="Line 3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5" name="Line 4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6" name="Line 5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60960</xdr:colOff>
      <xdr:row>4</xdr:row>
      <xdr:rowOff>0</xdr:rowOff>
    </xdr:from>
    <xdr:to>
      <xdr:col>6</xdr:col>
      <xdr:colOff>60960</xdr:colOff>
      <xdr:row>4</xdr:row>
      <xdr:rowOff>0</xdr:rowOff>
    </xdr:to>
    <xdr:sp macro="" textlink="">
      <xdr:nvSpPr>
        <xdr:cNvPr id="37" name="Line 7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8" name="Line 8"/>
        <xdr:cNvSpPr>
          <a:spLocks noChangeShapeType="1"/>
        </xdr:cNvSpPr>
      </xdr:nvSpPr>
      <xdr:spPr bwMode="auto">
        <a:xfrm flipV="1"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4</xdr:row>
      <xdr:rowOff>0</xdr:rowOff>
    </xdr:from>
    <xdr:to>
      <xdr:col>8</xdr:col>
      <xdr:colOff>0</xdr:colOff>
      <xdr:row>4</xdr:row>
      <xdr:rowOff>0</xdr:rowOff>
    </xdr:to>
    <xdr:sp macro="" textlink="">
      <xdr:nvSpPr>
        <xdr:cNvPr id="39" name="Line 9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1776284</xdr:colOff>
      <xdr:row>4</xdr:row>
      <xdr:rowOff>25743</xdr:rowOff>
    </xdr:from>
    <xdr:to>
      <xdr:col>7</xdr:col>
      <xdr:colOff>1776284</xdr:colOff>
      <xdr:row>4</xdr:row>
      <xdr:rowOff>25743</xdr:rowOff>
    </xdr:to>
    <xdr:sp macro="" textlink="">
      <xdr:nvSpPr>
        <xdr:cNvPr id="40" name="Line 10"/>
        <xdr:cNvSpPr>
          <a:spLocks noChangeShapeType="1"/>
        </xdr:cNvSpPr>
      </xdr:nvSpPr>
      <xdr:spPr bwMode="auto">
        <a:xfrm flipV="1">
          <a:off x="13566689" y="1544594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6</xdr:col>
      <xdr:colOff>0</xdr:colOff>
      <xdr:row>4</xdr:row>
      <xdr:rowOff>0</xdr:rowOff>
    </xdr:to>
    <xdr:sp macro="" textlink="">
      <xdr:nvSpPr>
        <xdr:cNvPr id="41" name="Line 6"/>
        <xdr:cNvSpPr>
          <a:spLocks noChangeShapeType="1"/>
        </xdr:cNvSpPr>
      </xdr:nvSpPr>
      <xdr:spPr bwMode="auto">
        <a:xfrm>
          <a:off x="13811250" y="552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workfiles\STA-ins\NGCPI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EWSDATA\NGA\NGA_RE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NBFIS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Users\DChungu\My%20Documents\GNB-Mission\GNB-GE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GERAL/TODOS/TOFE-Relat&#243;rios%20e%20os%20respectivos/2018/Infor.%20TOFE%202018/julho%20%202018/PNT%20-%20Junho2018%20(2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GNB\EXCEL\SR00-2\Dec00\Gwmony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validServer\InvalidShare\bud96_200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ocs\O-DRIVE\JM\BEN\HIPC\excelfiles\with%20libya\BN-DSA-Kad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Briefs&amp;Missions\GNBDEB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BOP9703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Briefs&amp;Missions\Post%20Mar%2004%20Mission%20Files\Plan%20Tresorerie%20Mar%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NGA\workfiles\NGA-real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ida-Sen-delivery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DEBT9703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ocuments%20and%20Settings\PLAPORTE\My%20Local%20Documents\PIERRE'S%20DOCS\oct2002mission\outputDec3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WIN\TEMP\ZMB%20DSARept%20GA2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My%20Documents\Temp\BurkinaFaso\premission\DSARept2_kk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Personal\Chad\Doc\DSA-Tables_June15version2,%20updated%20June%202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FTYABA\My%20Local%20Documents\Guinea%20bissau\Debt\ARQUIVOS\EXCEL\GNBDET9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AppData/Local/Microsoft/Windows/INetCache/IE/KA3YXUQF/execucao%202019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New%20folder%20(2)/TOF%20MEFP/Tofe%20006-018/TOFE-UEMOA-%20Dez.%202018%20Prov.18.04.2019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Roaming/Microsoft/Excel/PNT%20%20-%20Dez.%20-%202019.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EXCEL\WORK\RED\GBRED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FOLHA%20DE%20CALCULO%202019%20final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PNT%20%20-%20Out.%20a%20Dez.%202018.09.01.2019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C&#243;pia%20de%20PNT%20%20-%20Dez.%20-%202019%20James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AppData/Roaming/Microsoft/Excel/PNT%20%20-%20Dez.%20-%202019%20(version%202)%20(version%201)%20-%20Vers&#227;o%20BG%20Bald&#233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CONJUNTURA/TOFE-UEMOA-%20Dez%202019%20Prov.21.02.202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esktop/GERAL/TODOS/TOFE-Relat&#243;rios%20e%20os%20respectivos/2019/Infor.%20TOFE%202019/junho%202019/EXECU&#199;&#195;O%20DO%201%20E%202%20%20TRIMESTRE%202019%20(1)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INTERNA%2019-20\PAGAMENTO%202019%20INT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C/Desktop/CONJUNTURA/2020/EXTERNA%2019-20/PAGAMENTO%20%202019%20EXT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/Downloads/Tofe2019/dez%202019/RESTO%20PAGAR%20060220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STO%20PAGAR%200602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GNB\Briefs&amp;Missions\TablesMissnNov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joe\Guinea%20Bissau\Guinea-Bissau\Guinea%20Bissau_mdb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WIN\TEMP\Cam_IDAassis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TEMP\DSAtblEmily02-0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DATA\SEN\Bopfiles\SNBOPlas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AFR\Cameroon\DSA\Cam_Relief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  <sheetName val="Receitas por entidade"/>
      <sheetName val="NGCPI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/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/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/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/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/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/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Parallel"/>
      <sheetName val="Nominal"/>
      <sheetName val="Sheet1"/>
      <sheetName val="Sheet2"/>
      <sheetName val="Sheet3"/>
      <sheetName val="Panel1"/>
      <sheetName val="Table1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Nigeria</v>
          </cell>
          <cell r="B2">
            <v>694</v>
          </cell>
          <cell r="K2" t="str">
            <v>IcccPCPIN</v>
          </cell>
          <cell r="M2">
            <v>28856</v>
          </cell>
          <cell r="N2">
            <v>36982</v>
          </cell>
          <cell r="O2">
            <v>1990</v>
          </cell>
          <cell r="P2">
            <v>1990</v>
          </cell>
          <cell r="AA2" t="str">
            <v>ERI</v>
          </cell>
          <cell r="AB2" t="b">
            <v>0</v>
          </cell>
        </row>
        <row r="3">
          <cell r="AA3" t="str">
            <v>PCPI</v>
          </cell>
          <cell r="AB3" t="b">
            <v>0</v>
          </cell>
        </row>
        <row r="4">
          <cell r="AA4" t="str">
            <v>PCPISA</v>
          </cell>
          <cell r="AB4" t="b">
            <v>0</v>
          </cell>
        </row>
        <row r="5">
          <cell r="AA5" t="str">
            <v>ENEER</v>
          </cell>
          <cell r="AB5" t="b">
            <v>0</v>
          </cell>
        </row>
        <row r="6">
          <cell r="AA6" t="str">
            <v>EREER</v>
          </cell>
          <cell r="AB6" t="b">
            <v>0</v>
          </cell>
        </row>
        <row r="7">
          <cell r="AA7" t="str">
            <v>PRPI</v>
          </cell>
          <cell r="AB7" t="b">
            <v>0</v>
          </cell>
        </row>
      </sheetData>
      <sheetData sheetId="6" refreshError="1"/>
      <sheetData sheetId="7" refreshError="1">
        <row r="2">
          <cell r="B2" t="str">
            <v>AFR</v>
          </cell>
        </row>
        <row r="4">
          <cell r="A4" t="str">
            <v>INDEX: 1990 = 100</v>
          </cell>
        </row>
        <row r="6">
          <cell r="A6" t="str">
            <v>Nigeria(694)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-HUB"/>
      <sheetName val="Out-HUB"/>
      <sheetName val="Assmpt"/>
      <sheetName val="TOFE-monthly"/>
      <sheetName val="TOFE-SR"/>
      <sheetName val="Exp.-hist"/>
      <sheetName val="Exp.(w)"/>
      <sheetName val="BCEAO-IntAmortPens"/>
      <sheetName val="Rev.(w)"/>
      <sheetName val="ExtDebt"/>
      <sheetName val="PNG"/>
      <sheetName val="Grants"/>
      <sheetName val="CshFlw"/>
      <sheetName val="CshFlw(value)"/>
      <sheetName val="WETA Data"/>
      <sheetName val="Arrears (w)"/>
      <sheetName val="QGFEoutcome"/>
      <sheetName val="Gwcivilservants"/>
      <sheetName val="OUT-Wagebill"/>
      <sheetName val="GwWageoutput"/>
      <sheetName val="TOFE-hist"/>
      <sheetName val="Rev.-h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Annual"/>
      <sheetName val="Quarterly"/>
      <sheetName val="Weights"/>
      <sheetName val="A Current Data"/>
      <sheetName val="A Previous Data"/>
      <sheetName val="Q Current Data"/>
      <sheetName val="Q Previous Data"/>
      <sheetName val="Weights Data"/>
      <sheetName val="Compare (Non-Euro)"/>
      <sheetName val="Annual (Non-Euro)"/>
      <sheetName val="Quarterly (Non-Euro)"/>
      <sheetName val="Weights (Non-Euro)"/>
      <sheetName val="A Current Data (Non-Euro)"/>
      <sheetName val="A Previous Data (Non-Euro)"/>
      <sheetName val="Q Current Data (Non-Euro)"/>
      <sheetName val="Q Previous Data (Non-Euro)"/>
      <sheetName val="Weights Data (Non-Euro)"/>
      <sheetName val="ControlShee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>
        <row r="60">
          <cell r="D60" t="str">
            <v>S2003START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>
        <row r="2">
          <cell r="A2" t="str">
            <v>Data Emissao</v>
          </cell>
          <cell r="B2" t="str">
            <v>Data Vencimento</v>
          </cell>
          <cell r="C2" t="str">
            <v>Pais do Comprador</v>
          </cell>
          <cell r="E2" t="str">
            <v>Montante</v>
          </cell>
        </row>
        <row r="3">
          <cell r="A3">
            <v>42201</v>
          </cell>
          <cell r="B3">
            <v>42566</v>
          </cell>
          <cell r="C3" t="str">
            <v>BURKINA FASO</v>
          </cell>
          <cell r="E3">
            <v>3000000000</v>
          </cell>
        </row>
        <row r="4">
          <cell r="A4">
            <v>42201</v>
          </cell>
          <cell r="B4">
            <v>42566</v>
          </cell>
          <cell r="C4" t="str">
            <v>BENIN</v>
          </cell>
          <cell r="E4">
            <v>1500000000</v>
          </cell>
        </row>
        <row r="5">
          <cell r="A5">
            <v>42201</v>
          </cell>
          <cell r="B5">
            <v>42566</v>
          </cell>
          <cell r="C5" t="str">
            <v>COTE D'IVOIRE</v>
          </cell>
          <cell r="E5">
            <v>1000000000</v>
          </cell>
        </row>
        <row r="6">
          <cell r="A6">
            <v>42201</v>
          </cell>
          <cell r="B6">
            <v>42566</v>
          </cell>
          <cell r="C6" t="str">
            <v>GUINE-BISSAU</v>
          </cell>
          <cell r="E6">
            <v>1000000000</v>
          </cell>
        </row>
        <row r="7">
          <cell r="A7">
            <v>42201</v>
          </cell>
          <cell r="B7">
            <v>42566</v>
          </cell>
          <cell r="C7" t="str">
            <v>MALI</v>
          </cell>
          <cell r="E7">
            <v>1000000000</v>
          </cell>
        </row>
        <row r="8">
          <cell r="A8">
            <v>42201</v>
          </cell>
          <cell r="B8">
            <v>42566</v>
          </cell>
          <cell r="C8" t="str">
            <v>NIGER</v>
          </cell>
          <cell r="E8">
            <v>1000000000</v>
          </cell>
        </row>
        <row r="9">
          <cell r="A9">
            <v>42201</v>
          </cell>
          <cell r="B9">
            <v>42566</v>
          </cell>
          <cell r="C9" t="str">
            <v>SENEGAL</v>
          </cell>
          <cell r="E9">
            <v>1000000000</v>
          </cell>
        </row>
        <row r="10">
          <cell r="A10">
            <v>42201</v>
          </cell>
          <cell r="B10">
            <v>42566</v>
          </cell>
          <cell r="C10" t="str">
            <v>BURKINA FASO</v>
          </cell>
          <cell r="E10">
            <v>1500000000</v>
          </cell>
        </row>
        <row r="11">
          <cell r="A11">
            <v>42489</v>
          </cell>
          <cell r="B11">
            <v>42671</v>
          </cell>
          <cell r="C11" t="str">
            <v>Guine-Bissau</v>
          </cell>
          <cell r="E11">
            <v>5000000000</v>
          </cell>
        </row>
        <row r="12">
          <cell r="A12">
            <v>42489</v>
          </cell>
          <cell r="B12">
            <v>42671</v>
          </cell>
          <cell r="C12" t="str">
            <v>Burkina Faso</v>
          </cell>
          <cell r="E12">
            <v>3000000000</v>
          </cell>
        </row>
        <row r="13">
          <cell r="A13">
            <v>42489</v>
          </cell>
          <cell r="B13">
            <v>42671</v>
          </cell>
          <cell r="C13" t="str">
            <v>COTE D'IVOIRE</v>
          </cell>
          <cell r="E13">
            <v>5000000000</v>
          </cell>
        </row>
        <row r="14">
          <cell r="A14">
            <v>42108</v>
          </cell>
          <cell r="B14">
            <v>42836</v>
          </cell>
          <cell r="C14" t="str">
            <v>Benin</v>
          </cell>
          <cell r="E14">
            <v>500000000</v>
          </cell>
        </row>
        <row r="15">
          <cell r="A15">
            <v>42108</v>
          </cell>
          <cell r="B15">
            <v>42836</v>
          </cell>
          <cell r="C15" t="str">
            <v>Benin</v>
          </cell>
          <cell r="E15">
            <v>500000000</v>
          </cell>
        </row>
        <row r="16">
          <cell r="A16">
            <v>42108</v>
          </cell>
          <cell r="B16">
            <v>42836</v>
          </cell>
          <cell r="C16" t="str">
            <v>Benin</v>
          </cell>
          <cell r="E16">
            <v>500000000</v>
          </cell>
        </row>
        <row r="17">
          <cell r="A17">
            <v>42108</v>
          </cell>
          <cell r="B17">
            <v>42836</v>
          </cell>
          <cell r="C17" t="str">
            <v>Benin</v>
          </cell>
          <cell r="E17">
            <v>500000000</v>
          </cell>
        </row>
        <row r="18">
          <cell r="A18">
            <v>42108</v>
          </cell>
          <cell r="B18">
            <v>42836</v>
          </cell>
          <cell r="C18" t="str">
            <v>Burkina Faso</v>
          </cell>
          <cell r="E18">
            <v>2000000000</v>
          </cell>
        </row>
        <row r="19">
          <cell r="A19">
            <v>42108</v>
          </cell>
          <cell r="B19">
            <v>42836</v>
          </cell>
          <cell r="C19" t="str">
            <v>Guine-Bissau</v>
          </cell>
          <cell r="E19">
            <v>675000000</v>
          </cell>
        </row>
        <row r="20">
          <cell r="A20">
            <v>42108</v>
          </cell>
          <cell r="B20">
            <v>42836</v>
          </cell>
          <cell r="C20" t="str">
            <v>Guine-Bissau</v>
          </cell>
          <cell r="E20">
            <v>675000000</v>
          </cell>
        </row>
        <row r="21">
          <cell r="A21">
            <v>42108</v>
          </cell>
          <cell r="B21">
            <v>42836</v>
          </cell>
          <cell r="C21" t="str">
            <v>Guine-Bissau</v>
          </cell>
          <cell r="E21">
            <v>675000000</v>
          </cell>
        </row>
        <row r="22">
          <cell r="A22">
            <v>42108</v>
          </cell>
          <cell r="B22">
            <v>42836</v>
          </cell>
          <cell r="C22" t="str">
            <v>Guine-Bissau</v>
          </cell>
          <cell r="E22">
            <v>675000000</v>
          </cell>
        </row>
        <row r="23">
          <cell r="A23">
            <v>42108</v>
          </cell>
          <cell r="B23">
            <v>42836</v>
          </cell>
          <cell r="C23" t="str">
            <v>Guine-Bissau</v>
          </cell>
          <cell r="E23">
            <v>675000000</v>
          </cell>
        </row>
        <row r="24">
          <cell r="A24">
            <v>42108</v>
          </cell>
          <cell r="B24">
            <v>42836</v>
          </cell>
          <cell r="C24" t="str">
            <v>Guine-Bissau</v>
          </cell>
          <cell r="E24">
            <v>675000000</v>
          </cell>
        </row>
        <row r="25">
          <cell r="A25">
            <v>42108</v>
          </cell>
          <cell r="B25">
            <v>42836</v>
          </cell>
          <cell r="C25" t="str">
            <v>Guine-Bissau</v>
          </cell>
          <cell r="E25">
            <v>675000000</v>
          </cell>
        </row>
        <row r="26">
          <cell r="A26">
            <v>42108</v>
          </cell>
          <cell r="B26">
            <v>42836</v>
          </cell>
          <cell r="C26" t="str">
            <v>Guine-Bissau</v>
          </cell>
          <cell r="E26">
            <v>675000000</v>
          </cell>
        </row>
        <row r="27">
          <cell r="A27">
            <v>42108</v>
          </cell>
          <cell r="B27">
            <v>42836</v>
          </cell>
          <cell r="C27" t="str">
            <v>Guine-Bissau</v>
          </cell>
          <cell r="E27">
            <v>675000000</v>
          </cell>
        </row>
        <row r="28">
          <cell r="A28">
            <v>42108</v>
          </cell>
          <cell r="B28">
            <v>42836</v>
          </cell>
          <cell r="C28" t="str">
            <v>Guine-Bissau</v>
          </cell>
          <cell r="E28">
            <v>650000000</v>
          </cell>
        </row>
        <row r="29">
          <cell r="A29">
            <v>42108</v>
          </cell>
          <cell r="B29">
            <v>42836</v>
          </cell>
          <cell r="C29" t="str">
            <v>Guine-Bissau</v>
          </cell>
          <cell r="E29">
            <v>200000000</v>
          </cell>
        </row>
        <row r="30">
          <cell r="A30">
            <v>42108</v>
          </cell>
          <cell r="B30">
            <v>42836</v>
          </cell>
          <cell r="C30" t="str">
            <v>Guine-Bissau</v>
          </cell>
          <cell r="E30">
            <v>475000000</v>
          </cell>
        </row>
        <row r="31">
          <cell r="A31">
            <v>42108</v>
          </cell>
          <cell r="B31">
            <v>42836</v>
          </cell>
          <cell r="C31" t="str">
            <v>Guine-Bissau</v>
          </cell>
          <cell r="E31">
            <v>250000000</v>
          </cell>
        </row>
        <row r="32">
          <cell r="A32">
            <v>42108</v>
          </cell>
          <cell r="B32">
            <v>42836</v>
          </cell>
          <cell r="C32" t="str">
            <v>Guine-Bissau</v>
          </cell>
          <cell r="E32">
            <v>250000000</v>
          </cell>
        </row>
        <row r="33">
          <cell r="A33">
            <v>42108</v>
          </cell>
          <cell r="B33">
            <v>42836</v>
          </cell>
          <cell r="C33" t="str">
            <v>Niger</v>
          </cell>
          <cell r="E33">
            <v>50000000</v>
          </cell>
        </row>
        <row r="34">
          <cell r="A34">
            <v>42108</v>
          </cell>
          <cell r="B34">
            <v>42836</v>
          </cell>
          <cell r="C34" t="str">
            <v>Niger</v>
          </cell>
          <cell r="E34">
            <v>50000000</v>
          </cell>
        </row>
        <row r="35">
          <cell r="A35">
            <v>42108</v>
          </cell>
          <cell r="B35">
            <v>42836</v>
          </cell>
          <cell r="C35" t="str">
            <v>Senegal</v>
          </cell>
          <cell r="E35">
            <v>1000000000</v>
          </cell>
        </row>
        <row r="36">
          <cell r="A36">
            <v>42108</v>
          </cell>
          <cell r="B36">
            <v>42836</v>
          </cell>
          <cell r="C36" t="str">
            <v>Senegal</v>
          </cell>
          <cell r="E36">
            <v>1000000000</v>
          </cell>
        </row>
        <row r="37">
          <cell r="A37">
            <v>42108</v>
          </cell>
          <cell r="B37">
            <v>42836</v>
          </cell>
          <cell r="C37" t="str">
            <v>Senegal</v>
          </cell>
          <cell r="E37">
            <v>1000000000</v>
          </cell>
        </row>
        <row r="38">
          <cell r="A38">
            <v>42836</v>
          </cell>
          <cell r="B38">
            <v>43017</v>
          </cell>
          <cell r="C38" t="str">
            <v>MALI</v>
          </cell>
          <cell r="E38">
            <v>72000000</v>
          </cell>
        </row>
        <row r="39">
          <cell r="A39">
            <v>42836</v>
          </cell>
          <cell r="B39">
            <v>43017</v>
          </cell>
          <cell r="C39" t="str">
            <v>BENIN</v>
          </cell>
          <cell r="E39">
            <v>25000000</v>
          </cell>
        </row>
        <row r="40">
          <cell r="A40">
            <v>42836</v>
          </cell>
          <cell r="B40">
            <v>43017</v>
          </cell>
          <cell r="C40" t="str">
            <v>SENEGAL</v>
          </cell>
          <cell r="E40">
            <v>1551000000</v>
          </cell>
        </row>
        <row r="41">
          <cell r="A41">
            <v>42836</v>
          </cell>
          <cell r="B41">
            <v>43017</v>
          </cell>
          <cell r="C41" t="str">
            <v>GUINE-BISSAU</v>
          </cell>
          <cell r="E41">
            <v>2000000000</v>
          </cell>
        </row>
        <row r="42">
          <cell r="A42">
            <v>42788</v>
          </cell>
          <cell r="B42">
            <v>43152</v>
          </cell>
          <cell r="C42" t="str">
            <v>Guine-Bissau</v>
          </cell>
          <cell r="E42">
            <v>1850000000</v>
          </cell>
        </row>
        <row r="43">
          <cell r="A43">
            <v>42788</v>
          </cell>
          <cell r="B43">
            <v>43152</v>
          </cell>
          <cell r="C43" t="str">
            <v>Guine-Bissau</v>
          </cell>
          <cell r="E43">
            <v>1600000000</v>
          </cell>
        </row>
        <row r="44">
          <cell r="A44">
            <v>42788</v>
          </cell>
          <cell r="B44">
            <v>43152</v>
          </cell>
          <cell r="C44" t="str">
            <v>Guine-Bissau</v>
          </cell>
          <cell r="E44">
            <v>1000000000</v>
          </cell>
        </row>
        <row r="45">
          <cell r="A45">
            <v>42788</v>
          </cell>
          <cell r="B45">
            <v>43152</v>
          </cell>
          <cell r="C45" t="str">
            <v>COTE D'IVOIRE</v>
          </cell>
          <cell r="E45">
            <v>500000000</v>
          </cell>
        </row>
        <row r="46">
          <cell r="A46">
            <v>42788</v>
          </cell>
          <cell r="B46">
            <v>43152</v>
          </cell>
          <cell r="C46" t="str">
            <v>COTE D'IVOIRE</v>
          </cell>
          <cell r="E46">
            <v>500000000</v>
          </cell>
        </row>
        <row r="47">
          <cell r="A47">
            <v>42836</v>
          </cell>
          <cell r="B47">
            <v>43199</v>
          </cell>
          <cell r="C47" t="str">
            <v>BURKINA FASO</v>
          </cell>
          <cell r="E47">
            <v>5000000000</v>
          </cell>
        </row>
        <row r="48">
          <cell r="A48">
            <v>42668</v>
          </cell>
          <cell r="B48">
            <v>43396</v>
          </cell>
          <cell r="C48" t="str">
            <v>Burkina Faso</v>
          </cell>
          <cell r="E48">
            <v>5000000000</v>
          </cell>
        </row>
        <row r="49">
          <cell r="A49">
            <v>42668</v>
          </cell>
          <cell r="B49">
            <v>43396</v>
          </cell>
          <cell r="C49" t="str">
            <v>COTE D'IVOIRE</v>
          </cell>
          <cell r="E49">
            <v>3300000000</v>
          </cell>
        </row>
        <row r="50">
          <cell r="A50">
            <v>42668</v>
          </cell>
          <cell r="B50">
            <v>43196</v>
          </cell>
          <cell r="C50" t="str">
            <v>COTE D'IVOIRE</v>
          </cell>
          <cell r="E50">
            <v>3000000000</v>
          </cell>
        </row>
        <row r="51">
          <cell r="A51">
            <v>42668</v>
          </cell>
          <cell r="B51">
            <v>43396</v>
          </cell>
          <cell r="C51" t="str">
            <v>Guine-Bissau</v>
          </cell>
          <cell r="E51">
            <v>2000000000</v>
          </cell>
        </row>
        <row r="52">
          <cell r="A52">
            <v>42668</v>
          </cell>
          <cell r="B52">
            <v>43196</v>
          </cell>
          <cell r="C52" t="str">
            <v>Guine-Bissau</v>
          </cell>
          <cell r="E52">
            <v>1000000000</v>
          </cell>
        </row>
        <row r="53">
          <cell r="A53">
            <v>42562</v>
          </cell>
          <cell r="B53">
            <v>43658</v>
          </cell>
          <cell r="C53" t="str">
            <v>Guine-Bissau</v>
          </cell>
          <cell r="E53">
            <v>1500000000</v>
          </cell>
        </row>
        <row r="54">
          <cell r="A54">
            <v>42562</v>
          </cell>
          <cell r="B54">
            <v>43658</v>
          </cell>
          <cell r="C54" t="str">
            <v>Senegal</v>
          </cell>
          <cell r="E54">
            <v>500000000</v>
          </cell>
        </row>
        <row r="55">
          <cell r="A55">
            <v>42562</v>
          </cell>
          <cell r="B55">
            <v>43658</v>
          </cell>
          <cell r="C55" t="str">
            <v>Senegal</v>
          </cell>
          <cell r="E55">
            <v>1000000000</v>
          </cell>
        </row>
        <row r="56">
          <cell r="A56">
            <v>42562</v>
          </cell>
          <cell r="B56">
            <v>43658</v>
          </cell>
          <cell r="C56" t="str">
            <v>Burkina Faso</v>
          </cell>
          <cell r="E56">
            <v>3000000000</v>
          </cell>
        </row>
        <row r="57">
          <cell r="A57">
            <v>42562</v>
          </cell>
          <cell r="B57">
            <v>43658</v>
          </cell>
          <cell r="C57" t="str">
            <v>Burkina Faso</v>
          </cell>
          <cell r="E57">
            <v>3000000000</v>
          </cell>
        </row>
        <row r="58">
          <cell r="A58">
            <v>42562</v>
          </cell>
          <cell r="B58">
            <v>43658</v>
          </cell>
          <cell r="C58" t="str">
            <v>Burkina Faso</v>
          </cell>
          <cell r="E58">
            <v>2000000000</v>
          </cell>
        </row>
        <row r="59">
          <cell r="A59">
            <v>42836</v>
          </cell>
          <cell r="B59">
            <v>43932</v>
          </cell>
          <cell r="C59" t="str">
            <v>BENIN</v>
          </cell>
          <cell r="E59">
            <v>50000000</v>
          </cell>
        </row>
        <row r="60">
          <cell r="A60">
            <v>42836</v>
          </cell>
          <cell r="B60">
            <v>43932</v>
          </cell>
          <cell r="C60" t="str">
            <v>BENIN</v>
          </cell>
          <cell r="E60">
            <v>50000000</v>
          </cell>
        </row>
        <row r="61">
          <cell r="A61">
            <v>42836</v>
          </cell>
          <cell r="B61">
            <v>43932</v>
          </cell>
          <cell r="C61" t="str">
            <v>BENIN</v>
          </cell>
          <cell r="E61">
            <v>1500000</v>
          </cell>
        </row>
        <row r="62">
          <cell r="A62">
            <v>42836</v>
          </cell>
          <cell r="B62">
            <v>43932</v>
          </cell>
          <cell r="C62" t="str">
            <v>BENIN</v>
          </cell>
          <cell r="E62">
            <v>100000000</v>
          </cell>
        </row>
        <row r="63">
          <cell r="A63">
            <v>42836</v>
          </cell>
          <cell r="B63">
            <v>43932</v>
          </cell>
          <cell r="C63" t="str">
            <v>BENIN</v>
          </cell>
          <cell r="E63">
            <v>1500000</v>
          </cell>
        </row>
        <row r="64">
          <cell r="A64">
            <v>42836</v>
          </cell>
          <cell r="B64">
            <v>43932</v>
          </cell>
          <cell r="C64" t="str">
            <v>BENIN</v>
          </cell>
          <cell r="E64">
            <v>100000000</v>
          </cell>
        </row>
        <row r="65">
          <cell r="A65">
            <v>42836</v>
          </cell>
          <cell r="B65">
            <v>43932</v>
          </cell>
          <cell r="C65" t="str">
            <v>BENIN</v>
          </cell>
          <cell r="E65">
            <v>50000000</v>
          </cell>
        </row>
        <row r="66">
          <cell r="A66">
            <v>42836</v>
          </cell>
          <cell r="B66">
            <v>43932</v>
          </cell>
          <cell r="C66" t="str">
            <v>BENIN</v>
          </cell>
          <cell r="E66">
            <v>100000000</v>
          </cell>
        </row>
        <row r="67">
          <cell r="A67">
            <v>42836</v>
          </cell>
          <cell r="B67">
            <v>43932</v>
          </cell>
          <cell r="C67" t="str">
            <v>BENIN</v>
          </cell>
          <cell r="E67">
            <v>100000000</v>
          </cell>
        </row>
        <row r="68">
          <cell r="A68">
            <v>42836</v>
          </cell>
          <cell r="B68">
            <v>43932</v>
          </cell>
          <cell r="C68" t="str">
            <v>SENEGAL</v>
          </cell>
          <cell r="E68">
            <v>3630000000</v>
          </cell>
        </row>
        <row r="69">
          <cell r="A69">
            <v>42836</v>
          </cell>
          <cell r="B69">
            <v>43932</v>
          </cell>
          <cell r="C69" t="str">
            <v>COTE D'IVOIRE</v>
          </cell>
          <cell r="E69">
            <v>2000000000</v>
          </cell>
        </row>
        <row r="70">
          <cell r="A70">
            <v>42836</v>
          </cell>
          <cell r="B70">
            <v>43932</v>
          </cell>
          <cell r="C70" t="str">
            <v>COTE D'IVOIRE</v>
          </cell>
          <cell r="E70">
            <v>2000000000</v>
          </cell>
        </row>
        <row r="71">
          <cell r="A71">
            <v>42836</v>
          </cell>
          <cell r="B71">
            <v>43932</v>
          </cell>
          <cell r="C71" t="str">
            <v>COTE D'IVOIRE</v>
          </cell>
          <cell r="E71">
            <v>200000000</v>
          </cell>
        </row>
        <row r="72">
          <cell r="A72">
            <v>42836</v>
          </cell>
          <cell r="B72">
            <v>43932</v>
          </cell>
          <cell r="C72" t="str">
            <v>COTE D'IVOIRE</v>
          </cell>
          <cell r="E72">
            <v>50000000</v>
          </cell>
        </row>
        <row r="73">
          <cell r="A73">
            <v>42836</v>
          </cell>
          <cell r="B73">
            <v>43932</v>
          </cell>
          <cell r="C73" t="str">
            <v>COTE D'IVOIRE</v>
          </cell>
          <cell r="E73">
            <v>50000000</v>
          </cell>
        </row>
        <row r="74">
          <cell r="A74">
            <v>42836</v>
          </cell>
          <cell r="B74">
            <v>43932</v>
          </cell>
          <cell r="C74" t="str">
            <v>COTE D'IVOIRE</v>
          </cell>
          <cell r="E74">
            <v>100000000</v>
          </cell>
        </row>
        <row r="75">
          <cell r="A75">
            <v>42836</v>
          </cell>
          <cell r="B75">
            <v>43932</v>
          </cell>
          <cell r="C75" t="str">
            <v>COTE D'IVOIRE</v>
          </cell>
          <cell r="E75">
            <v>100000000</v>
          </cell>
        </row>
        <row r="76">
          <cell r="A76">
            <v>42836</v>
          </cell>
          <cell r="B76">
            <v>43932</v>
          </cell>
          <cell r="C76" t="str">
            <v>BURKINA FASO</v>
          </cell>
          <cell r="E76">
            <v>500000000</v>
          </cell>
        </row>
        <row r="77">
          <cell r="A77">
            <v>43014</v>
          </cell>
          <cell r="B77">
            <v>43932</v>
          </cell>
          <cell r="C77" t="str">
            <v>GUINE-BISSAU</v>
          </cell>
          <cell r="E77">
            <v>3081698630</v>
          </cell>
        </row>
        <row r="78">
          <cell r="A78">
            <v>43014</v>
          </cell>
          <cell r="B78">
            <v>43932</v>
          </cell>
          <cell r="C78" t="str">
            <v>SENEGAL</v>
          </cell>
          <cell r="E78">
            <v>1226679</v>
          </cell>
        </row>
        <row r="79">
          <cell r="A79">
            <v>43014</v>
          </cell>
          <cell r="B79">
            <v>43932</v>
          </cell>
          <cell r="C79" t="str">
            <v>SENEGAL</v>
          </cell>
          <cell r="E79">
            <v>2248912</v>
          </cell>
        </row>
        <row r="80">
          <cell r="A80">
            <v>43014</v>
          </cell>
          <cell r="B80">
            <v>43932</v>
          </cell>
          <cell r="C80" t="str">
            <v>SENEGAL</v>
          </cell>
          <cell r="E80">
            <v>2044466</v>
          </cell>
        </row>
        <row r="81">
          <cell r="A81">
            <v>43014</v>
          </cell>
          <cell r="B81">
            <v>43932</v>
          </cell>
          <cell r="C81" t="str">
            <v>COTE D'IVOIRE</v>
          </cell>
          <cell r="E81">
            <v>509116438</v>
          </cell>
        </row>
        <row r="82">
          <cell r="A82">
            <v>43014</v>
          </cell>
          <cell r="B82">
            <v>43932</v>
          </cell>
          <cell r="C82" t="str">
            <v>SENEGAL</v>
          </cell>
          <cell r="E82">
            <v>509116438</v>
          </cell>
        </row>
        <row r="83">
          <cell r="A83">
            <v>43014</v>
          </cell>
          <cell r="B83">
            <v>43932</v>
          </cell>
          <cell r="C83" t="str">
            <v>SENEGAL</v>
          </cell>
          <cell r="E83">
            <v>508966438</v>
          </cell>
        </row>
        <row r="84">
          <cell r="A84">
            <v>43144</v>
          </cell>
          <cell r="B84">
            <v>43508</v>
          </cell>
          <cell r="C84" t="str">
            <v>Burkina Faso</v>
          </cell>
          <cell r="E84">
            <v>2000000000</v>
          </cell>
        </row>
        <row r="85">
          <cell r="A85">
            <v>43144</v>
          </cell>
          <cell r="B85">
            <v>43508</v>
          </cell>
          <cell r="C85" t="str">
            <v>Burkina Faso</v>
          </cell>
          <cell r="E85">
            <v>20000000</v>
          </cell>
        </row>
        <row r="86">
          <cell r="A86">
            <v>43144</v>
          </cell>
          <cell r="B86">
            <v>43508</v>
          </cell>
          <cell r="C86" t="str">
            <v>Burkina Faso</v>
          </cell>
          <cell r="E86">
            <v>750000000</v>
          </cell>
        </row>
        <row r="87">
          <cell r="A87">
            <v>43144</v>
          </cell>
          <cell r="B87">
            <v>43508</v>
          </cell>
          <cell r="C87" t="str">
            <v>Burkina Faso</v>
          </cell>
          <cell r="E87">
            <v>1000000000</v>
          </cell>
        </row>
        <row r="88">
          <cell r="A88">
            <v>43144</v>
          </cell>
          <cell r="B88">
            <v>43508</v>
          </cell>
          <cell r="C88" t="str">
            <v>Burkina Faso</v>
          </cell>
          <cell r="E88">
            <v>80000000</v>
          </cell>
        </row>
        <row r="89">
          <cell r="A89">
            <v>43144</v>
          </cell>
          <cell r="B89">
            <v>43508</v>
          </cell>
          <cell r="C89" t="str">
            <v>Burkina Faso</v>
          </cell>
          <cell r="E89">
            <v>500000000</v>
          </cell>
        </row>
        <row r="90">
          <cell r="A90">
            <v>43195</v>
          </cell>
          <cell r="B90">
            <v>43559</v>
          </cell>
          <cell r="C90" t="str">
            <v>COTE D'IVOIRE</v>
          </cell>
          <cell r="E90">
            <v>1000000000</v>
          </cell>
        </row>
        <row r="91">
          <cell r="A91">
            <v>43195</v>
          </cell>
          <cell r="B91">
            <v>43559</v>
          </cell>
          <cell r="C91" t="str">
            <v>COTE D'IVOIRE</v>
          </cell>
          <cell r="E91">
            <v>1000000000</v>
          </cell>
        </row>
        <row r="92">
          <cell r="A92">
            <v>43195</v>
          </cell>
          <cell r="B92">
            <v>43559</v>
          </cell>
          <cell r="C92" t="str">
            <v>SENEGAL</v>
          </cell>
          <cell r="E92">
            <v>250000000</v>
          </cell>
        </row>
        <row r="93">
          <cell r="A93">
            <v>43195</v>
          </cell>
          <cell r="B93">
            <v>43559</v>
          </cell>
          <cell r="C93" t="str">
            <v>BENIN</v>
          </cell>
          <cell r="E93">
            <v>12000000</v>
          </cell>
        </row>
        <row r="94">
          <cell r="A94">
            <v>43195</v>
          </cell>
          <cell r="B94">
            <v>43559</v>
          </cell>
          <cell r="C94" t="str">
            <v>SENEGAL</v>
          </cell>
          <cell r="E94">
            <v>250000000</v>
          </cell>
        </row>
        <row r="95">
          <cell r="A95">
            <v>43195</v>
          </cell>
          <cell r="B95">
            <v>43559</v>
          </cell>
          <cell r="C95" t="str">
            <v>BURKINA FASO</v>
          </cell>
          <cell r="E95">
            <v>3000000000</v>
          </cell>
        </row>
        <row r="96">
          <cell r="A96">
            <v>43195</v>
          </cell>
          <cell r="B96">
            <v>44292</v>
          </cell>
          <cell r="C96" t="str">
            <v>BENIN</v>
          </cell>
          <cell r="E96">
            <v>15300000</v>
          </cell>
        </row>
        <row r="97">
          <cell r="A97">
            <v>43195</v>
          </cell>
          <cell r="B97">
            <v>44292</v>
          </cell>
          <cell r="C97" t="str">
            <v>BENIN</v>
          </cell>
          <cell r="E97">
            <v>15400000</v>
          </cell>
        </row>
        <row r="98">
          <cell r="A98">
            <v>43195</v>
          </cell>
          <cell r="B98">
            <v>44292</v>
          </cell>
          <cell r="C98" t="str">
            <v>COTE D'IVOIRE</v>
          </cell>
          <cell r="E98">
            <v>2000000000</v>
          </cell>
        </row>
        <row r="99">
          <cell r="A99">
            <v>43195</v>
          </cell>
          <cell r="B99">
            <v>44292</v>
          </cell>
          <cell r="C99" t="str">
            <v>BENIN</v>
          </cell>
          <cell r="E99">
            <v>10300000</v>
          </cell>
        </row>
        <row r="100">
          <cell r="A100">
            <v>43195</v>
          </cell>
          <cell r="B100">
            <v>44292</v>
          </cell>
          <cell r="C100" t="str">
            <v>BENIN</v>
          </cell>
          <cell r="E100">
            <v>5150000</v>
          </cell>
        </row>
        <row r="101">
          <cell r="A101">
            <v>43195</v>
          </cell>
          <cell r="B101">
            <v>44292</v>
          </cell>
          <cell r="C101" t="str">
            <v>BENIN</v>
          </cell>
          <cell r="E101">
            <v>15460000</v>
          </cell>
        </row>
        <row r="102">
          <cell r="A102">
            <v>43195</v>
          </cell>
          <cell r="B102">
            <v>44292</v>
          </cell>
          <cell r="C102" t="str">
            <v>BENIN</v>
          </cell>
          <cell r="E102">
            <v>103080000</v>
          </cell>
        </row>
        <row r="103">
          <cell r="A103">
            <v>43195</v>
          </cell>
          <cell r="B103">
            <v>44292</v>
          </cell>
          <cell r="C103" t="str">
            <v>COTE D'IVOIRE</v>
          </cell>
          <cell r="E103">
            <v>3000000000</v>
          </cell>
        </row>
        <row r="104">
          <cell r="A104">
            <v>43195</v>
          </cell>
          <cell r="B104">
            <v>44292</v>
          </cell>
          <cell r="C104" t="str">
            <v>BENIN</v>
          </cell>
          <cell r="E104">
            <v>20720000</v>
          </cell>
        </row>
        <row r="105">
          <cell r="A105">
            <v>43195</v>
          </cell>
          <cell r="B105">
            <v>44292</v>
          </cell>
          <cell r="C105" t="str">
            <v>BENIN</v>
          </cell>
          <cell r="E105">
            <v>41460000</v>
          </cell>
        </row>
        <row r="106">
          <cell r="A106">
            <v>43195</v>
          </cell>
          <cell r="B106">
            <v>44292</v>
          </cell>
          <cell r="C106" t="str">
            <v>BENIN</v>
          </cell>
          <cell r="E106">
            <v>8290000</v>
          </cell>
        </row>
      </sheetData>
      <sheetData sheetId="1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LinksIn"/>
      <sheetName val="LinksOut"/>
      <sheetName val="XR"/>
      <sheetName val="BIGBCFAF"/>
      <sheetName val="BT&amp;ACFAF"/>
      <sheetName val="MonSurv-months"/>
      <sheetName val="MonSurv (bn)"/>
      <sheetName val="MonSurcfa"/>
      <sheetName val="BCEAO"/>
      <sheetName val="PNG"/>
      <sheetName val="DMBcfa"/>
      <sheetName val="banknotes"/>
      <sheetName val="CFAF bills"/>
      <sheetName val="Curr-Circ"/>
      <sheetName val="red17"/>
      <sheetName val="red18"/>
      <sheetName val="red19"/>
      <sheetName val="red20"/>
      <sheetName val="BCNIn"/>
      <sheetName val="BTAIn"/>
      <sheetName val="BIGBIn"/>
      <sheetName val="BCGBIn"/>
      <sheetName val="BCGB"/>
      <sheetName val="BCN"/>
      <sheetName val="BIGB"/>
      <sheetName val="ComBanks"/>
      <sheetName val="MonSurv"/>
      <sheetName val="BCGBrecap"/>
      <sheetName val="Current"/>
      <sheetName val="NFA_US$"/>
      <sheetName val="M2_US$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"/>
      <sheetName val="1996"/>
      <sheetName val="1997"/>
      <sheetName val="1998"/>
      <sheetName val="1999_09"/>
      <sheetName val="tout"/>
      <sheetName val="calc1"/>
      <sheetName val="dot"/>
      <sheetName val="engag"/>
      <sheetName val="Feuil1"/>
      <sheetName val="Feuil2"/>
      <sheetName val="Feuil3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Macro1"/>
      <sheetName val="exports"/>
      <sheetName val="assumpts_"/>
      <sheetName val="summary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LinksIn"/>
      <sheetName val="LinksOut"/>
      <sheetName val="WETA"/>
      <sheetName val="DS_01-03"/>
      <sheetName val=" HIPC rap"/>
      <sheetName val="Repay"/>
      <sheetName val="IMF"/>
      <sheetName val="IDA"/>
      <sheetName val="AfDF"/>
      <sheetName val="Other mult"/>
      <sheetName val="HIPC Relief"/>
      <sheetName val="AfDB arr"/>
      <sheetName val="DS 2000"/>
      <sheetName val="DS 2001"/>
      <sheetName val="IMF int rf"/>
      <sheetName val="Geneva94"/>
      <sheetName val="red28"/>
      <sheetName val="red29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 refreshError="1">
        <row r="14">
          <cell r="C14">
            <v>7.5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1">
          <cell r="C1" t="str">
            <v>Table 5. Guinea Bissau: Balance of Payments Support, 1995-97</v>
          </cell>
        </row>
        <row r="3">
          <cell r="D3" t="str">
            <v xml:space="preserve">(in millions of U.S. dollars)  </v>
          </cell>
        </row>
        <row r="6">
          <cell r="B6" t="str">
            <v xml:space="preserve">                           1995</v>
          </cell>
          <cell r="H6" t="str">
            <v>1996</v>
          </cell>
          <cell r="J6" t="str">
            <v>1996</v>
          </cell>
        </row>
        <row r="7">
          <cell r="D7" t="str">
            <v xml:space="preserve">               -----------------------------------------------</v>
          </cell>
        </row>
        <row r="8">
          <cell r="B8" t="str">
            <v xml:space="preserve">Geneva Round </v>
          </cell>
          <cell r="C8" t="str">
            <v>Disbursed</v>
          </cell>
          <cell r="D8" t="str">
            <v xml:space="preserve">                      Jan-June</v>
          </cell>
          <cell r="F8" t="str">
            <v xml:space="preserve">                      Jul-Sep.</v>
          </cell>
          <cell r="H8" t="str">
            <v xml:space="preserve">                 Oct-Dec</v>
          </cell>
          <cell r="J8" t="str">
            <v xml:space="preserve">                  Jan.-Dec.</v>
          </cell>
        </row>
        <row r="9">
          <cell r="B9" t="str">
            <v>Table Pledges</v>
          </cell>
          <cell r="D9" t="str">
            <v xml:space="preserve">               -------------</v>
          </cell>
          <cell r="F9" t="str">
            <v xml:space="preserve">           -------------</v>
          </cell>
          <cell r="H9" t="str">
            <v xml:space="preserve">          -------------</v>
          </cell>
          <cell r="J9" t="str">
            <v xml:space="preserve">            -------------</v>
          </cell>
        </row>
        <row r="10">
          <cell r="B10" t="str">
            <v>(Nov. 1994)</v>
          </cell>
          <cell r="D10" t="str">
            <v>Prog.</v>
          </cell>
          <cell r="E10" t="str">
            <v>Est.</v>
          </cell>
          <cell r="F10" t="str">
            <v>Prog.</v>
          </cell>
          <cell r="G10" t="str">
            <v>Est.</v>
          </cell>
          <cell r="H10" t="str">
            <v>Prog.</v>
          </cell>
          <cell r="I10" t="str">
            <v>Proj.</v>
          </cell>
          <cell r="J10" t="str">
            <v>Prog.</v>
          </cell>
          <cell r="K10" t="str">
            <v>Rev. proj.</v>
          </cell>
        </row>
        <row r="13">
          <cell r="A13" t="str">
            <v>TOTAL</v>
          </cell>
          <cell r="B13">
            <v>333.6</v>
          </cell>
          <cell r="C13">
            <v>26.635551713916595</v>
          </cell>
          <cell r="D13">
            <v>16.065000000000001</v>
          </cell>
          <cell r="E13">
            <v>13.447199999999999</v>
          </cell>
          <cell r="F13">
            <v>5.4</v>
          </cell>
          <cell r="G13">
            <v>39.36</v>
          </cell>
          <cell r="H13">
            <v>246.73500000000001</v>
          </cell>
          <cell r="I13" t="e">
            <v>#REF!</v>
          </cell>
          <cell r="J13">
            <v>268.2</v>
          </cell>
          <cell r="K13">
            <v>21.058440000000001</v>
          </cell>
        </row>
        <row r="15">
          <cell r="A15" t="str">
            <v xml:space="preserve">BOP Support grants </v>
          </cell>
          <cell r="B15">
            <v>18.600000000000001</v>
          </cell>
          <cell r="C15">
            <v>4.55</v>
          </cell>
          <cell r="D15">
            <v>1.4</v>
          </cell>
          <cell r="E15">
            <v>1.6437499999999998</v>
          </cell>
          <cell r="F15">
            <v>1.9</v>
          </cell>
          <cell r="G15">
            <v>1.7</v>
          </cell>
          <cell r="H15">
            <v>12.299999999999999</v>
          </cell>
          <cell r="I15">
            <v>-1.5437499999999997</v>
          </cell>
          <cell r="J15">
            <v>15.6</v>
          </cell>
          <cell r="K15">
            <v>1.7999999999999998</v>
          </cell>
        </row>
        <row r="16">
          <cell r="A16" t="str">
            <v xml:space="preserve">   European Union</v>
          </cell>
          <cell r="B16">
            <v>10</v>
          </cell>
          <cell r="C16">
            <v>0</v>
          </cell>
          <cell r="D16" t="str">
            <v>--</v>
          </cell>
          <cell r="E16">
            <v>1.6437499999999998</v>
          </cell>
          <cell r="F16">
            <v>0.5</v>
          </cell>
          <cell r="G16">
            <v>0.3</v>
          </cell>
          <cell r="H16">
            <v>7.9</v>
          </cell>
          <cell r="I16">
            <v>-1.9437499999999999</v>
          </cell>
          <cell r="J16">
            <v>8.4</v>
          </cell>
          <cell r="K16">
            <v>0</v>
          </cell>
        </row>
        <row r="17">
          <cell r="A17" t="str">
            <v xml:space="preserve">   Switzerland (ADB debt service)</v>
          </cell>
          <cell r="B17">
            <v>3.7</v>
          </cell>
          <cell r="C17">
            <v>3.7</v>
          </cell>
          <cell r="D17">
            <v>1.4</v>
          </cell>
          <cell r="E17" t="str">
            <v>--</v>
          </cell>
          <cell r="F17">
            <v>1.4</v>
          </cell>
          <cell r="G17">
            <v>1.4</v>
          </cell>
          <cell r="H17">
            <v>0</v>
          </cell>
          <cell r="I17">
            <v>0</v>
          </cell>
          <cell r="J17">
            <v>2.8</v>
          </cell>
          <cell r="K17">
            <v>1.4</v>
          </cell>
        </row>
        <row r="18">
          <cell r="A18" t="str">
            <v xml:space="preserve">   Sweden</v>
          </cell>
          <cell r="B18">
            <v>3.3</v>
          </cell>
          <cell r="C18" t="str">
            <v>--</v>
          </cell>
          <cell r="D18" t="str">
            <v>--</v>
          </cell>
          <cell r="E18" t="str">
            <v>--</v>
          </cell>
          <cell r="F18" t="str">
            <v>--</v>
          </cell>
          <cell r="G18" t="str">
            <v>--</v>
          </cell>
          <cell r="H18">
            <v>3.3</v>
          </cell>
          <cell r="I18" t="str">
            <v>--</v>
          </cell>
          <cell r="J18">
            <v>3.3</v>
          </cell>
          <cell r="K18" t="str">
            <v>--</v>
          </cell>
        </row>
        <row r="19">
          <cell r="A19" t="str">
            <v xml:space="preserve">   France</v>
          </cell>
          <cell r="B19">
            <v>1</v>
          </cell>
          <cell r="C19">
            <v>0.85</v>
          </cell>
          <cell r="D19" t="str">
            <v>--</v>
          </cell>
          <cell r="E19" t="str">
            <v>--</v>
          </cell>
          <cell r="F19" t="str">
            <v>--</v>
          </cell>
          <cell r="G19" t="str">
            <v>--</v>
          </cell>
          <cell r="H19" t="str">
            <v>--</v>
          </cell>
          <cell r="I19" t="str">
            <v>--</v>
          </cell>
          <cell r="J19" t="str">
            <v>--</v>
          </cell>
          <cell r="K19" t="str">
            <v>--</v>
          </cell>
        </row>
        <row r="20">
          <cell r="A20" t="str">
            <v xml:space="preserve">   The Netherlands</v>
          </cell>
          <cell r="B20" t="str">
            <v>--</v>
          </cell>
          <cell r="C20" t="str">
            <v>--</v>
          </cell>
          <cell r="D20" t="str">
            <v>--</v>
          </cell>
          <cell r="E20" t="str">
            <v>--</v>
          </cell>
          <cell r="F20" t="str">
            <v>--</v>
          </cell>
          <cell r="G20" t="str">
            <v>--</v>
          </cell>
          <cell r="H20" t="str">
            <v>--</v>
          </cell>
          <cell r="I20" t="str">
            <v>--</v>
          </cell>
          <cell r="J20" t="str">
            <v>--</v>
          </cell>
          <cell r="K20" t="str">
            <v>--</v>
          </cell>
        </row>
        <row r="21">
          <cell r="A21" t="str">
            <v xml:space="preserve">   Portugal</v>
          </cell>
          <cell r="B21">
            <v>0.6</v>
          </cell>
          <cell r="C21" t="str">
            <v>--</v>
          </cell>
          <cell r="D21" t="str">
            <v>--</v>
          </cell>
          <cell r="E21" t="str">
            <v>--</v>
          </cell>
          <cell r="F21" t="str">
            <v>--</v>
          </cell>
          <cell r="G21" t="str">
            <v>--</v>
          </cell>
          <cell r="H21">
            <v>0.6</v>
          </cell>
          <cell r="I21">
            <v>0.4</v>
          </cell>
          <cell r="J21">
            <v>0.6</v>
          </cell>
          <cell r="K21">
            <v>0.4</v>
          </cell>
        </row>
        <row r="22">
          <cell r="A22" t="str">
            <v xml:space="preserve">   USAID</v>
          </cell>
          <cell r="B22" t="str">
            <v>--</v>
          </cell>
          <cell r="C22" t="str">
            <v>--</v>
          </cell>
          <cell r="D22" t="str">
            <v>--</v>
          </cell>
          <cell r="E22" t="str">
            <v>--</v>
          </cell>
          <cell r="F22" t="str">
            <v>--</v>
          </cell>
          <cell r="G22" t="str">
            <v>--</v>
          </cell>
          <cell r="H22">
            <v>0.5</v>
          </cell>
          <cell r="I22" t="str">
            <v>--</v>
          </cell>
          <cell r="J22">
            <v>0.5</v>
          </cell>
          <cell r="K22" t="str">
            <v>--</v>
          </cell>
        </row>
        <row r="23">
          <cell r="A23" t="str">
            <v xml:space="preserve">   Taiwan, P.C.</v>
          </cell>
          <cell r="B23" t="str">
            <v>--</v>
          </cell>
          <cell r="C23" t="str">
            <v>--</v>
          </cell>
          <cell r="D23" t="str">
            <v>--</v>
          </cell>
          <cell r="E23" t="str">
            <v>--</v>
          </cell>
          <cell r="F23" t="str">
            <v>--</v>
          </cell>
          <cell r="G23" t="str">
            <v>--</v>
          </cell>
          <cell r="H23" t="str">
            <v>--</v>
          </cell>
          <cell r="I23" t="str">
            <v>--</v>
          </cell>
          <cell r="J23" t="str">
            <v>--</v>
          </cell>
          <cell r="K23" t="str">
            <v>--</v>
          </cell>
        </row>
        <row r="25">
          <cell r="A25" t="str">
            <v xml:space="preserve">BOP Support loans </v>
          </cell>
          <cell r="B25">
            <v>26</v>
          </cell>
          <cell r="C25">
            <v>22.085551713916594</v>
          </cell>
          <cell r="D25">
            <v>7.6650000000000009</v>
          </cell>
          <cell r="E25">
            <v>4.7034500000000001</v>
          </cell>
          <cell r="F25">
            <v>0</v>
          </cell>
          <cell r="G25">
            <v>4.2</v>
          </cell>
          <cell r="H25">
            <v>10.635000000000002</v>
          </cell>
          <cell r="I25">
            <v>10.354990000000001</v>
          </cell>
          <cell r="J25">
            <v>18.3</v>
          </cell>
          <cell r="K25">
            <v>19.25844</v>
          </cell>
        </row>
        <row r="26">
          <cell r="A26" t="str">
            <v xml:space="preserve">    ADB/ADF portfolio restructuring</v>
          </cell>
          <cell r="B26">
            <v>10</v>
          </cell>
          <cell r="C26">
            <v>13.636999999999999</v>
          </cell>
          <cell r="D26">
            <v>4.4400000000000004</v>
          </cell>
          <cell r="E26">
            <v>1.6437499999999998</v>
          </cell>
          <cell r="F26" t="str">
            <v>--</v>
          </cell>
          <cell r="G26">
            <v>4.2</v>
          </cell>
          <cell r="H26">
            <v>4.46</v>
          </cell>
          <cell r="I26">
            <v>10.354990000000001</v>
          </cell>
          <cell r="J26">
            <v>8.9</v>
          </cell>
          <cell r="K26">
            <v>16.198740000000001</v>
          </cell>
        </row>
        <row r="27">
          <cell r="A27" t="str">
            <v xml:space="preserve">    ADF new programme</v>
          </cell>
          <cell r="B27">
            <v>16</v>
          </cell>
          <cell r="C27" t="str">
            <v>--</v>
          </cell>
          <cell r="D27" t="str">
            <v>--</v>
          </cell>
          <cell r="E27" t="str">
            <v>--</v>
          </cell>
          <cell r="F27" t="str">
            <v>--</v>
          </cell>
          <cell r="G27" t="str">
            <v>--</v>
          </cell>
          <cell r="H27" t="str">
            <v>--</v>
          </cell>
          <cell r="I27" t="str">
            <v>--</v>
          </cell>
          <cell r="J27" t="str">
            <v>--</v>
          </cell>
          <cell r="K27" t="str">
            <v>--</v>
          </cell>
        </row>
        <row r="28">
          <cell r="A28" t="str">
            <v xml:space="preserve">    IMF ESAF-I</v>
          </cell>
          <cell r="B28" t="str">
            <v>--</v>
          </cell>
          <cell r="C28">
            <v>8.4485517139165953</v>
          </cell>
          <cell r="H28" t="str">
            <v>--</v>
          </cell>
          <cell r="I28" t="str">
            <v>--</v>
          </cell>
          <cell r="J28" t="str">
            <v>--</v>
          </cell>
          <cell r="K28" t="str">
            <v>--</v>
          </cell>
        </row>
        <row r="29">
          <cell r="A29" t="str">
            <v xml:space="preserve">    IMF ESAF-II</v>
          </cell>
          <cell r="B29" t="str">
            <v>...</v>
          </cell>
          <cell r="C29" t="str">
            <v>...</v>
          </cell>
          <cell r="D29">
            <v>3.2250000000000001</v>
          </cell>
          <cell r="E29">
            <v>3.0596999999999999</v>
          </cell>
          <cell r="F29" t="str">
            <v>--</v>
          </cell>
          <cell r="G29" t="str">
            <v>--</v>
          </cell>
          <cell r="H29">
            <v>3.2250000000000001</v>
          </cell>
          <cell r="I29" t="str">
            <v>--</v>
          </cell>
          <cell r="J29">
            <v>6.45</v>
          </cell>
          <cell r="K29">
            <v>3.0596999999999999</v>
          </cell>
        </row>
        <row r="30">
          <cell r="A30" t="str">
            <v xml:space="preserve">    World Bank SAC-II</v>
          </cell>
          <cell r="B30" t="str">
            <v>--</v>
          </cell>
          <cell r="C30">
            <v>0</v>
          </cell>
          <cell r="F30" t="str">
            <v>--</v>
          </cell>
          <cell r="G30" t="str">
            <v>--</v>
          </cell>
          <cell r="H30" t="str">
            <v>--</v>
          </cell>
          <cell r="I30" t="str">
            <v>--</v>
          </cell>
          <cell r="J30" t="str">
            <v>--</v>
          </cell>
          <cell r="K30" t="str">
            <v>--</v>
          </cell>
        </row>
        <row r="31">
          <cell r="A31" t="str">
            <v xml:space="preserve">    World Bank  (Oil import facility in Energy Proj.)         ...</v>
          </cell>
          <cell r="C31" t="str">
            <v>...</v>
          </cell>
          <cell r="D31" t="str">
            <v>--</v>
          </cell>
          <cell r="E31" t="str">
            <v>--</v>
          </cell>
          <cell r="F31" t="str">
            <v>--</v>
          </cell>
          <cell r="G31" t="str">
            <v>--</v>
          </cell>
          <cell r="H31">
            <v>2.95</v>
          </cell>
          <cell r="I31" t="str">
            <v>--</v>
          </cell>
          <cell r="J31">
            <v>2.95</v>
          </cell>
          <cell r="K31" t="str">
            <v>--</v>
          </cell>
        </row>
        <row r="33">
          <cell r="A33" t="str">
            <v>Debt relief</v>
          </cell>
          <cell r="B33">
            <v>289</v>
          </cell>
          <cell r="C33">
            <v>0</v>
          </cell>
          <cell r="D33">
            <v>7</v>
          </cell>
          <cell r="E33">
            <v>7.1</v>
          </cell>
          <cell r="F33">
            <v>3.5</v>
          </cell>
          <cell r="G33">
            <v>33.46</v>
          </cell>
          <cell r="H33">
            <v>223.8</v>
          </cell>
          <cell r="I33" t="e">
            <v>#REF!</v>
          </cell>
          <cell r="J33">
            <v>234.3</v>
          </cell>
          <cell r="K33">
            <v>0</v>
          </cell>
        </row>
        <row r="34">
          <cell r="A34" t="str">
            <v xml:space="preserve">    Current maturities</v>
          </cell>
          <cell r="B34" t="str">
            <v>...</v>
          </cell>
          <cell r="C34">
            <v>30.2</v>
          </cell>
          <cell r="D34">
            <v>7</v>
          </cell>
          <cell r="E34">
            <v>7.1</v>
          </cell>
          <cell r="F34">
            <v>3.5</v>
          </cell>
          <cell r="G34">
            <v>11.760000000000002</v>
          </cell>
          <cell r="H34">
            <v>21.700000000000003</v>
          </cell>
          <cell r="I34" t="e">
            <v>#REF!</v>
          </cell>
          <cell r="J34">
            <v>32.200000000000003</v>
          </cell>
          <cell r="K34" t="e">
            <v>#REF!</v>
          </cell>
        </row>
        <row r="35">
          <cell r="A35" t="str">
            <v xml:space="preserve">       Treasury</v>
          </cell>
          <cell r="D35">
            <v>7</v>
          </cell>
          <cell r="E35">
            <v>7.1</v>
          </cell>
          <cell r="F35">
            <v>3.5</v>
          </cell>
          <cell r="G35">
            <v>11.760000000000002</v>
          </cell>
          <cell r="H35">
            <v>21.700000000000003</v>
          </cell>
          <cell r="I35">
            <v>-9.6947272322998437</v>
          </cell>
          <cell r="J35" t="str">
            <v>...</v>
          </cell>
          <cell r="K35">
            <v>9.1652727677001575</v>
          </cell>
        </row>
        <row r="36">
          <cell r="A36" t="str">
            <v xml:space="preserve">          Multilaterals</v>
          </cell>
          <cell r="D36" t="str">
            <v>--</v>
          </cell>
          <cell r="E36" t="str">
            <v>--</v>
          </cell>
          <cell r="F36" t="str">
            <v>--</v>
          </cell>
          <cell r="G36">
            <v>0.36</v>
          </cell>
          <cell r="H36" t="str">
            <v>...</v>
          </cell>
          <cell r="I36">
            <v>0.1</v>
          </cell>
          <cell r="J36" t="str">
            <v>...</v>
          </cell>
          <cell r="K36">
            <v>0.45999999999999996</v>
          </cell>
        </row>
        <row r="37">
          <cell r="A37" t="str">
            <v xml:space="preserve">          Paris Club</v>
          </cell>
          <cell r="D37">
            <v>7</v>
          </cell>
          <cell r="E37">
            <v>7.1</v>
          </cell>
          <cell r="F37">
            <v>3.5</v>
          </cell>
          <cell r="G37">
            <v>7</v>
          </cell>
          <cell r="H37" t="str">
            <v>...</v>
          </cell>
          <cell r="I37">
            <v>4.5</v>
          </cell>
          <cell r="J37" t="str">
            <v>...</v>
          </cell>
          <cell r="K37">
            <v>18.600000000000001</v>
          </cell>
        </row>
        <row r="38">
          <cell r="A38" t="str">
            <v xml:space="preserve">          Other bilaterals</v>
          </cell>
          <cell r="D38" t="str">
            <v>--</v>
          </cell>
          <cell r="E38" t="str">
            <v>--</v>
          </cell>
          <cell r="F38" t="str">
            <v>--</v>
          </cell>
          <cell r="G38">
            <v>4.4000000000000004</v>
          </cell>
          <cell r="H38" t="str">
            <v>...</v>
          </cell>
          <cell r="I38">
            <v>-14.294727232299843</v>
          </cell>
          <cell r="J38" t="str">
            <v>...</v>
          </cell>
          <cell r="K38">
            <v>-9.894727232299843</v>
          </cell>
        </row>
        <row r="39">
          <cell r="A39" t="str">
            <v xml:space="preserve">       Central Bank</v>
          </cell>
          <cell r="D39" t="str">
            <v>--</v>
          </cell>
          <cell r="E39" t="str">
            <v>--</v>
          </cell>
          <cell r="F39" t="str">
            <v>--</v>
          </cell>
          <cell r="G39" t="str">
            <v>--</v>
          </cell>
          <cell r="H39" t="str">
            <v>--</v>
          </cell>
          <cell r="I39" t="e">
            <v>#REF!</v>
          </cell>
          <cell r="J39" t="str">
            <v>...</v>
          </cell>
          <cell r="K39" t="e">
            <v>#REF!</v>
          </cell>
        </row>
        <row r="40">
          <cell r="A40" t="str">
            <v xml:space="preserve">    Arrears</v>
          </cell>
          <cell r="B40" t="str">
            <v>...</v>
          </cell>
          <cell r="C40">
            <v>-30.2</v>
          </cell>
          <cell r="D40" t="str">
            <v>--</v>
          </cell>
          <cell r="E40" t="str">
            <v>--</v>
          </cell>
          <cell r="F40" t="str">
            <v>--</v>
          </cell>
          <cell r="G40">
            <v>21.7</v>
          </cell>
          <cell r="H40">
            <v>202.1</v>
          </cell>
          <cell r="I40" t="e">
            <v>#REF!</v>
          </cell>
          <cell r="J40">
            <v>202.1</v>
          </cell>
          <cell r="K40" t="e">
            <v>#REF!</v>
          </cell>
        </row>
        <row r="41">
          <cell r="A41" t="str">
            <v xml:space="preserve">       Treasury</v>
          </cell>
          <cell r="D41" t="str">
            <v>--</v>
          </cell>
          <cell r="E41" t="str">
            <v>--</v>
          </cell>
          <cell r="F41" t="str">
            <v>--</v>
          </cell>
          <cell r="G41">
            <v>21.7</v>
          </cell>
          <cell r="H41" t="str">
            <v>...</v>
          </cell>
          <cell r="I41">
            <v>3</v>
          </cell>
          <cell r="J41" t="str">
            <v>...</v>
          </cell>
          <cell r="K41">
            <v>24.7</v>
          </cell>
        </row>
        <row r="42">
          <cell r="A42" t="str">
            <v xml:space="preserve">          Multilaterals</v>
          </cell>
          <cell r="D42" t="str">
            <v>--</v>
          </cell>
          <cell r="E42" t="str">
            <v>--</v>
          </cell>
          <cell r="F42" t="str">
            <v>--</v>
          </cell>
          <cell r="G42">
            <v>10</v>
          </cell>
          <cell r="H42" t="str">
            <v>...</v>
          </cell>
          <cell r="I42" t="str">
            <v>--</v>
          </cell>
          <cell r="J42" t="str">
            <v>...</v>
          </cell>
          <cell r="K42">
            <v>10</v>
          </cell>
        </row>
        <row r="43">
          <cell r="A43" t="str">
            <v xml:space="preserve">          Paris Club</v>
          </cell>
          <cell r="D43" t="str">
            <v>--</v>
          </cell>
          <cell r="E43" t="str">
            <v>--</v>
          </cell>
          <cell r="F43" t="str">
            <v>--</v>
          </cell>
          <cell r="G43">
            <v>1</v>
          </cell>
          <cell r="H43" t="str">
            <v>...</v>
          </cell>
          <cell r="I43">
            <v>3</v>
          </cell>
          <cell r="J43" t="str">
            <v>...</v>
          </cell>
          <cell r="K43">
            <v>4</v>
          </cell>
        </row>
        <row r="44">
          <cell r="A44" t="str">
            <v xml:space="preserve">          Other bilaterals</v>
          </cell>
          <cell r="D44" t="str">
            <v>--</v>
          </cell>
          <cell r="E44" t="str">
            <v>--</v>
          </cell>
          <cell r="F44" t="str">
            <v>--</v>
          </cell>
          <cell r="G44">
            <v>10.7</v>
          </cell>
          <cell r="H44" t="str">
            <v>...</v>
          </cell>
          <cell r="I44" t="str">
            <v>--</v>
          </cell>
          <cell r="J44" t="str">
            <v>...</v>
          </cell>
          <cell r="K44">
            <v>10.7</v>
          </cell>
        </row>
        <row r="45">
          <cell r="A45" t="str">
            <v xml:space="preserve">       Central Bank</v>
          </cell>
          <cell r="D45" t="str">
            <v>--</v>
          </cell>
          <cell r="E45" t="str">
            <v>--</v>
          </cell>
          <cell r="F45" t="str">
            <v>--</v>
          </cell>
          <cell r="G45" t="str">
            <v>--</v>
          </cell>
          <cell r="H45" t="str">
            <v>...</v>
          </cell>
          <cell r="I45" t="e">
            <v>#REF!</v>
          </cell>
          <cell r="J45" t="str">
            <v>...</v>
          </cell>
          <cell r="K45" t="e">
            <v>#REF!</v>
          </cell>
        </row>
        <row r="47">
          <cell r="A47" t="str">
            <v>Memorandum items:</v>
          </cell>
        </row>
        <row r="49">
          <cell r="A49" t="str">
            <v xml:space="preserve">   Cumulative BOP support</v>
          </cell>
          <cell r="D49">
            <v>16.065000000000001</v>
          </cell>
          <cell r="E49">
            <v>13.447199999999999</v>
          </cell>
          <cell r="F49">
            <v>21.465000000000003</v>
          </cell>
          <cell r="G49">
            <v>52.807199999999995</v>
          </cell>
          <cell r="H49">
            <v>268.20000000000005</v>
          </cell>
          <cell r="I49" t="e">
            <v>#REF!</v>
          </cell>
          <cell r="J49">
            <v>268.20000000000005</v>
          </cell>
          <cell r="K49" t="e">
            <v>#REF!</v>
          </cell>
        </row>
        <row r="50">
          <cell r="A50" t="str">
            <v xml:space="preserve">      Debt relief</v>
          </cell>
          <cell r="D50">
            <v>7</v>
          </cell>
          <cell r="E50">
            <v>7.1</v>
          </cell>
          <cell r="F50">
            <v>10.5</v>
          </cell>
          <cell r="G50">
            <v>40.56</v>
          </cell>
          <cell r="H50">
            <v>234.3</v>
          </cell>
          <cell r="I50" t="e">
            <v>#REF!</v>
          </cell>
          <cell r="J50">
            <v>234.3</v>
          </cell>
          <cell r="K50" t="e">
            <v>#REF!</v>
          </cell>
        </row>
        <row r="51">
          <cell r="A51" t="str">
            <v xml:space="preserve">      Non debt relief</v>
          </cell>
          <cell r="D51">
            <v>9.0650000000000013</v>
          </cell>
          <cell r="E51">
            <v>6.3472</v>
          </cell>
          <cell r="F51">
            <v>10.965</v>
          </cell>
          <cell r="G51">
            <v>12.247199999999999</v>
          </cell>
          <cell r="H51">
            <v>33.900000000000006</v>
          </cell>
          <cell r="I51">
            <v>21.058440000000001</v>
          </cell>
          <cell r="J51">
            <v>33.900000000000006</v>
          </cell>
          <cell r="K51">
            <v>21.058440000000001</v>
          </cell>
        </row>
        <row r="52">
          <cell r="A52" t="str">
            <v xml:space="preserve">        Loans</v>
          </cell>
          <cell r="D52">
            <v>7.6650000000000009</v>
          </cell>
          <cell r="E52">
            <v>4.7034500000000001</v>
          </cell>
          <cell r="F52">
            <v>7.6650000000000009</v>
          </cell>
          <cell r="G52">
            <v>8.9034499999999994</v>
          </cell>
          <cell r="H52">
            <v>18.300000000000004</v>
          </cell>
          <cell r="I52">
            <v>19.25844</v>
          </cell>
          <cell r="J52">
            <v>18.300000000000004</v>
          </cell>
          <cell r="K52">
            <v>19.25844</v>
          </cell>
        </row>
        <row r="53">
          <cell r="A53" t="str">
            <v xml:space="preserve">        Grants</v>
          </cell>
          <cell r="D53">
            <v>1.4</v>
          </cell>
          <cell r="E53">
            <v>1.6437499999999998</v>
          </cell>
          <cell r="F53">
            <v>3.3</v>
          </cell>
          <cell r="G53">
            <v>3.34375</v>
          </cell>
          <cell r="H53">
            <v>15.599999999999998</v>
          </cell>
          <cell r="I53">
            <v>1.8000000000000003</v>
          </cell>
          <cell r="J53">
            <v>15.599999999999998</v>
          </cell>
          <cell r="K53">
            <v>1.8000000000000003</v>
          </cell>
        </row>
        <row r="54">
          <cell r="A54" t="str">
            <v xml:space="preserve">   Financing gap</v>
          </cell>
          <cell r="B54" t="str">
            <v>...</v>
          </cell>
          <cell r="C54" t="str">
            <v>--</v>
          </cell>
          <cell r="D54" t="str">
            <v>...</v>
          </cell>
          <cell r="E54" t="str">
            <v>--</v>
          </cell>
          <cell r="F54" t="str">
            <v>...</v>
          </cell>
          <cell r="G54" t="str">
            <v>--</v>
          </cell>
          <cell r="H54" t="str">
            <v>...</v>
          </cell>
          <cell r="I54" t="str">
            <v>--</v>
          </cell>
          <cell r="J54">
            <v>5.6</v>
          </cell>
          <cell r="K54">
            <v>0</v>
          </cell>
        </row>
        <row r="57">
          <cell r="A57" t="str">
            <v xml:space="preserve">  Source: Guinea-Bissau authorities; European Union Delegation in Bissau; Swedish Embassy in Bissau; and staff estimates and projections.</v>
          </cell>
        </row>
      </sheetData>
      <sheetData sheetId="17"/>
      <sheetData sheetId="1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  <sheetName val="E"/>
      <sheetName val="large projects"/>
      <sheetName val="F"/>
      <sheetName val="BoP OUT Medium"/>
      <sheetName val="BoP OUT Long"/>
      <sheetName val="IMF Assistance"/>
      <sheetName val="Terms of Trade"/>
      <sheetName val="Exports"/>
      <sheetName val="Services"/>
      <sheetName val="Key Ratios"/>
      <sheetName val="Debt Service  Long"/>
      <sheetName val="DebtService to budget"/>
      <sheetName val="Workspace contents"/>
      <sheetName val="OUTPUT"/>
      <sheetName val="MULT-Ass."/>
      <sheetName val="modalities"/>
      <sheetName val="Tab1"/>
      <sheetName val="Tab2"/>
      <sheetName val="Tab3"/>
      <sheetName val="Tab 4"/>
      <sheetName val="Tab5"/>
      <sheetName val="Tab6"/>
      <sheetName val="Tab7"/>
      <sheetName val="macro"/>
      <sheetName val="arrears-tab"/>
      <sheetName val="by creditor-after"/>
      <sheetName val="by creditor-before"/>
      <sheetName val="tab8"/>
      <sheetName val="fiscal-tab"/>
      <sheetName val="Bilateral Assistance"/>
      <sheetName val="Delivery"/>
      <sheetName val="by type of debt-after"/>
      <sheetName val="by type of debt-before"/>
    </sheetNames>
    <sheetDataSet>
      <sheetData sheetId="0" refreshError="1"/>
      <sheetData sheetId="1"/>
      <sheetData sheetId="2"/>
      <sheetData sheetId="3" refreshError="1">
        <row r="1">
          <cell r="O1" t="str">
            <v>Naples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FE MEF 2004"/>
      <sheetName val="Budget 2004 Minis"/>
      <sheetName val="Plan Tresor EEMP"/>
      <sheetName val="Plan Tresor Rev"/>
      <sheetName val="Dépenses auth par code"/>
      <sheetName val="Mensuel et Hebd."/>
      <sheetName val="Reconciliation"/>
      <sheetName val="Reconc. despen (Tresor v BCEAO)"/>
      <sheetName val="Dépenses auth par Min"/>
      <sheetName val="By Min update"/>
      <sheetName val="Att II"/>
      <sheetName val="Des pessoal"/>
      <sheetName val="Sheet9"/>
      <sheetName val="Sheet7"/>
      <sheetName val="Sheet4"/>
      <sheetName val="Sheet5"/>
      <sheetName val="Sheet6"/>
      <sheetName val="Sheet2"/>
      <sheetName val="Sheet1"/>
      <sheetName val="Travel"/>
      <sheetName val="Mensuel et Hebd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GRealModule"/>
      <sheetName val="Readme"/>
      <sheetName val="TOC"/>
      <sheetName val="In"/>
      <sheetName val="Out"/>
      <sheetName val="Weta"/>
      <sheetName val="SEI"/>
      <sheetName val="SavInv_tab"/>
      <sheetName val="Source_sect"/>
      <sheetName val="Source_exp"/>
      <sheetName val="GDP Deflator"/>
      <sheetName val="Non-oil Defl"/>
      <sheetName val="Work_sect"/>
      <sheetName val="Work_exp"/>
      <sheetName val="EER Data"/>
      <sheetName val="Work_exp_muddlethrough"/>
      <sheetName val="Work_sect_muddlethrugh"/>
      <sheetName val="SavInv-muddlethrough"/>
      <sheetName val="SEI-muddlethrugh"/>
      <sheetName val="SEI-WB-Annual meetings"/>
      <sheetName val="SEI_alternative"/>
      <sheetName val="Table 1"/>
      <sheetName val="Table 2"/>
      <sheetName val="Table 3"/>
      <sheetName val="Table 4"/>
      <sheetName val="Table 5"/>
      <sheetName val="RED1"/>
      <sheetName val="RED2"/>
      <sheetName val="RED3"/>
      <sheetName val="RED4"/>
      <sheetName val="RED6"/>
      <sheetName val="RED7"/>
      <sheetName val="Assumptions"/>
      <sheetName val="Spring-2003-brief"/>
      <sheetName val="SavInv"/>
      <sheetName val="Deflator"/>
      <sheetName val="SEI-PIN SR"/>
      <sheetName val="Brief table"/>
      <sheetName val="Sheet1"/>
      <sheetName val="Work_sect_alternative"/>
      <sheetName val="Work_exp_alternative"/>
      <sheetName val="SR_Fig1"/>
      <sheetName val="chart data"/>
      <sheetName val="SEI-WB-Annual meetings-hard"/>
      <sheetName val="charts"/>
      <sheetName val="Summary"/>
      <sheetName val="Quarterly_deflator"/>
      <sheetName val="SEI-MDG"/>
      <sheetName val="Work_sect_MDG"/>
      <sheetName val="Work_exp_MDG"/>
      <sheetName val="SavInv-MDG"/>
      <sheetName val="SEI long-term"/>
      <sheetName val="brief summary"/>
      <sheetName val="Text_tab"/>
      <sheetName val="In_for nonoil"/>
      <sheetName val="SavInv_gdp"/>
      <sheetName val="SavInv__nonoilgdp"/>
      <sheetName val="Temp_insheet for nonoil"/>
      <sheetName val="Work_exp_non-oil"/>
      <sheetName val="SavInv_nonoilgdp"/>
      <sheetName val="SEI_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ex 1"/>
      <sheetName val="Annex 2"/>
      <sheetName val="Graph"/>
      <sheetName val="Summary"/>
      <sheetName val="DS-Before"/>
      <sheetName val="DS-After"/>
      <sheetName val="DS-Forgive"/>
      <sheetName val="NPV Reduction"/>
      <sheetName val="DS-Forgive US$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 refreshError="1">
        <row r="8">
          <cell r="I8">
            <v>1</v>
          </cell>
        </row>
      </sheetData>
      <sheetData sheetId="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ontents"/>
      <sheetName val="B"/>
      <sheetName val="C"/>
      <sheetName val="D"/>
    </sheetNames>
    <sheetDataSet>
      <sheetData sheetId="0" refreshError="1"/>
      <sheetData sheetId="1" refreshError="1"/>
      <sheetData sheetId="2" refreshError="1"/>
      <sheetData sheetId="3" refreshError="1">
        <row r="747">
          <cell r="A747" t="str">
            <v>Revenues</v>
          </cell>
          <cell r="B747">
            <v>1093</v>
          </cell>
          <cell r="C747">
            <v>1525.739</v>
          </cell>
          <cell r="D747">
            <v>2412.8190000000004</v>
          </cell>
          <cell r="E747">
            <v>3478.5820000000003</v>
          </cell>
          <cell r="F747">
            <v>4622.8869999999997</v>
          </cell>
          <cell r="G747">
            <v>5310.7539999999999</v>
          </cell>
          <cell r="H747">
            <v>6261.8</v>
          </cell>
          <cell r="I747">
            <v>7524</v>
          </cell>
          <cell r="J747">
            <v>8799.5982845464187</v>
          </cell>
          <cell r="K747">
            <v>10361.581657193819</v>
          </cell>
          <cell r="L747">
            <v>11978.915103029802</v>
          </cell>
          <cell r="M747">
            <v>13633.590990449175</v>
          </cell>
          <cell r="N747">
            <v>15385.071791045571</v>
          </cell>
          <cell r="O747">
            <v>17396.566824153724</v>
          </cell>
          <cell r="P747">
            <v>19662.777585677104</v>
          </cell>
          <cell r="Q747">
            <v>22280.660763938788</v>
          </cell>
          <cell r="R747">
            <v>24944.869458979287</v>
          </cell>
          <cell r="S747">
            <v>27919.905405046018</v>
          </cell>
          <cell r="T747">
            <v>31251.58997754431</v>
          </cell>
          <cell r="U747">
            <v>34906.269956849777</v>
          </cell>
          <cell r="V747">
            <v>38991.000271730183</v>
          </cell>
          <cell r="W747">
            <v>43556.782157687507</v>
          </cell>
          <cell r="X747">
            <v>48660.727362510224</v>
          </cell>
          <cell r="Y747">
            <v>53526.800098761254</v>
          </cell>
          <cell r="Z747">
            <v>58879.480108637385</v>
          </cell>
          <cell r="AA747">
            <v>64767.428119501128</v>
          </cell>
          <cell r="AB747">
            <v>71244.170931451241</v>
          </cell>
          <cell r="AC747">
            <v>78368.588024596378</v>
          </cell>
          <cell r="AD747">
            <v>86205.446827056017</v>
          </cell>
          <cell r="AE747">
            <v>94825.991509761632</v>
          </cell>
          <cell r="AF747">
            <v>104308.5906607378</v>
          </cell>
          <cell r="AG747">
            <v>114739.44972681158</v>
          </cell>
          <cell r="AH747">
            <v>126213.39469949275</v>
          </cell>
          <cell r="AI747">
            <v>138834.73416944203</v>
          </cell>
          <cell r="AJ747">
            <v>152718.20758638624</v>
          </cell>
          <cell r="AK747">
            <v>167990.02834502488</v>
          </cell>
          <cell r="AL747">
            <v>184789.03117952737</v>
          </cell>
          <cell r="AM747">
            <v>203267.93429748013</v>
          </cell>
          <cell r="AN747">
            <v>223594.72772722816</v>
          </cell>
          <cell r="AO747">
            <v>245954.200499951</v>
          </cell>
          <cell r="AP747">
            <v>270549.62054994609</v>
          </cell>
          <cell r="AQ747">
            <v>297604.58260494075</v>
          </cell>
          <cell r="AR747">
            <v>327365.04086543486</v>
          </cell>
          <cell r="AS747">
            <v>360101.54495197837</v>
          </cell>
          <cell r="AT747">
            <v>396111.69944717624</v>
          </cell>
          <cell r="AU747">
            <v>435722.86939189391</v>
          </cell>
          <cell r="AV747">
            <v>479295.15633108333</v>
          </cell>
          <cell r="AW747">
            <v>527224.67196419172</v>
          </cell>
          <cell r="AX747">
            <v>579947.13916061097</v>
          </cell>
          <cell r="AY747">
            <v>637941.85307667207</v>
          </cell>
          <cell r="AZ747">
            <v>701736.03838433931</v>
          </cell>
          <cell r="BA747">
            <v>771909.64222277328</v>
          </cell>
          <cell r="BB747">
            <v>849100.60644505068</v>
          </cell>
          <cell r="BC747">
            <v>934010.66708955588</v>
          </cell>
          <cell r="BD747">
            <v>1027411.7337985116</v>
          </cell>
          <cell r="BE747">
            <v>1130152.9071783628</v>
          </cell>
          <cell r="BF747">
            <v>1243168.1978961993</v>
          </cell>
          <cell r="BG747">
            <v>1367485.0176858194</v>
          </cell>
          <cell r="BH747">
            <v>1504233.5194544015</v>
          </cell>
        </row>
      </sheetData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"/>
      <sheetName val="BoPSR"/>
    </sheetNames>
    <sheetDataSet>
      <sheetData sheetId="0" refreshError="1"/>
      <sheetData sheetId="1" refreshError="1">
        <row r="5">
          <cell r="B5">
            <v>1999</v>
          </cell>
        </row>
        <row r="9">
          <cell r="B9" t="str">
            <v>(In millions of U.S. dollars)</v>
          </cell>
        </row>
        <row r="11">
          <cell r="B11">
            <v>-40.311124274322054</v>
          </cell>
        </row>
        <row r="12">
          <cell r="B12">
            <v>-14.423800351486982</v>
          </cell>
        </row>
        <row r="13">
          <cell r="B13">
            <v>51.162127860304473</v>
          </cell>
        </row>
        <row r="14">
          <cell r="B14">
            <v>48.725028422933242</v>
          </cell>
        </row>
        <row r="15">
          <cell r="B15">
            <v>-65.585928211791455</v>
          </cell>
        </row>
        <row r="16">
          <cell r="B16">
            <v>-1.0649999999999999</v>
          </cell>
        </row>
        <row r="18">
          <cell r="B18">
            <v>-25.887323922835073</v>
          </cell>
        </row>
        <row r="19">
          <cell r="B19">
            <v>4.5841445292620868</v>
          </cell>
        </row>
        <row r="20">
          <cell r="B20">
            <v>-30.471468452097159</v>
          </cell>
        </row>
        <row r="22">
          <cell r="B22">
            <v>-14.282442199576613</v>
          </cell>
        </row>
        <row r="24">
          <cell r="B24">
            <v>27.55667500406042</v>
          </cell>
        </row>
        <row r="25">
          <cell r="B25">
            <v>22.991675004060419</v>
          </cell>
        </row>
        <row r="26">
          <cell r="B26">
            <v>1.3</v>
          </cell>
        </row>
        <row r="27">
          <cell r="B27">
            <v>12.668507389962643</v>
          </cell>
        </row>
        <row r="28">
          <cell r="B28">
            <v>4.5650000000000004</v>
          </cell>
        </row>
        <row r="29">
          <cell r="B29">
            <v>1.0649999999999999</v>
          </cell>
        </row>
        <row r="32">
          <cell r="B32">
            <v>-27.036891469838249</v>
          </cell>
        </row>
        <row r="33">
          <cell r="B33">
            <v>-50.028566473898664</v>
          </cell>
        </row>
        <row r="34">
          <cell r="B34">
            <v>-37.360059083936022</v>
          </cell>
        </row>
        <row r="35">
          <cell r="B35">
            <v>-23.077616884359408</v>
          </cell>
        </row>
        <row r="37">
          <cell r="B37">
            <v>-7.6</v>
          </cell>
        </row>
        <row r="39">
          <cell r="B39">
            <v>20.69354393373396</v>
          </cell>
        </row>
        <row r="40">
          <cell r="B40">
            <v>20.69354393373396</v>
          </cell>
        </row>
        <row r="41">
          <cell r="B41">
            <v>0</v>
          </cell>
        </row>
        <row r="43">
          <cell r="B43">
            <v>-28.3</v>
          </cell>
        </row>
        <row r="44">
          <cell r="B44">
            <v>2.4</v>
          </cell>
        </row>
        <row r="45">
          <cell r="B45">
            <v>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2.4</v>
          </cell>
        </row>
        <row r="49">
          <cell r="B49">
            <v>-19.7</v>
          </cell>
        </row>
        <row r="50">
          <cell r="B50">
            <v>4.5</v>
          </cell>
        </row>
        <row r="51">
          <cell r="B51">
            <v>-15.491505328950801</v>
          </cell>
        </row>
        <row r="55">
          <cell r="B55">
            <v>-34.6</v>
          </cell>
        </row>
        <row r="57">
          <cell r="B57">
            <v>34.624197760068924</v>
          </cell>
        </row>
        <row r="63">
          <cell r="B63">
            <v>10.24476451335787</v>
          </cell>
        </row>
        <row r="64">
          <cell r="B64">
            <v>6.2012645133578701</v>
          </cell>
        </row>
        <row r="65">
          <cell r="B65">
            <v>0</v>
          </cell>
        </row>
        <row r="66">
          <cell r="B66">
            <v>4.0434999999999999</v>
          </cell>
        </row>
        <row r="67">
          <cell r="B67">
            <v>4.66</v>
          </cell>
        </row>
        <row r="68">
          <cell r="B68">
            <v>-0.61650000000000005</v>
          </cell>
        </row>
        <row r="69">
          <cell r="B69">
            <v>0</v>
          </cell>
        </row>
        <row r="71">
          <cell r="B71">
            <v>0</v>
          </cell>
        </row>
        <row r="72">
          <cell r="B72">
            <v>0</v>
          </cell>
        </row>
        <row r="73">
          <cell r="B73">
            <v>0</v>
          </cell>
        </row>
        <row r="75">
          <cell r="B75">
            <v>28.422933246711057</v>
          </cell>
        </row>
        <row r="76">
          <cell r="B76">
            <v>28.422933246711057</v>
          </cell>
        </row>
        <row r="77">
          <cell r="B77">
            <v>0</v>
          </cell>
        </row>
        <row r="80">
          <cell r="B80">
            <v>0</v>
          </cell>
        </row>
        <row r="81">
          <cell r="B81">
            <v>0</v>
          </cell>
        </row>
        <row r="82">
          <cell r="B82">
            <v>0</v>
          </cell>
        </row>
        <row r="84">
          <cell r="B84" t="str">
            <v>(In units indicated)</v>
          </cell>
        </row>
        <row r="86">
          <cell r="B86">
            <v>63.478467960811514</v>
          </cell>
        </row>
        <row r="87">
          <cell r="B87">
            <v>27.00316429735954</v>
          </cell>
        </row>
        <row r="89">
          <cell r="B89">
            <v>60.909136865396071</v>
          </cell>
        </row>
        <row r="90">
          <cell r="B90">
            <v>87.394855415589689</v>
          </cell>
        </row>
        <row r="92">
          <cell r="B92">
            <v>-12.043302545871102</v>
          </cell>
        </row>
        <row r="93">
          <cell r="B93">
            <v>-22.28470542382918</v>
          </cell>
        </row>
        <row r="94">
          <cell r="B94">
            <v>-16.641650360634202</v>
          </cell>
        </row>
        <row r="95">
          <cell r="B95" t="str">
            <v/>
          </cell>
        </row>
        <row r="96">
          <cell r="B96">
            <v>-10.279684796090441</v>
          </cell>
        </row>
        <row r="97">
          <cell r="B97">
            <v>33.144795687067329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1"/>
      <sheetName val="Table 2"/>
      <sheetName val="Table3"/>
      <sheetName val="Table 4"/>
      <sheetName val="Table 5"/>
      <sheetName val="Table 6"/>
      <sheetName val="Table 7"/>
      <sheetName val="Table 8"/>
      <sheetName val="Table 9"/>
      <sheetName val="Table 10"/>
      <sheetName val="Table 11"/>
      <sheetName val="Table 12"/>
      <sheetName val="Figure 1"/>
      <sheetName val="Figure 2"/>
      <sheetName val="Indic"/>
      <sheetName val="dP2"/>
      <sheetName val="dp3"/>
      <sheetName val="dp4"/>
      <sheetName val="dp5"/>
      <sheetName val="Assistance"/>
      <sheetName val="burdensh"/>
      <sheetName val="Delivery"/>
      <sheetName val="Bilateral Assistance"/>
      <sheetName val="(Topup)"/>
      <sheetName val="Total Debt"/>
      <sheetName val="ODA Debt"/>
      <sheetName val="DC"/>
      <sheetName val="DS"/>
      <sheetName val="RepData"/>
      <sheetName val="RepData1"/>
      <sheetName val="RepData2"/>
      <sheetName val="MACRO"/>
      <sheetName val="GAP FILLING"/>
      <sheetName val="Baseline-GapFill"/>
      <sheetName val="Base2-GapeFill"/>
      <sheetName val="Base3-GapeFill"/>
      <sheetName val="Base4-GapeFill"/>
      <sheetName val="LowCopper-GapFill"/>
      <sheetName val="LowCopper2-GapFill"/>
      <sheetName val="LowCopper3-GapFill"/>
      <sheetName val="LowCopper4-GapFill"/>
      <sheetName val="Sheet7"/>
      <sheetName val="NEWDEBT"/>
      <sheetName val="NEW-IDA"/>
      <sheetName val="NEW-IMF"/>
      <sheetName val="NEW-ADF"/>
      <sheetName val="NEW-OTHMULT"/>
      <sheetName val="Old Table Social"/>
      <sheetName val="Old Table BOP-DSA"/>
    </sheetNames>
    <sheetDataSet>
      <sheetData sheetId="0" refreshError="1"/>
      <sheetData sheetId="1" refreshError="1">
        <row r="3">
          <cell r="A3" t="str">
            <v>Table 1. Zambia: Selected Economic and Financial Indicators, 1998-2002</v>
          </cell>
        </row>
        <row r="5">
          <cell r="F5" t="str">
            <v>Prog.</v>
          </cell>
          <cell r="G5" t="str">
            <v>Prog</v>
          </cell>
          <cell r="H5">
            <v>1998</v>
          </cell>
          <cell r="I5" t="str">
            <v>Prog.</v>
          </cell>
          <cell r="J5" t="str">
            <v>Rev. Prog.</v>
          </cell>
          <cell r="K5">
            <v>1999</v>
          </cell>
        </row>
        <row r="6">
          <cell r="H6" t="str">
            <v>Act.</v>
          </cell>
          <cell r="K6" t="str">
            <v>Est.</v>
          </cell>
        </row>
        <row r="10">
          <cell r="C10" t="str">
            <v>(Annual percentage change, unless otherwise indicated)</v>
          </cell>
          <cell r="H10" t="str">
            <v>(Annual percentage change, unless otherwise indicated)</v>
          </cell>
        </row>
        <row r="11">
          <cell r="A11" t="str">
            <v>National income and prices</v>
          </cell>
        </row>
        <row r="12">
          <cell r="A12" t="str">
            <v xml:space="preserve">   Real GDP</v>
          </cell>
          <cell r="B12">
            <v>-3</v>
          </cell>
          <cell r="C12">
            <v>-4.3</v>
          </cell>
          <cell r="D12">
            <v>6.6</v>
          </cell>
          <cell r="E12">
            <v>3.5</v>
          </cell>
          <cell r="F12">
            <v>5.5</v>
          </cell>
          <cell r="G12">
            <v>4</v>
          </cell>
          <cell r="H12">
            <v>-1.9116485891202073</v>
          </cell>
          <cell r="I12">
            <v>4</v>
          </cell>
          <cell r="J12">
            <v>1</v>
          </cell>
          <cell r="K12">
            <v>2.4488412489937796</v>
          </cell>
        </row>
        <row r="13">
          <cell r="A13" t="str">
            <v xml:space="preserve">   GDP deflator</v>
          </cell>
          <cell r="B13">
            <v>58.9</v>
          </cell>
          <cell r="C13">
            <v>39.4</v>
          </cell>
          <cell r="D13">
            <v>23.6</v>
          </cell>
          <cell r="E13">
            <v>26.6</v>
          </cell>
          <cell r="F13">
            <v>8.8000000000000007</v>
          </cell>
          <cell r="G13">
            <v>14.8</v>
          </cell>
          <cell r="H13">
            <v>19.625177604044055</v>
          </cell>
          <cell r="I13">
            <v>20.8</v>
          </cell>
          <cell r="J13">
            <v>20.9</v>
          </cell>
          <cell r="K13">
            <v>21.713589144707758</v>
          </cell>
        </row>
        <row r="14">
          <cell r="A14" t="str">
            <v xml:space="preserve">   Consumer prices (annual average)</v>
          </cell>
          <cell r="B14">
            <v>54.6</v>
          </cell>
          <cell r="C14">
            <v>34.9</v>
          </cell>
          <cell r="D14">
            <v>43.1</v>
          </cell>
          <cell r="E14">
            <v>24.4</v>
          </cell>
          <cell r="F14">
            <v>13.2</v>
          </cell>
          <cell r="G14">
            <v>19.899999999999999</v>
          </cell>
          <cell r="H14">
            <v>24.456407470090657</v>
          </cell>
          <cell r="I14">
            <v>21.6</v>
          </cell>
          <cell r="J14">
            <v>25.9</v>
          </cell>
          <cell r="K14">
            <v>26.790443533773846</v>
          </cell>
        </row>
        <row r="15">
          <cell r="A15" t="str">
            <v xml:space="preserve">   Consumer prices (end of period)</v>
          </cell>
          <cell r="B15">
            <v>38.4</v>
          </cell>
          <cell r="C15">
            <v>46</v>
          </cell>
          <cell r="D15">
            <v>35.200000000000003</v>
          </cell>
          <cell r="E15">
            <v>18.600000000000001</v>
          </cell>
          <cell r="F15">
            <v>9</v>
          </cell>
          <cell r="G15">
            <v>15</v>
          </cell>
          <cell r="H15">
            <v>30.567348514087222</v>
          </cell>
          <cell r="I15">
            <v>15</v>
          </cell>
          <cell r="J15">
            <v>20</v>
          </cell>
          <cell r="K15">
            <v>20.632574637895363</v>
          </cell>
        </row>
        <row r="16">
          <cell r="A16" t="str">
            <v xml:space="preserve">   Nominal GDP (in billions of kwacha) </v>
          </cell>
          <cell r="B16">
            <v>2486</v>
          </cell>
          <cell r="C16">
            <v>2826</v>
          </cell>
          <cell r="D16">
            <v>3944.9</v>
          </cell>
          <cell r="E16">
            <v>5169.1000000000004</v>
          </cell>
          <cell r="F16">
            <v>6145.1084130175996</v>
          </cell>
          <cell r="G16">
            <v>6388.7233033088005</v>
          </cell>
          <cell r="H16">
            <v>6032.6</v>
          </cell>
          <cell r="I16">
            <v>7839</v>
          </cell>
          <cell r="J16">
            <v>7624</v>
          </cell>
          <cell r="K16">
            <v>7522.3</v>
          </cell>
        </row>
        <row r="17">
          <cell r="A17" t="str">
            <v xml:space="preserve">   Copper production (in thousands of metric tons)</v>
          </cell>
          <cell r="B17">
            <v>360</v>
          </cell>
          <cell r="C17">
            <v>308</v>
          </cell>
          <cell r="D17">
            <v>327</v>
          </cell>
          <cell r="E17">
            <v>301</v>
          </cell>
          <cell r="F17">
            <v>320</v>
          </cell>
          <cell r="G17">
            <v>314</v>
          </cell>
          <cell r="H17">
            <v>256</v>
          </cell>
          <cell r="I17">
            <v>0</v>
          </cell>
          <cell r="J17">
            <v>252</v>
          </cell>
          <cell r="K17">
            <v>240</v>
          </cell>
        </row>
        <row r="19">
          <cell r="A19" t="str">
            <v>External sector</v>
          </cell>
        </row>
        <row r="20">
          <cell r="A20" t="str">
            <v xml:space="preserve">   U.S. dollar value of exports of goods and services</v>
          </cell>
          <cell r="B20">
            <v>7.3</v>
          </cell>
          <cell r="C20">
            <v>11.2</v>
          </cell>
          <cell r="D20">
            <v>-16.2</v>
          </cell>
          <cell r="E20">
            <v>19.899999999999999</v>
          </cell>
          <cell r="F20">
            <v>-3</v>
          </cell>
          <cell r="G20">
            <v>-10.668277532711167</v>
          </cell>
          <cell r="H20">
            <v>-26.530807052933024</v>
          </cell>
          <cell r="I20">
            <v>0</v>
          </cell>
          <cell r="J20">
            <v>-4.3202189687115977</v>
          </cell>
          <cell r="K20">
            <v>-7.4947968121434672</v>
          </cell>
        </row>
        <row r="21">
          <cell r="A21" t="str">
            <v xml:space="preserve">      Of which: copper </v>
          </cell>
          <cell r="B21">
            <v>1.6731734523145469</v>
          </cell>
          <cell r="C21">
            <v>16.703236423477776</v>
          </cell>
          <cell r="D21">
            <v>-33.290246768507636</v>
          </cell>
          <cell r="E21">
            <v>14.39439115025538</v>
          </cell>
          <cell r="F21">
            <v>-16.2</v>
          </cell>
          <cell r="G21">
            <v>-23.43673126192337</v>
          </cell>
          <cell r="H21">
            <v>-35.534283942963427</v>
          </cell>
          <cell r="I21">
            <v>0</v>
          </cell>
          <cell r="J21">
            <v>-16.299287410926379</v>
          </cell>
          <cell r="K21">
            <v>-10.158564075735299</v>
          </cell>
        </row>
        <row r="22">
          <cell r="A22" t="str">
            <v xml:space="preserve">   U.S. dollar value of imports of goods and services</v>
          </cell>
          <cell r="B22">
            <v>-1.6</v>
          </cell>
          <cell r="C22">
            <v>19.100000000000001</v>
          </cell>
          <cell r="D22">
            <v>-11.6</v>
          </cell>
          <cell r="E22">
            <v>15.522704905215301</v>
          </cell>
          <cell r="F22">
            <v>11.9</v>
          </cell>
          <cell r="G22">
            <v>0.50742820478060224</v>
          </cell>
          <cell r="H22">
            <v>-8.1</v>
          </cell>
          <cell r="I22">
            <v>0</v>
          </cell>
          <cell r="J22">
            <v>1.2522956331512125</v>
          </cell>
          <cell r="K22">
            <v>-10.291542186051316</v>
          </cell>
        </row>
        <row r="23">
          <cell r="A23" t="str">
            <v xml:space="preserve">   Export volume </v>
          </cell>
          <cell r="B23">
            <v>-2.6654296331791727</v>
          </cell>
          <cell r="C23">
            <v>-9.4015716834679459</v>
          </cell>
          <cell r="D23">
            <v>9.4424298453145372</v>
          </cell>
          <cell r="E23">
            <v>6.9934798957625999</v>
          </cell>
          <cell r="F23">
            <v>5.7</v>
          </cell>
          <cell r="G23">
            <v>4.6601904534587124</v>
          </cell>
          <cell r="H23">
            <v>-8.8000000000000007</v>
          </cell>
          <cell r="I23">
            <v>0</v>
          </cell>
          <cell r="J23">
            <v>1.4864330276973092</v>
          </cell>
          <cell r="K23">
            <v>-3.9</v>
          </cell>
        </row>
        <row r="24">
          <cell r="A24" t="str">
            <v xml:space="preserve">   Import volume </v>
          </cell>
          <cell r="B24">
            <v>-3.7839077745961625</v>
          </cell>
          <cell r="C24">
            <v>8.1673654193309186</v>
          </cell>
          <cell r="D24">
            <v>-10.879295018494572</v>
          </cell>
          <cell r="E24">
            <v>25.4</v>
          </cell>
          <cell r="F24">
            <v>9.5</v>
          </cell>
          <cell r="G24">
            <v>2.7253281188287515</v>
          </cell>
          <cell r="H24">
            <v>-1.6</v>
          </cell>
          <cell r="I24">
            <v>0</v>
          </cell>
          <cell r="J24">
            <v>-0.68712860125741404</v>
          </cell>
          <cell r="K24">
            <v>-12.1</v>
          </cell>
        </row>
        <row r="25">
          <cell r="A25" t="str">
            <v xml:space="preserve">   Copper export volume</v>
          </cell>
          <cell r="B25">
            <v>-12.8</v>
          </cell>
          <cell r="C25">
            <v>-6.8063213057481313</v>
          </cell>
          <cell r="D25">
            <v>-4.0914588965068717</v>
          </cell>
          <cell r="E25">
            <v>-8.0229515105062159</v>
          </cell>
          <cell r="F25">
            <v>5.4</v>
          </cell>
          <cell r="G25">
            <v>4.2496679946879112</v>
          </cell>
          <cell r="H25">
            <v>-41.26136564798275</v>
          </cell>
          <cell r="I25">
            <v>0</v>
          </cell>
          <cell r="J25">
            <v>-0.23752969121140222</v>
          </cell>
          <cell r="K25">
            <v>1.8</v>
          </cell>
        </row>
        <row r="26">
          <cell r="A26" t="str">
            <v xml:space="preserve">   Copper exports (in thousands of metric tons)</v>
          </cell>
          <cell r="B26">
            <v>366.38</v>
          </cell>
          <cell r="C26">
            <v>341.44299999999998</v>
          </cell>
          <cell r="D26">
            <v>327.47300000000001</v>
          </cell>
          <cell r="E26">
            <v>301.2</v>
          </cell>
          <cell r="F26">
            <v>320</v>
          </cell>
          <cell r="G26">
            <v>314</v>
          </cell>
          <cell r="H26">
            <v>255.863</v>
          </cell>
          <cell r="I26">
            <v>0</v>
          </cell>
          <cell r="J26">
            <v>252</v>
          </cell>
          <cell r="K26">
            <v>239.64599999999999</v>
          </cell>
        </row>
        <row r="27">
          <cell r="A27" t="str">
            <v xml:space="preserve">   Copper export prices (average, US$ per metric ton)</v>
          </cell>
          <cell r="B27">
            <v>2128.7955981215919</v>
          </cell>
          <cell r="C27">
            <v>2492.3632934340435</v>
          </cell>
          <cell r="D27">
            <v>1733.5780354410897</v>
          </cell>
          <cell r="E27">
            <v>2156.0987999999998</v>
          </cell>
          <cell r="F27">
            <v>1754</v>
          </cell>
          <cell r="G27">
            <v>1748.2478000000001</v>
          </cell>
          <cell r="H27">
            <v>1426.5290409320612</v>
          </cell>
          <cell r="I27">
            <v>0</v>
          </cell>
          <cell r="J27">
            <v>1393.5789999999997</v>
          </cell>
          <cell r="K27">
            <v>1385</v>
          </cell>
        </row>
        <row r="28">
          <cell r="A28" t="str">
            <v xml:space="preserve">   Nominal effective exchange rate</v>
          </cell>
          <cell r="B28">
            <v>-21.4</v>
          </cell>
          <cell r="C28">
            <v>-18.399999999999999</v>
          </cell>
          <cell r="D28">
            <v>-26.4</v>
          </cell>
          <cell r="E28">
            <v>-1.7</v>
          </cell>
          <cell r="F28" t="str">
            <v>...</v>
          </cell>
          <cell r="G28" t="str">
            <v>...</v>
          </cell>
          <cell r="H28">
            <v>-24.1</v>
          </cell>
          <cell r="I28">
            <v>-21.4</v>
          </cell>
          <cell r="J28" t="str">
            <v>...</v>
          </cell>
          <cell r="K28">
            <v>-21.5</v>
          </cell>
        </row>
        <row r="29">
          <cell r="A29" t="str">
            <v xml:space="preserve">   Real effective exchange rate</v>
          </cell>
          <cell r="B29">
            <v>11.1</v>
          </cell>
          <cell r="C29">
            <v>-4.0999999999999996</v>
          </cell>
          <cell r="D29">
            <v>3.8</v>
          </cell>
          <cell r="E29">
            <v>19.8</v>
          </cell>
          <cell r="F29" t="str">
            <v>...</v>
          </cell>
          <cell r="G29" t="str">
            <v>...</v>
          </cell>
          <cell r="H29">
            <v>-8.6999999999999993</v>
          </cell>
          <cell r="I29">
            <v>-2.1</v>
          </cell>
          <cell r="J29" t="str">
            <v>...</v>
          </cell>
          <cell r="K29">
            <v>-2.2999999999999998</v>
          </cell>
        </row>
        <row r="30">
          <cell r="A30" t="str">
            <v xml:space="preserve">   Average official exchange rate (kwacha per U.S. dollar) </v>
          </cell>
          <cell r="B30">
            <v>680.8</v>
          </cell>
          <cell r="C30">
            <v>865.9</v>
          </cell>
          <cell r="D30">
            <v>1208.3</v>
          </cell>
          <cell r="E30">
            <v>1315</v>
          </cell>
          <cell r="F30" t="str">
            <v>...</v>
          </cell>
          <cell r="G30" t="str">
            <v>...</v>
          </cell>
          <cell r="H30">
            <v>1862</v>
          </cell>
          <cell r="I30">
            <v>2388</v>
          </cell>
          <cell r="J30" t="str">
            <v>...</v>
          </cell>
          <cell r="K30">
            <v>2388</v>
          </cell>
        </row>
        <row r="31">
          <cell r="A31" t="str">
            <v xml:space="preserve">   Terms of trade</v>
          </cell>
          <cell r="B31">
            <v>7.7218064256489694</v>
          </cell>
          <cell r="C31">
            <v>11.485901498193618</v>
          </cell>
          <cell r="D31">
            <v>-22.842404023034003</v>
          </cell>
          <cell r="E31">
            <v>21.643058692590621</v>
          </cell>
          <cell r="F31">
            <v>-12.3</v>
          </cell>
          <cell r="G31">
            <v>-13.791076737056439</v>
          </cell>
          <cell r="H31">
            <v>-13.7</v>
          </cell>
          <cell r="I31">
            <v>0</v>
          </cell>
          <cell r="J31">
            <v>-9.1020976323221809</v>
          </cell>
          <cell r="K31">
            <v>-5.7</v>
          </cell>
        </row>
        <row r="33">
          <cell r="A33" t="str">
            <v>Money and credit</v>
          </cell>
        </row>
        <row r="34">
          <cell r="A34" t="str">
            <v xml:space="preserve">   Net foreign assets</v>
          </cell>
          <cell r="B34" t="str">
            <v>...</v>
          </cell>
          <cell r="C34">
            <v>-42.440664607895727</v>
          </cell>
          <cell r="D34">
            <v>-23.572185634422716</v>
          </cell>
          <cell r="E34">
            <v>7.2447791077052788</v>
          </cell>
          <cell r="F34">
            <v>0.6</v>
          </cell>
          <cell r="G34">
            <v>7.0236377409952144</v>
          </cell>
          <cell r="H34">
            <v>-100.24802423394638</v>
          </cell>
          <cell r="I34">
            <v>11.117032267336402</v>
          </cell>
          <cell r="J34">
            <v>13.194915154361798</v>
          </cell>
          <cell r="K34">
            <v>-7.1726307720860527</v>
          </cell>
        </row>
        <row r="35">
          <cell r="A35" t="str">
            <v xml:space="preserve">   Net domestic assets</v>
          </cell>
          <cell r="B35" t="str">
            <v>...</v>
          </cell>
          <cell r="C35">
            <v>46.741249085859835</v>
          </cell>
          <cell r="D35">
            <v>27.413620827792929</v>
          </cell>
          <cell r="E35">
            <v>4.4331240128025806</v>
          </cell>
          <cell r="F35">
            <v>0.6</v>
          </cell>
          <cell r="G35">
            <v>7.0236377409952144</v>
          </cell>
          <cell r="H35">
            <v>65.783431085545601</v>
          </cell>
          <cell r="I35">
            <v>-0.79696463291007991</v>
          </cell>
          <cell r="J35">
            <v>-1.78594209731473</v>
          </cell>
          <cell r="K35">
            <v>14.414502997062684</v>
          </cell>
        </row>
        <row r="36">
          <cell r="A36" t="str">
            <v xml:space="preserve">      Net domestic credit</v>
          </cell>
          <cell r="B36" t="str">
            <v>...</v>
          </cell>
          <cell r="C36">
            <v>60.391574356336797</v>
          </cell>
          <cell r="D36">
            <v>36.317907444668009</v>
          </cell>
          <cell r="E36">
            <v>6.8560885608855981</v>
          </cell>
          <cell r="F36">
            <v>2.1</v>
          </cell>
          <cell r="G36">
            <v>18.722325471372358</v>
          </cell>
          <cell r="H36">
            <v>95.397299537260878</v>
          </cell>
          <cell r="I36">
            <v>-2.4258058636375091</v>
          </cell>
          <cell r="J36">
            <v>5.5496290593631592</v>
          </cell>
          <cell r="K36">
            <v>33.022640132265522</v>
          </cell>
        </row>
        <row r="37">
          <cell r="A37" t="str">
            <v xml:space="preserve">         Net claims on government</v>
          </cell>
          <cell r="B37" t="str">
            <v>...</v>
          </cell>
          <cell r="C37">
            <v>7.5495324696603028</v>
          </cell>
          <cell r="D37">
            <v>22.742110990206644</v>
          </cell>
          <cell r="E37">
            <v>8.3865248226950619</v>
          </cell>
          <cell r="F37">
            <v>-52.3</v>
          </cell>
          <cell r="G37">
            <v>20.34992654997567</v>
          </cell>
          <cell r="H37">
            <v>374.97137248486843</v>
          </cell>
          <cell r="I37">
            <v>-19.612557728507252</v>
          </cell>
          <cell r="J37">
            <v>-4.3047377514955247</v>
          </cell>
          <cell r="K37">
            <v>19.372825899776114</v>
          </cell>
        </row>
        <row r="38">
          <cell r="A38" t="str">
            <v xml:space="preserve">         Claims on nongovernment</v>
          </cell>
          <cell r="B38" t="str">
            <v>...</v>
          </cell>
          <cell r="C38">
            <v>88.187557707208072</v>
          </cell>
          <cell r="D38">
            <v>40.399084069349044</v>
          </cell>
          <cell r="E38">
            <v>6.453867660764212</v>
          </cell>
          <cell r="F38">
            <v>17.100000000000001</v>
          </cell>
          <cell r="G38">
            <v>18.286802363755726</v>
          </cell>
          <cell r="H38">
            <v>20.587218209673885</v>
          </cell>
          <cell r="I38">
            <v>14.994079298298013</v>
          </cell>
          <cell r="J38">
            <v>15.501777070329602</v>
          </cell>
          <cell r="K38">
            <v>47.409172666767098</v>
          </cell>
        </row>
        <row r="39">
          <cell r="A39" t="str">
            <v xml:space="preserve">   Broad money</v>
          </cell>
          <cell r="B39" t="str">
            <v>...</v>
          </cell>
          <cell r="C39">
            <v>55.253732052926274</v>
          </cell>
          <cell r="D39">
            <v>34.436841131866089</v>
          </cell>
          <cell r="E39">
            <v>23.992296051726502</v>
          </cell>
          <cell r="F39">
            <v>15</v>
          </cell>
          <cell r="G39">
            <v>19.600000000000001</v>
          </cell>
          <cell r="H39">
            <v>22.601464551203819</v>
          </cell>
          <cell r="I39">
            <v>20.323964210829224</v>
          </cell>
          <cell r="J39">
            <v>21.561988657085429</v>
          </cell>
          <cell r="K39">
            <v>29.234656432040708</v>
          </cell>
        </row>
        <row r="40">
          <cell r="A40" t="str">
            <v xml:space="preserve">   Velocity 1/</v>
          </cell>
          <cell r="B40" t="str">
            <v>...</v>
          </cell>
          <cell r="C40">
            <v>6.3579298483492463</v>
          </cell>
          <cell r="D40">
            <v>6.0410094637223963</v>
          </cell>
          <cell r="E40">
            <v>6.271429091394392</v>
          </cell>
          <cell r="F40">
            <v>6.3</v>
          </cell>
          <cell r="G40">
            <v>6.7065611708184116</v>
          </cell>
          <cell r="H40">
            <v>6.4598279642547221</v>
          </cell>
          <cell r="I40">
            <v>6.3015084488705648</v>
          </cell>
          <cell r="J40">
            <v>6.4157876884836735</v>
          </cell>
          <cell r="K40">
            <v>6.2316342009184238</v>
          </cell>
        </row>
        <row r="41">
          <cell r="A41" t="str">
            <v xml:space="preserve">   Official bank rate (in percent; end of period)</v>
          </cell>
          <cell r="C41">
            <v>51.5</v>
          </cell>
          <cell r="D41">
            <v>69.5</v>
          </cell>
          <cell r="E41">
            <v>23.5</v>
          </cell>
          <cell r="F41" t="str">
            <v>...</v>
          </cell>
          <cell r="G41" t="str">
            <v>...</v>
          </cell>
          <cell r="H41">
            <v>43.6</v>
          </cell>
          <cell r="I41" t="str">
            <v>...</v>
          </cell>
          <cell r="J41" t="str">
            <v>...</v>
          </cell>
          <cell r="K41">
            <v>46.2</v>
          </cell>
        </row>
        <row r="42">
          <cell r="A42" t="str">
            <v xml:space="preserve">   Treasury bill rate (in percent; end of period)</v>
          </cell>
          <cell r="B42">
            <v>23.1</v>
          </cell>
          <cell r="C42">
            <v>42</v>
          </cell>
          <cell r="D42">
            <v>57.7</v>
          </cell>
          <cell r="E42">
            <v>14.4</v>
          </cell>
          <cell r="F42" t="str">
            <v>...</v>
          </cell>
          <cell r="G42" t="str">
            <v>...</v>
          </cell>
          <cell r="H42">
            <v>34.25</v>
          </cell>
          <cell r="I42" t="str">
            <v>...</v>
          </cell>
          <cell r="J42" t="str">
            <v>...</v>
          </cell>
          <cell r="K42">
            <v>36.200000000000003</v>
          </cell>
        </row>
        <row r="44">
          <cell r="A44" t="str">
            <v>Central government budget</v>
          </cell>
          <cell r="G44" t="str">
            <v/>
          </cell>
          <cell r="H44" t="str">
            <v/>
          </cell>
        </row>
        <row r="45">
          <cell r="A45" t="str">
            <v xml:space="preserve">   Revenue (excluding grants)</v>
          </cell>
          <cell r="B45" t="str">
            <v>...</v>
          </cell>
          <cell r="C45">
            <v>32.519455447636545</v>
          </cell>
          <cell r="D45">
            <v>37.048990483862873</v>
          </cell>
          <cell r="E45">
            <v>25.236627442047844</v>
          </cell>
          <cell r="F45">
            <v>15.3</v>
          </cell>
          <cell r="G45">
            <v>15.681333724454859</v>
          </cell>
          <cell r="H45">
            <v>10.624882658489266</v>
          </cell>
          <cell r="I45">
            <v>29.159772016914864</v>
          </cell>
          <cell r="J45">
            <v>15.253882218167924</v>
          </cell>
          <cell r="K45">
            <v>14.660765553622701</v>
          </cell>
        </row>
        <row r="46">
          <cell r="A46" t="str">
            <v xml:space="preserve">   Grants</v>
          </cell>
          <cell r="B46" t="str">
            <v>...</v>
          </cell>
          <cell r="C46">
            <v>21.246074591581099</v>
          </cell>
          <cell r="D46">
            <v>-12.027356976458236</v>
          </cell>
          <cell r="E46">
            <v>7.6096113833298507</v>
          </cell>
          <cell r="F46">
            <v>68.900000000000006</v>
          </cell>
          <cell r="G46">
            <v>58.057308968503897</v>
          </cell>
          <cell r="H46">
            <v>52.801908633810932</v>
          </cell>
          <cell r="I46">
            <v>80.269282491929843</v>
          </cell>
          <cell r="J46">
            <v>82.192248073205249</v>
          </cell>
          <cell r="K46">
            <v>51.016896982830808</v>
          </cell>
        </row>
        <row r="47">
          <cell r="A47" t="str">
            <v xml:space="preserve">   Expenditure and net lending</v>
          </cell>
          <cell r="B47" t="str">
            <v>...</v>
          </cell>
          <cell r="C47">
            <v>26.266689674538533</v>
          </cell>
          <cell r="D47">
            <v>9.5505511789837563</v>
          </cell>
          <cell r="E47">
            <v>19.768013878892198</v>
          </cell>
          <cell r="F47">
            <v>33.200000000000003</v>
          </cell>
          <cell r="G47">
            <v>34.986266436240342</v>
          </cell>
          <cell r="H47">
            <v>33.407973595468675</v>
          </cell>
          <cell r="I47">
            <v>39.343634387031081</v>
          </cell>
          <cell r="J47">
            <v>30.188070327924677</v>
          </cell>
          <cell r="K47">
            <v>18.408934836368097</v>
          </cell>
        </row>
        <row r="48">
          <cell r="A48" t="str">
            <v xml:space="preserve">      Current expenditure</v>
          </cell>
          <cell r="B48" t="str">
            <v>...</v>
          </cell>
          <cell r="C48">
            <v>29.271057298066474</v>
          </cell>
          <cell r="D48">
            <v>3.1864413043083628</v>
          </cell>
          <cell r="E48">
            <v>22.958167330677281</v>
          </cell>
          <cell r="F48">
            <v>13.2</v>
          </cell>
          <cell r="G48">
            <v>14.239295791791617</v>
          </cell>
          <cell r="H48">
            <v>15.623421025082607</v>
          </cell>
          <cell r="I48">
            <v>7.2115935743227944</v>
          </cell>
          <cell r="J48">
            <v>3.5339179545442301</v>
          </cell>
          <cell r="K48">
            <v>5.4939071924382965</v>
          </cell>
        </row>
        <row r="49">
          <cell r="A49" t="str">
            <v xml:space="preserve">      Capital expenditure</v>
          </cell>
          <cell r="B49" t="str">
            <v>...</v>
          </cell>
          <cell r="C49">
            <v>19.058540838019589</v>
          </cell>
          <cell r="D49">
            <v>28.1</v>
          </cell>
          <cell r="E49">
            <v>12.969249487903234</v>
          </cell>
          <cell r="F49">
            <v>50.5</v>
          </cell>
          <cell r="G49">
            <v>50.381778741865489</v>
          </cell>
          <cell r="H49">
            <v>74.66125494454154</v>
          </cell>
          <cell r="I49">
            <v>22.809216011506606</v>
          </cell>
          <cell r="J49">
            <v>15.718107662122961</v>
          </cell>
          <cell r="K49">
            <v>15.835680443045375</v>
          </cell>
        </row>
        <row r="51">
          <cell r="D51" t="str">
            <v xml:space="preserve"> (In percent of GDP)</v>
          </cell>
          <cell r="H51" t="str">
            <v>(In percent of GDP)</v>
          </cell>
        </row>
        <row r="52">
          <cell r="A52" t="str">
            <v>Investment and savings</v>
          </cell>
        </row>
        <row r="53">
          <cell r="A53" t="str">
            <v xml:space="preserve">   Gross national savings 2/</v>
          </cell>
          <cell r="B53">
            <v>15.128466504812671</v>
          </cell>
          <cell r="C53">
            <v>9.4</v>
          </cell>
          <cell r="D53">
            <v>11</v>
          </cell>
          <cell r="E53">
            <v>7.5</v>
          </cell>
          <cell r="F53">
            <v>9.4974879713993428</v>
          </cell>
          <cell r="G53">
            <v>11.543969138574543</v>
          </cell>
          <cell r="H53">
            <v>4.5176386706703582</v>
          </cell>
          <cell r="I53">
            <v>8.8000000000000007</v>
          </cell>
          <cell r="J53">
            <v>6.8253692682714773</v>
          </cell>
          <cell r="K53">
            <v>8.1265615029700378</v>
          </cell>
        </row>
        <row r="54">
          <cell r="A54" t="str">
            <v xml:space="preserve">   Gross domestic investment</v>
          </cell>
          <cell r="B54">
            <v>13.837489943684634</v>
          </cell>
          <cell r="C54">
            <v>13.841879508787637</v>
          </cell>
          <cell r="D54">
            <v>14.8</v>
          </cell>
          <cell r="E54">
            <v>13.6</v>
          </cell>
          <cell r="F54">
            <v>17.7</v>
          </cell>
          <cell r="G54">
            <v>18</v>
          </cell>
          <cell r="H54">
            <v>14.887362504506516</v>
          </cell>
          <cell r="I54">
            <v>17.600000000000001</v>
          </cell>
          <cell r="J54">
            <v>14.6</v>
          </cell>
          <cell r="K54">
            <v>14.442875241232715</v>
          </cell>
        </row>
        <row r="55">
          <cell r="A55" t="str">
            <v xml:space="preserve">       Of which: public investment</v>
          </cell>
          <cell r="C55">
            <v>7</v>
          </cell>
          <cell r="D55">
            <v>6</v>
          </cell>
          <cell r="E55">
            <v>5.4</v>
          </cell>
          <cell r="F55">
            <v>7</v>
          </cell>
          <cell r="G55">
            <v>6.7</v>
          </cell>
          <cell r="H55">
            <v>11.1</v>
          </cell>
          <cell r="I55">
            <v>0</v>
          </cell>
          <cell r="J55">
            <v>8.1999999999999993</v>
          </cell>
          <cell r="K55">
            <v>10.5</v>
          </cell>
        </row>
        <row r="57">
          <cell r="A57" t="str">
            <v>Central government budget</v>
          </cell>
        </row>
        <row r="58">
          <cell r="A58" t="str">
            <v xml:space="preserve">   Revenue and grants</v>
          </cell>
          <cell r="B58">
            <v>27.206154465004023</v>
          </cell>
          <cell r="C58">
            <v>30.8113517338995</v>
          </cell>
          <cell r="D58">
            <v>26.829951076072906</v>
          </cell>
          <cell r="E58">
            <v>24.818527403222994</v>
          </cell>
          <cell r="F58">
            <v>26.3</v>
          </cell>
          <cell r="G58">
            <v>24.956456780249674</v>
          </cell>
          <cell r="H58">
            <v>24.498660390962986</v>
          </cell>
          <cell r="I58">
            <v>27.784662727388699</v>
          </cell>
          <cell r="J58">
            <v>26.605028491605452</v>
          </cell>
          <cell r="K58">
            <v>25.537473267747941</v>
          </cell>
        </row>
        <row r="59">
          <cell r="A59" t="str">
            <v xml:space="preserve">      o.w. Revenue</v>
          </cell>
          <cell r="B59">
            <v>18.085961383748995</v>
          </cell>
          <cell r="C59">
            <v>21.08386411889596</v>
          </cell>
          <cell r="D59">
            <v>20.69961215746914</v>
          </cell>
          <cell r="E59">
            <v>19.784024298233732</v>
          </cell>
          <cell r="F59">
            <v>19.100000000000001</v>
          </cell>
          <cell r="G59">
            <v>18.518144296330249</v>
          </cell>
          <cell r="H59">
            <v>18.127095016824224</v>
          </cell>
          <cell r="I59">
            <v>18.640132669983416</v>
          </cell>
          <cell r="J59">
            <v>17.102321615949627</v>
          </cell>
          <cell r="K59">
            <v>17.597115128955068</v>
          </cell>
        </row>
        <row r="60">
          <cell r="A60" t="str">
            <v xml:space="preserve">      o.w. Grants</v>
          </cell>
          <cell r="B60">
            <v>9.1201930812550298</v>
          </cell>
          <cell r="C60">
            <v>9.7274876150035379</v>
          </cell>
          <cell r="D60">
            <v>6.1303389186037673</v>
          </cell>
          <cell r="E60">
            <v>5.0345031049892626</v>
          </cell>
          <cell r="F60">
            <v>7.2</v>
          </cell>
          <cell r="G60">
            <v>6.4383124839194252</v>
          </cell>
          <cell r="H60">
            <v>6.3715653741387603</v>
          </cell>
          <cell r="I60">
            <v>9.1445300574052819</v>
          </cell>
          <cell r="J60">
            <v>9.5027068756558233</v>
          </cell>
          <cell r="K60">
            <v>7.940358138792873</v>
          </cell>
        </row>
        <row r="61">
          <cell r="A61" t="str">
            <v xml:space="preserve">   Expenditures (excluding interest) 3/</v>
          </cell>
          <cell r="B61">
            <v>23.872059533386967</v>
          </cell>
          <cell r="C61">
            <v>26.241319886765744</v>
          </cell>
          <cell r="D61">
            <v>22.609671728053943</v>
          </cell>
          <cell r="E61">
            <v>20.906676210558896</v>
          </cell>
          <cell r="F61">
            <v>24.9</v>
          </cell>
          <cell r="G61">
            <v>24.238609601357954</v>
          </cell>
          <cell r="H61">
            <v>24.8</v>
          </cell>
          <cell r="I61">
            <v>28.406204288812347</v>
          </cell>
          <cell r="J61">
            <v>27.129239955403982</v>
          </cell>
          <cell r="K61">
            <v>24.749843847381019</v>
          </cell>
        </row>
        <row r="62">
          <cell r="A62" t="str">
            <v xml:space="preserve">   Interest due 4/</v>
          </cell>
          <cell r="B62">
            <v>7.5278761061946922</v>
          </cell>
          <cell r="C62">
            <v>8.6362742392073599</v>
          </cell>
          <cell r="D62">
            <v>4.7617430099622302</v>
          </cell>
          <cell r="E62">
            <v>4.11170223056238</v>
          </cell>
          <cell r="F62">
            <v>3.4</v>
          </cell>
          <cell r="G62">
            <v>3.0863590523301978</v>
          </cell>
          <cell r="H62">
            <v>3.2518613848742191</v>
          </cell>
          <cell r="I62">
            <v>2.2615763617808393</v>
          </cell>
          <cell r="J62">
            <v>2.3315359959776143</v>
          </cell>
          <cell r="K62">
            <v>2.8221878622706731</v>
          </cell>
        </row>
        <row r="63">
          <cell r="A63" t="str">
            <v xml:space="preserve">   Primary deficit</v>
          </cell>
          <cell r="B63">
            <v>-5.7860981496379722</v>
          </cell>
          <cell r="C63">
            <v>-5.1574557678697843</v>
          </cell>
          <cell r="D63">
            <v>-1.9100595705848029</v>
          </cell>
          <cell r="E63">
            <v>-1.1226519123251641</v>
          </cell>
          <cell r="F63">
            <v>-5.7999999999999972</v>
          </cell>
          <cell r="G63">
            <v>-5.7204653050277052</v>
          </cell>
          <cell r="H63">
            <v>-6.6729049831757763</v>
          </cell>
          <cell r="I63">
            <v>-9.7660716188289314</v>
          </cell>
          <cell r="J63">
            <v>-10.026918339454355</v>
          </cell>
          <cell r="K63">
            <v>-7.1527287184259514</v>
          </cell>
        </row>
        <row r="64">
          <cell r="A64" t="str">
            <v xml:space="preserve">   Overall balance, cash basis </v>
          </cell>
          <cell r="B64">
            <v>0</v>
          </cell>
          <cell r="C64">
            <v>0.65484748761499889</v>
          </cell>
          <cell r="D64">
            <v>-2.6184668812897658</v>
          </cell>
          <cell r="E64">
            <v>-1.9299104292816931</v>
          </cell>
          <cell r="F64">
            <v>-1.1000000000000001</v>
          </cell>
          <cell r="G64">
            <v>-2.9043463207101361</v>
          </cell>
          <cell r="H64">
            <v>-4.3445917237918605</v>
          </cell>
          <cell r="I64">
            <v>-3.1947065390993701</v>
          </cell>
          <cell r="J64">
            <v>-4.4410912008047418</v>
          </cell>
          <cell r="K64">
            <v>-3.9518188868651953</v>
          </cell>
        </row>
        <row r="65">
          <cell r="A65" t="str">
            <v xml:space="preserve">   Overall balance, cash basis, excluding grants </v>
          </cell>
          <cell r="B65">
            <v>-9.1201930812550298</v>
          </cell>
          <cell r="C65">
            <v>-9.0726401273885386</v>
          </cell>
          <cell r="D65">
            <v>-8.748813404649038</v>
          </cell>
          <cell r="E65">
            <v>-6.9644038614072077</v>
          </cell>
          <cell r="F65">
            <v>-9.6999999999999993</v>
          </cell>
          <cell r="G65">
            <v>-9.3476679400202585</v>
          </cell>
          <cell r="H65">
            <v>-10.818104772923817</v>
          </cell>
          <cell r="I65">
            <v>-12.324241933920144</v>
          </cell>
          <cell r="J65">
            <v>-13.946951187478138</v>
          </cell>
          <cell r="K65">
            <v>-11.893382414251528</v>
          </cell>
        </row>
        <row r="67">
          <cell r="A67" t="str">
            <v>External sector</v>
          </cell>
        </row>
        <row r="68">
          <cell r="A68" t="str">
            <v xml:space="preserve">   Current account balance 5/</v>
          </cell>
          <cell r="B68">
            <v>1.290976561128037</v>
          </cell>
          <cell r="C68">
            <v>-4.4418795087876362</v>
          </cell>
          <cell r="D68">
            <v>-3.7</v>
          </cell>
          <cell r="E68">
            <v>-6.1728891975943387</v>
          </cell>
          <cell r="F68">
            <v>-8.2025120286006565</v>
          </cell>
          <cell r="G68">
            <v>-6.4560308614254565</v>
          </cell>
          <cell r="H68">
            <v>-17.8</v>
          </cell>
          <cell r="I68">
            <v>0</v>
          </cell>
          <cell r="J68">
            <v>-7.7746307317285224</v>
          </cell>
          <cell r="K68">
            <v>-15.8</v>
          </cell>
        </row>
        <row r="69">
          <cell r="A69" t="str">
            <v/>
          </cell>
        </row>
        <row r="70">
          <cell r="D70" t="str">
            <v xml:space="preserve">  (In percent of exports of goods and services)</v>
          </cell>
          <cell r="H70" t="str">
            <v>(In percent of exports of goods and services)</v>
          </cell>
        </row>
        <row r="71">
          <cell r="A71" t="str">
            <v>External debt 6/</v>
          </cell>
        </row>
        <row r="72">
          <cell r="A72" t="str">
            <v xml:space="preserve">   External debt service 7/</v>
          </cell>
          <cell r="B72">
            <v>46.152213398384347</v>
          </cell>
          <cell r="C72">
            <v>46.052718829738168</v>
          </cell>
          <cell r="D72">
            <v>40.695437398958148</v>
          </cell>
          <cell r="E72">
            <v>28.811906097755625</v>
          </cell>
          <cell r="F72">
            <v>29.3</v>
          </cell>
          <cell r="G72">
            <v>27.650238243527376</v>
          </cell>
          <cell r="H72">
            <v>16</v>
          </cell>
          <cell r="I72">
            <v>0</v>
          </cell>
          <cell r="J72">
            <v>36.605408832124951</v>
          </cell>
          <cell r="K72">
            <v>16.2</v>
          </cell>
        </row>
        <row r="73">
          <cell r="A73" t="str">
            <v xml:space="preserve">   Net present value of total debt 6/</v>
          </cell>
          <cell r="B73">
            <v>0</v>
          </cell>
          <cell r="C73">
            <v>427.70664845811729</v>
          </cell>
          <cell r="D73">
            <v>430.39338961738815</v>
          </cell>
          <cell r="E73">
            <v>374.63669951900698</v>
          </cell>
          <cell r="F73">
            <v>406</v>
          </cell>
          <cell r="G73">
            <v>415.22327773141529</v>
          </cell>
          <cell r="H73">
            <v>0</v>
          </cell>
          <cell r="I73">
            <v>0</v>
          </cell>
          <cell r="J73">
            <v>466.85428191098976</v>
          </cell>
          <cell r="K73">
            <v>0</v>
          </cell>
        </row>
        <row r="74">
          <cell r="A74" t="str">
            <v xml:space="preserve">   External program assistance </v>
          </cell>
          <cell r="B74">
            <v>22.356320369565406</v>
          </cell>
          <cell r="C74">
            <v>23.624014364899679</v>
          </cell>
          <cell r="D74">
            <v>12.690856834920064</v>
          </cell>
          <cell r="E74">
            <v>9.1671063666772987</v>
          </cell>
          <cell r="F74">
            <v>17.100000000000001</v>
          </cell>
          <cell r="G74">
            <v>15.908724680613535</v>
          </cell>
          <cell r="H74">
            <v>0</v>
          </cell>
          <cell r="I74">
            <v>0</v>
          </cell>
          <cell r="J74">
            <v>33.02378877313874</v>
          </cell>
          <cell r="K74">
            <v>0.23576158940397351</v>
          </cell>
        </row>
        <row r="76">
          <cell r="D76" t="str">
            <v xml:space="preserve">   (In millions of U.S. dollars, unless otherwise indicated)</v>
          </cell>
          <cell r="H76" t="str">
            <v>(In millions of U.S. dollars, unless otherwise indicated)</v>
          </cell>
        </row>
        <row r="78">
          <cell r="A78" t="str">
            <v>Current account balance</v>
          </cell>
          <cell r="B78">
            <v>47.14112413284812</v>
          </cell>
          <cell r="C78">
            <v>-146.44800000000004</v>
          </cell>
          <cell r="D78">
            <v>-121.90299999999991</v>
          </cell>
          <cell r="E78">
            <v>-239.22658812938047</v>
          </cell>
          <cell r="F78">
            <v>-317</v>
          </cell>
          <cell r="G78">
            <v>-266.38952512642004</v>
          </cell>
          <cell r="H78">
            <v>-576</v>
          </cell>
          <cell r="I78">
            <v>0</v>
          </cell>
          <cell r="J78">
            <v>-236.1838578350862</v>
          </cell>
          <cell r="K78">
            <v>-498</v>
          </cell>
        </row>
        <row r="79">
          <cell r="A79" t="str">
            <v>Overall balance of payments</v>
          </cell>
          <cell r="B79">
            <v>-73.8</v>
          </cell>
          <cell r="C79">
            <v>-211.46976600000005</v>
          </cell>
          <cell r="D79">
            <v>-80</v>
          </cell>
          <cell r="E79">
            <v>-127.1075</v>
          </cell>
          <cell r="F79">
            <v>-83</v>
          </cell>
          <cell r="G79">
            <v>-97.005525126420054</v>
          </cell>
          <cell r="H79">
            <v>-453</v>
          </cell>
          <cell r="I79">
            <v>0</v>
          </cell>
          <cell r="J79">
            <v>-120.03185783508621</v>
          </cell>
          <cell r="K79">
            <v>-348</v>
          </cell>
        </row>
        <row r="80">
          <cell r="A80" t="str">
            <v>Gross official reserves (end of period)</v>
          </cell>
          <cell r="B80">
            <v>272.90186499999999</v>
          </cell>
          <cell r="C80">
            <v>208</v>
          </cell>
          <cell r="D80">
            <v>186.358</v>
          </cell>
          <cell r="E80">
            <v>237.9</v>
          </cell>
          <cell r="F80">
            <v>339</v>
          </cell>
          <cell r="G80">
            <v>296.10000000000002</v>
          </cell>
          <cell r="H80">
            <v>44.1</v>
          </cell>
          <cell r="I80">
            <v>0</v>
          </cell>
          <cell r="J80">
            <v>122.6</v>
          </cell>
          <cell r="K80">
            <v>46.1</v>
          </cell>
        </row>
        <row r="81">
          <cell r="A81" t="str">
            <v xml:space="preserve">  In months of imports of goods and services</v>
          </cell>
          <cell r="B81">
            <v>2.7596042639251706</v>
          </cell>
          <cell r="C81">
            <v>1.8022961946710954</v>
          </cell>
          <cell r="D81">
            <v>1.7310132363186004</v>
          </cell>
          <cell r="E81">
            <v>1.8886843245806224</v>
          </cell>
          <cell r="F81">
            <v>2.5</v>
          </cell>
          <cell r="G81">
            <v>2.3239383177344601</v>
          </cell>
          <cell r="H81">
            <v>0.4</v>
          </cell>
          <cell r="I81">
            <v>0</v>
          </cell>
          <cell r="J81">
            <v>1.1622791896716809</v>
          </cell>
          <cell r="K81">
            <v>0.5</v>
          </cell>
        </row>
        <row r="82">
          <cell r="A82" t="str">
            <v xml:space="preserve">  In percent of broad money</v>
          </cell>
          <cell r="H82">
            <v>9.2476515533385761</v>
          </cell>
          <cell r="I82">
            <v>28.7</v>
          </cell>
          <cell r="K82">
            <v>8.4965533467968939</v>
          </cell>
        </row>
        <row r="83">
          <cell r="C83" t="str">
            <v/>
          </cell>
          <cell r="D83" t="str">
            <v/>
          </cell>
          <cell r="H83" t="str">
            <v/>
          </cell>
          <cell r="K83" t="str">
            <v/>
          </cell>
        </row>
        <row r="84">
          <cell r="A84" t="str">
            <v>Sources: Zambian authorities; and staff estimates and projections.</v>
          </cell>
        </row>
        <row r="86">
          <cell r="A86" t="str">
            <v xml:space="preserve">   1/ GDP/average broad money.</v>
          </cell>
        </row>
        <row r="87">
          <cell r="A87" t="str">
            <v xml:space="preserve">   2/ Gross national disposable income minus consumption.</v>
          </cell>
        </row>
        <row r="88">
          <cell r="A88" t="str">
            <v xml:space="preserve">   3/ Including contingency reserve (1999-2001).</v>
          </cell>
        </row>
        <row r="89">
          <cell r="A89" t="str">
            <v xml:space="preserve">   4/ After debt relief.</v>
          </cell>
        </row>
        <row r="90">
          <cell r="A90" t="str">
            <v xml:space="preserve">   5/ U.S. dollar GDP calculated on the basis of changes in real GDP and U.S. GDP deflator (base year = 1998).</v>
          </cell>
        </row>
        <row r="91">
          <cell r="A91" t="str">
            <v xml:space="preserve">   6/ External debt pertains to public and publicly guaranteed debt.</v>
          </cell>
        </row>
        <row r="92">
          <cell r="A92" t="str">
            <v xml:space="preserve">   7/ Reflecting 1999 Paris Club agreement with consolidation period ending March 2002. Includes scheduled payments to IMF.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1"/>
      <sheetName val="Table2"/>
      <sheetName val="Table3"/>
      <sheetName val="Table4"/>
      <sheetName val="Table5"/>
      <sheetName val="Before"/>
      <sheetName val="After"/>
      <sheetName val="NEW-ALL"/>
      <sheetName val="old-ida"/>
      <sheetName val="NEW-IDA"/>
      <sheetName val="gap-ida"/>
      <sheetName val="NEW-IMF"/>
      <sheetName val="old-fad"/>
      <sheetName val="NEW-FAD"/>
      <sheetName val="old-othmult"/>
      <sheetName val="NEW-OTHMULT"/>
      <sheetName val="old-bil"/>
      <sheetName val="NEW-BIL"/>
    </sheetNames>
    <sheetDataSet>
      <sheetData sheetId="0" refreshError="1"/>
      <sheetData sheetId="1"/>
      <sheetData sheetId="2"/>
      <sheetData sheetId="3"/>
      <sheetData sheetId="4" refreshError="1">
        <row r="1">
          <cell r="A1" t="str">
            <v>Table 5.  Discount Rate and Exchange Rate Assumptions 1/</v>
          </cell>
        </row>
        <row r="4">
          <cell r="C4" t="str">
            <v>Discount Rates 2/</v>
          </cell>
          <cell r="E4" t="str">
            <v>Exchange Rates 3/</v>
          </cell>
        </row>
        <row r="5">
          <cell r="C5" t="str">
            <v>(in percent)</v>
          </cell>
          <cell r="E5" t="str">
            <v>(per U.S. dollar)</v>
          </cell>
        </row>
        <row r="8">
          <cell r="A8" t="str">
            <v>Currency</v>
          </cell>
        </row>
        <row r="9">
          <cell r="B9" t="str">
            <v>United States Dollar</v>
          </cell>
          <cell r="C9">
            <v>6.23</v>
          </cell>
          <cell r="E9">
            <v>1</v>
          </cell>
        </row>
        <row r="10">
          <cell r="B10" t="str">
            <v>Special Drawing Rights</v>
          </cell>
          <cell r="C10">
            <v>5.2500833333333334</v>
          </cell>
          <cell r="E10">
            <v>0.71021214036632752</v>
          </cell>
        </row>
        <row r="11">
          <cell r="B11" t="str">
            <v>CFA Franc</v>
          </cell>
          <cell r="C11">
            <v>5.3550000000000004</v>
          </cell>
          <cell r="E11">
            <v>562.20960231348158</v>
          </cell>
        </row>
        <row r="12">
          <cell r="B12" t="str">
            <v>European Currency Unit</v>
          </cell>
          <cell r="C12">
            <v>4.9950000000000001</v>
          </cell>
          <cell r="E12">
            <v>0.85708163702592677</v>
          </cell>
        </row>
        <row r="13">
          <cell r="B13" t="str">
            <v>African Development Fund</v>
          </cell>
          <cell r="C13">
            <v>5.2500833333333334</v>
          </cell>
          <cell r="E13">
            <v>0.71021214036632752</v>
          </cell>
        </row>
        <row r="14">
          <cell r="B14" t="str">
            <v>Algerian Dinar</v>
          </cell>
          <cell r="C14">
            <v>5.2500833333333334</v>
          </cell>
          <cell r="E14">
            <v>60.353100000000005</v>
          </cell>
        </row>
        <row r="15">
          <cell r="B15" t="str">
            <v>Austrian Shillings</v>
          </cell>
          <cell r="C15">
            <v>5.2766666666666664</v>
          </cell>
          <cell r="E15">
            <v>11.747000000000002</v>
          </cell>
        </row>
        <row r="16">
          <cell r="B16" t="str">
            <v>Belgian Franc</v>
          </cell>
          <cell r="C16">
            <v>5.59</v>
          </cell>
          <cell r="E16">
            <v>34.5745</v>
          </cell>
        </row>
        <row r="17">
          <cell r="B17" t="str">
            <v>Canadian Dollar</v>
          </cell>
          <cell r="C17">
            <v>6.248333333333334</v>
          </cell>
          <cell r="E17">
            <v>1.5305000000000002</v>
          </cell>
        </row>
        <row r="18">
          <cell r="B18" t="str">
            <v>Swiss Franc</v>
          </cell>
          <cell r="C18">
            <v>4.05</v>
          </cell>
          <cell r="E18">
            <v>1.3765000000000003</v>
          </cell>
        </row>
        <row r="19">
          <cell r="B19" t="str">
            <v>Chinese Yuan</v>
          </cell>
          <cell r="C19">
            <v>5.2500833333333334</v>
          </cell>
          <cell r="E19">
            <v>8.2787000000000006</v>
          </cell>
        </row>
        <row r="20">
          <cell r="B20" t="str">
            <v>Deutsche Mark</v>
          </cell>
          <cell r="C20">
            <v>5.16</v>
          </cell>
          <cell r="E20">
            <v>1.6730000000000003</v>
          </cell>
        </row>
        <row r="21">
          <cell r="B21" t="str">
            <v>Danish Kroner</v>
          </cell>
          <cell r="C21">
            <v>5.6349999999999998</v>
          </cell>
          <cell r="E21">
            <v>6.3865000000000007</v>
          </cell>
        </row>
        <row r="22">
          <cell r="B22" t="str">
            <v>Spanish Peseta</v>
          </cell>
          <cell r="C22">
            <v>5.3083333333333336</v>
          </cell>
          <cell r="E22">
            <v>142.60699000000002</v>
          </cell>
        </row>
        <row r="23">
          <cell r="B23" t="str">
            <v>Finnish Markaa</v>
          </cell>
          <cell r="C23">
            <v>5.3449999999999998</v>
          </cell>
          <cell r="E23">
            <v>5.0960000000000001</v>
          </cell>
        </row>
        <row r="24">
          <cell r="B24" t="str">
            <v>French Franc</v>
          </cell>
          <cell r="C24">
            <v>5.3550000000000004</v>
          </cell>
          <cell r="E24">
            <v>5.6221000000000005</v>
          </cell>
        </row>
        <row r="25">
          <cell r="B25" t="str">
            <v>Great Britain Sterling</v>
          </cell>
          <cell r="C25">
            <v>6.8066666666666658</v>
          </cell>
          <cell r="E25">
            <v>0.60114217012323412</v>
          </cell>
        </row>
        <row r="26">
          <cell r="B26" t="str">
            <v>Irish Punt</v>
          </cell>
          <cell r="C26">
            <v>5.33</v>
          </cell>
          <cell r="E26">
            <v>0.67235930881463046</v>
          </cell>
        </row>
        <row r="27">
          <cell r="B27" t="str">
            <v>Italian Lira</v>
          </cell>
          <cell r="C27">
            <v>5.5766666666666653</v>
          </cell>
          <cell r="E27">
            <v>1653.1</v>
          </cell>
        </row>
        <row r="28">
          <cell r="B28" t="str">
            <v>Japanese Yen</v>
          </cell>
          <cell r="C28">
            <v>2.2166666666666663</v>
          </cell>
          <cell r="E28">
            <v>115.6</v>
          </cell>
        </row>
        <row r="29">
          <cell r="B29" t="str">
            <v>Kuwaiti Dinar</v>
          </cell>
          <cell r="C29">
            <v>5.25</v>
          </cell>
          <cell r="E29">
            <v>0.30155996972337906</v>
          </cell>
        </row>
        <row r="30">
          <cell r="B30" t="str">
            <v>Luxembourg Franc</v>
          </cell>
          <cell r="C30">
            <v>5.59</v>
          </cell>
          <cell r="E30">
            <v>34.5745</v>
          </cell>
        </row>
        <row r="31">
          <cell r="B31" t="str">
            <v>Norwegian Kroner</v>
          </cell>
          <cell r="C31">
            <v>6.5383333333333331</v>
          </cell>
          <cell r="E31">
            <v>7.6</v>
          </cell>
        </row>
        <row r="32">
          <cell r="B32" t="str">
            <v>Netherland Guilders</v>
          </cell>
          <cell r="C32">
            <v>5.7833333333333341</v>
          </cell>
          <cell r="E32">
            <v>1.8888000000000005</v>
          </cell>
        </row>
        <row r="33">
          <cell r="B33" t="str">
            <v>Portugese Peseta</v>
          </cell>
          <cell r="C33">
            <v>5.25</v>
          </cell>
          <cell r="E33">
            <v>171.82899</v>
          </cell>
        </row>
        <row r="34">
          <cell r="B34" t="str">
            <v>Saudi Arabian Rial</v>
          </cell>
          <cell r="C34">
            <v>5.2500833333333334</v>
          </cell>
          <cell r="E34">
            <v>3.7450000000000001</v>
          </cell>
        </row>
        <row r="35">
          <cell r="B35" t="str">
            <v>Swedish Kroner</v>
          </cell>
          <cell r="C35">
            <v>5.6566666666666663</v>
          </cell>
          <cell r="E35">
            <v>8.0609999999999999</v>
          </cell>
        </row>
        <row r="36">
          <cell r="B36" t="str">
            <v>Russian Rubble</v>
          </cell>
          <cell r="C36">
            <v>6.23</v>
          </cell>
          <cell r="E36">
            <v>0.6</v>
          </cell>
        </row>
        <row r="41">
          <cell r="A41" t="str">
            <v>1/ Latest actual data available are those for end-1998</v>
          </cell>
        </row>
        <row r="42">
          <cell r="A42" t="str">
            <v>and the country is reporting data on a calendar-year basis.</v>
          </cell>
        </row>
        <row r="43">
          <cell r="A43" t="str">
            <v>2/ The discount rates used are the average Commercial Interest</v>
          </cell>
        </row>
        <row r="44">
          <cell r="A44" t="str">
            <v>Reference Rates for the respective currencies over the six-month period</v>
          </cell>
        </row>
        <row r="45">
          <cell r="A45" t="str">
            <v>prior to the base date (i.e., the end of the period for which actual debt</v>
          </cell>
        </row>
        <row r="46">
          <cell r="A46" t="str">
            <v>and export data are available).</v>
          </cell>
        </row>
        <row r="47">
          <cell r="A47" t="str">
            <v>3/  The exchange rates are those at the base date (i.e., at the end of the</v>
          </cell>
        </row>
        <row r="48">
          <cell r="A48" t="str">
            <v>period for which actual debt and export data are available).</v>
          </cell>
        </row>
        <row r="50">
          <cell r="B50" t="str">
            <v>C:\My Documents\Temp\BurkinaFaso\premission\[DSARept2_kk.xls]Table5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_Figure 1"/>
      <sheetName val="Debt_Figure 2"/>
      <sheetName val="Figure 3"/>
      <sheetName val="Figure 4"/>
      <sheetName val="Macro"/>
      <sheetName val="Input HIPC Doc"/>
      <sheetName val="DSA T1"/>
      <sheetName val="DSA T2a"/>
      <sheetName val="DSA T2b "/>
      <sheetName val="DSA T3"/>
      <sheetName val="DSA T4"/>
      <sheetName val="DSA T5"/>
      <sheetName val="DSA T6"/>
      <sheetName val="DSA T7"/>
      <sheetName val="DSA T8"/>
      <sheetName val="DSA T9"/>
      <sheetName val="DSA T10"/>
      <sheetName val="Fiscal Criteria"/>
      <sheetName val="Mult"/>
      <sheetName val="BIL"/>
      <sheetName val="Bil (after Naples)"/>
      <sheetName val="Bil_Prp (After)"/>
      <sheetName val="DOD_after Naples"/>
      <sheetName val="Bil_Int (After)"/>
      <sheetName val="DetailTotal Debt(before naples)"/>
      <sheetName val="Bilateral Assistance"/>
      <sheetName val="DetailTotal Debt(afterNpls)"/>
      <sheetName val="Detail C Total Debt(bfrNpls)"/>
      <sheetName val="Detail C Total Debt(aftrNPLs)"/>
      <sheetName val="Summary(before naples)"/>
      <sheetName val="Summary(AFTER NAPLES 67)"/>
      <sheetName val="Table2"/>
      <sheetName val="Table3"/>
      <sheetName val="Table4"/>
      <sheetName val="Table5"/>
      <sheetName val="NEW-ALL_Pessimistic Scn"/>
      <sheetName val="NEW-ALL(optimistic)"/>
      <sheetName val="NEW-ALL"/>
      <sheetName val="NEW-IDA"/>
      <sheetName val="Sheet2"/>
      <sheetName val="NEW-IBRD"/>
      <sheetName val="NEW-AfDB"/>
      <sheetName val="NEW-OTHMULT2"/>
      <sheetName val="NEW-BIL"/>
      <sheetName val="NEW-IMF"/>
      <sheetName val="BOP"/>
      <sheetName val="RepData"/>
      <sheetName val="Mult int"/>
      <sheetName val="Mult pr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3">
          <cell r="A3" t="str">
            <v>Table 3.   Chad: Debt-Service Payments on Public and Publicly Guaranteed External Debt, 2000-2018</v>
          </cell>
        </row>
        <row r="4">
          <cell r="A4" t="str">
            <v>(In millions of U.S. dollars)</v>
          </cell>
        </row>
        <row r="7">
          <cell r="F7">
            <v>1999</v>
          </cell>
          <cell r="G7">
            <v>2000</v>
          </cell>
          <cell r="H7">
            <v>2001</v>
          </cell>
          <cell r="I7">
            <v>2002</v>
          </cell>
          <cell r="J7">
            <v>2003</v>
          </cell>
          <cell r="K7">
            <v>2004</v>
          </cell>
        </row>
        <row r="10">
          <cell r="A10" t="str">
            <v>Debt service on outstanding debt 1/</v>
          </cell>
          <cell r="F10">
            <v>0</v>
          </cell>
          <cell r="G10">
            <v>36.604383021444256</v>
          </cell>
          <cell r="H10">
            <v>38.614293972505969</v>
          </cell>
          <cell r="I10">
            <v>43.769144715461444</v>
          </cell>
          <cell r="J10">
            <v>44.842463955704346</v>
          </cell>
          <cell r="K10">
            <v>47.395906405936785</v>
          </cell>
        </row>
        <row r="12">
          <cell r="A12" t="str">
            <v>Principal</v>
          </cell>
          <cell r="F12">
            <v>0</v>
          </cell>
          <cell r="G12">
            <v>23.479281306792807</v>
          </cell>
          <cell r="H12">
            <v>26.092576004828917</v>
          </cell>
          <cell r="I12">
            <v>31.758571528654404</v>
          </cell>
          <cell r="J12">
            <v>33.396660945413309</v>
          </cell>
          <cell r="K12">
            <v>36.433896138518918</v>
          </cell>
        </row>
        <row r="13">
          <cell r="A13" t="str">
            <v xml:space="preserve">    Multilateral</v>
          </cell>
          <cell r="F13">
            <v>0</v>
          </cell>
          <cell r="G13">
            <v>126.69767481820227</v>
          </cell>
          <cell r="H13">
            <v>111.48222483800174</v>
          </cell>
          <cell r="I13">
            <v>91.563817466527695</v>
          </cell>
          <cell r="J13">
            <v>79.23358782751653</v>
          </cell>
          <cell r="K13">
            <v>86.537911880478632</v>
          </cell>
        </row>
        <row r="14">
          <cell r="A14" t="str">
            <v xml:space="preserve">     AfDB/AfDF</v>
          </cell>
          <cell r="F14">
            <v>0</v>
          </cell>
          <cell r="G14">
            <v>27.337800826706832</v>
          </cell>
          <cell r="H14">
            <v>27.430178031996757</v>
          </cell>
          <cell r="I14">
            <v>27.569263691574079</v>
          </cell>
          <cell r="J14">
            <v>24.774115890878917</v>
          </cell>
          <cell r="K14">
            <v>21.431223479628866</v>
          </cell>
        </row>
        <row r="15">
          <cell r="A15" t="str">
            <v xml:space="preserve">     IBRD/IDA</v>
          </cell>
          <cell r="F15">
            <v>0</v>
          </cell>
          <cell r="G15">
            <v>60.339703944446519</v>
          </cell>
          <cell r="H15">
            <v>56.061616744446518</v>
          </cell>
          <cell r="I15">
            <v>53.054104236536048</v>
          </cell>
          <cell r="J15">
            <v>43.872629449869379</v>
          </cell>
          <cell r="K15">
            <v>40.896874294869377</v>
          </cell>
        </row>
        <row r="16">
          <cell r="A16" t="str">
            <v xml:space="preserve">     IMF</v>
          </cell>
          <cell r="F16">
            <v>0</v>
          </cell>
          <cell r="G16">
            <v>18.835767000000001</v>
          </cell>
          <cell r="H16">
            <v>12.707463374999998</v>
          </cell>
          <cell r="I16">
            <v>0</v>
          </cell>
          <cell r="J16">
            <v>3.6095207399999998</v>
          </cell>
          <cell r="K16">
            <v>18.0476037</v>
          </cell>
        </row>
        <row r="17">
          <cell r="A17" t="str">
            <v xml:space="preserve">     Others</v>
          </cell>
          <cell r="F17">
            <v>0</v>
          </cell>
          <cell r="G17">
            <v>20.184403047048942</v>
          </cell>
          <cell r="H17">
            <v>15.282966686558515</v>
          </cell>
          <cell r="I17">
            <v>10.940449538417623</v>
          </cell>
          <cell r="J17">
            <v>6.9773217467682214</v>
          </cell>
          <cell r="K17">
            <v>6.1622104059803933</v>
          </cell>
        </row>
        <row r="18">
          <cell r="A18" t="str">
            <v xml:space="preserve">    Official bilateral</v>
          </cell>
          <cell r="F18">
            <v>0</v>
          </cell>
          <cell r="G18">
            <v>391.61207039073184</v>
          </cell>
          <cell r="H18">
            <v>344.37090300298274</v>
          </cell>
          <cell r="I18">
            <v>326.3043673998888</v>
          </cell>
          <cell r="J18">
            <v>327.08702630130034</v>
          </cell>
          <cell r="K18">
            <v>394.16183101606686</v>
          </cell>
        </row>
        <row r="19">
          <cell r="A19" t="str">
            <v xml:space="preserve">    Paris Club</v>
          </cell>
          <cell r="F19">
            <v>0</v>
          </cell>
          <cell r="G19">
            <v>379.34915697462679</v>
          </cell>
          <cell r="H19">
            <v>332.10798958687764</v>
          </cell>
          <cell r="I19">
            <v>314.76512757778369</v>
          </cell>
          <cell r="J19">
            <v>318.43719313519819</v>
          </cell>
          <cell r="K19">
            <v>387.08316065459303</v>
          </cell>
        </row>
        <row r="20">
          <cell r="A20" t="str">
            <v xml:space="preserve">       post-cutoff date</v>
          </cell>
          <cell r="F20">
            <v>0</v>
          </cell>
          <cell r="G20">
            <v>93.838859432624844</v>
          </cell>
          <cell r="H20">
            <v>90.046513403729151</v>
          </cell>
          <cell r="I20">
            <v>93.120230427982463</v>
          </cell>
          <cell r="J20">
            <v>82.192577236160659</v>
          </cell>
          <cell r="K20">
            <v>95.951489969336009</v>
          </cell>
        </row>
        <row r="21">
          <cell r="A21" t="str">
            <v xml:space="preserve">        o/w ODA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 xml:space="preserve">       pre-cutoff date</v>
          </cell>
          <cell r="F22">
            <v>0</v>
          </cell>
          <cell r="G22">
            <v>285.5102975420013</v>
          </cell>
          <cell r="H22">
            <v>242.06147618314822</v>
          </cell>
          <cell r="I22">
            <v>221.64489714980093</v>
          </cell>
          <cell r="J22">
            <v>236.24461589903706</v>
          </cell>
          <cell r="K22">
            <v>291.13167068525667</v>
          </cell>
        </row>
        <row r="23">
          <cell r="A23" t="str">
            <v xml:space="preserve">        NPRD</v>
          </cell>
          <cell r="F23">
            <v>0</v>
          </cell>
          <cell r="G23">
            <v>84.508318508478681</v>
          </cell>
          <cell r="H23">
            <v>70.258714584660183</v>
          </cell>
          <cell r="I23">
            <v>63.227525856459543</v>
          </cell>
          <cell r="J23">
            <v>34.175892773613874</v>
          </cell>
          <cell r="K23">
            <v>26.681237486640281</v>
          </cell>
        </row>
        <row r="24">
          <cell r="A24" t="str">
            <v xml:space="preserve">         ODA</v>
          </cell>
          <cell r="F24">
            <v>0</v>
          </cell>
          <cell r="G24">
            <v>37.895871277003884</v>
          </cell>
          <cell r="H24">
            <v>31.969507835344182</v>
          </cell>
          <cell r="I24">
            <v>29.429860408005464</v>
          </cell>
          <cell r="J24">
            <v>28.553873793007639</v>
          </cell>
          <cell r="K24">
            <v>25.22835565686464</v>
          </cell>
        </row>
        <row r="25">
          <cell r="A25" t="str">
            <v xml:space="preserve">         non-ODA</v>
          </cell>
          <cell r="F25">
            <v>0</v>
          </cell>
          <cell r="G25">
            <v>46.612447231474803</v>
          </cell>
          <cell r="H25">
            <v>38.289206749316008</v>
          </cell>
          <cell r="I25">
            <v>33.797665448454083</v>
          </cell>
          <cell r="J25">
            <v>5.6220189806062395</v>
          </cell>
          <cell r="K25">
            <v>1.4528818297756425</v>
          </cell>
        </row>
        <row r="26">
          <cell r="A26" t="str">
            <v xml:space="preserve">        PRD-NC</v>
          </cell>
          <cell r="F26">
            <v>0</v>
          </cell>
          <cell r="G26">
            <v>150.13406433793523</v>
          </cell>
          <cell r="H26">
            <v>141.35488182153949</v>
          </cell>
          <cell r="I26">
            <v>143.52419582444617</v>
          </cell>
          <cell r="J26">
            <v>185.68572099857175</v>
          </cell>
          <cell r="K26">
            <v>246.42858822345517</v>
          </cell>
        </row>
        <row r="27">
          <cell r="A27" t="str">
            <v xml:space="preserve">         ODA</v>
          </cell>
          <cell r="F27">
            <v>0</v>
          </cell>
          <cell r="G27">
            <v>1.1823545568571299E-2</v>
          </cell>
          <cell r="H27">
            <v>3.5062928237832129E-2</v>
          </cell>
          <cell r="I27">
            <v>5.2186683888866423E-2</v>
          </cell>
          <cell r="J27">
            <v>10.790103833928267</v>
          </cell>
          <cell r="K27">
            <v>10.812323945427824</v>
          </cell>
        </row>
        <row r="28">
          <cell r="A28" t="str">
            <v xml:space="preserve">         non-ODA</v>
          </cell>
          <cell r="F28">
            <v>0</v>
          </cell>
          <cell r="G28">
            <v>150.12224079236665</v>
          </cell>
          <cell r="H28">
            <v>141.31981889330166</v>
          </cell>
          <cell r="I28">
            <v>143.47200914055733</v>
          </cell>
          <cell r="J28">
            <v>174.89561716464348</v>
          </cell>
          <cell r="K28">
            <v>235.61626427802733</v>
          </cell>
        </row>
        <row r="29">
          <cell r="A29" t="str">
            <v xml:space="preserve">        PRD-Toronto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 xml:space="preserve">         ODA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A31" t="str">
            <v xml:space="preserve">         non-ODA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 xml:space="preserve">        PRD-London</v>
          </cell>
          <cell r="F32">
            <v>0</v>
          </cell>
          <cell r="G32">
            <v>50.867914695587395</v>
          </cell>
          <cell r="H32">
            <v>30.447879776948422</v>
          </cell>
          <cell r="I32">
            <v>14.893175468895189</v>
          </cell>
          <cell r="J32">
            <v>16.383002126851512</v>
          </cell>
          <cell r="K32">
            <v>18.021844975161255</v>
          </cell>
        </row>
        <row r="33">
          <cell r="A33" t="str">
            <v xml:space="preserve">         ODA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 xml:space="preserve">         non-ODA</v>
          </cell>
          <cell r="F34">
            <v>0</v>
          </cell>
          <cell r="G34">
            <v>50.867914695587395</v>
          </cell>
          <cell r="H34">
            <v>30.447879776948422</v>
          </cell>
          <cell r="I34">
            <v>14.893175468895189</v>
          </cell>
          <cell r="J34">
            <v>16.383002126851512</v>
          </cell>
          <cell r="K34">
            <v>18.021844975161255</v>
          </cell>
        </row>
        <row r="35">
          <cell r="A35" t="str">
            <v xml:space="preserve">        PRD-Naples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A36" t="str">
            <v xml:space="preserve">         ODA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 xml:space="preserve">         non-ODA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A38" t="str">
            <v xml:space="preserve">    Other official bilateral</v>
          </cell>
          <cell r="F38">
            <v>0</v>
          </cell>
          <cell r="G38">
            <v>12.262913416105059</v>
          </cell>
          <cell r="H38">
            <v>12.262913416105059</v>
          </cell>
          <cell r="I38">
            <v>11.53923982210506</v>
          </cell>
          <cell r="J38">
            <v>8.6498331661021268</v>
          </cell>
          <cell r="K38">
            <v>7.0786703614737334</v>
          </cell>
        </row>
        <row r="39">
          <cell r="A39" t="str">
            <v xml:space="preserve">        post-cutoff date</v>
          </cell>
          <cell r="F39">
            <v>0</v>
          </cell>
          <cell r="G39">
            <v>4.7677619656029346</v>
          </cell>
          <cell r="H39">
            <v>4.7677619656029346</v>
          </cell>
          <cell r="I39">
            <v>4.7677619656029337</v>
          </cell>
          <cell r="J39">
            <v>2.6121388096000002</v>
          </cell>
          <cell r="K39">
            <v>2.6121388096000002</v>
          </cell>
        </row>
        <row r="40">
          <cell r="A40" t="str">
            <v xml:space="preserve">        pre-cutoff date</v>
          </cell>
          <cell r="F40">
            <v>0</v>
          </cell>
          <cell r="G40">
            <v>7.4951514505021271</v>
          </cell>
          <cell r="H40">
            <v>7.4951514505021271</v>
          </cell>
          <cell r="I40">
            <v>6.771477856502127</v>
          </cell>
          <cell r="J40">
            <v>6.0376943565021275</v>
          </cell>
          <cell r="K40">
            <v>4.4665315518737332</v>
          </cell>
        </row>
        <row r="41">
          <cell r="A41" t="str">
            <v xml:space="preserve">    Commercial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 xml:space="preserve">     post-cutoff date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A43" t="str">
            <v xml:space="preserve">     pre-cutoff date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5">
          <cell r="A45" t="str">
            <v>Interest</v>
          </cell>
          <cell r="F45">
            <v>0</v>
          </cell>
          <cell r="G45">
            <v>13.125101714651452</v>
          </cell>
          <cell r="H45">
            <v>12.521717967677054</v>
          </cell>
          <cell r="I45">
            <v>12.010573186807028</v>
          </cell>
          <cell r="J45">
            <v>11.445803010291067</v>
          </cell>
          <cell r="K45">
            <v>10.962010267417869</v>
          </cell>
        </row>
        <row r="46">
          <cell r="A46" t="str">
            <v xml:space="preserve">    Multilateral</v>
          </cell>
          <cell r="F46">
            <v>0</v>
          </cell>
          <cell r="G46">
            <v>52.535810839140282</v>
          </cell>
          <cell r="H46">
            <v>43.896902402400528</v>
          </cell>
          <cell r="I46">
            <v>36.736617017866934</v>
          </cell>
          <cell r="J46">
            <v>30.163424117517472</v>
          </cell>
          <cell r="K46">
            <v>25.06912550123111</v>
          </cell>
        </row>
        <row r="47">
          <cell r="A47" t="str">
            <v xml:space="preserve">     AfDB/AfDF</v>
          </cell>
          <cell r="F47">
            <v>0</v>
          </cell>
          <cell r="G47">
            <v>18.793012509674309</v>
          </cell>
          <cell r="H47">
            <v>16.47821367885426</v>
          </cell>
          <cell r="I47">
            <v>14.237508321605549</v>
          </cell>
          <cell r="J47">
            <v>12.008247469940743</v>
          </cell>
          <cell r="K47">
            <v>10.002342692191403</v>
          </cell>
        </row>
        <row r="48">
          <cell r="A48" t="str">
            <v xml:space="preserve">     IBRD/IDA</v>
          </cell>
          <cell r="F48">
            <v>0</v>
          </cell>
          <cell r="G48">
            <v>28.19502378880486</v>
          </cell>
          <cell r="H48">
            <v>23.740627077126778</v>
          </cell>
          <cell r="I48">
            <v>19.875812389001943</v>
          </cell>
          <cell r="J48">
            <v>16.032461796127176</v>
          </cell>
          <cell r="K48">
            <v>13.200969973503669</v>
          </cell>
        </row>
        <row r="49">
          <cell r="A49" t="str">
            <v xml:space="preserve">     IMF</v>
          </cell>
          <cell r="F49">
            <v>0</v>
          </cell>
          <cell r="G49">
            <v>1.6948997570699997</v>
          </cell>
          <cell r="H49">
            <v>0.9663643503899999</v>
          </cell>
          <cell r="I49">
            <v>0.7219014762599999</v>
          </cell>
          <cell r="J49">
            <v>0.71582193188999987</v>
          </cell>
          <cell r="K49">
            <v>0.66244190255999991</v>
          </cell>
        </row>
        <row r="50">
          <cell r="A50" t="str">
            <v xml:space="preserve">     Others</v>
          </cell>
          <cell r="F50">
            <v>0</v>
          </cell>
          <cell r="G50">
            <v>3.8528747835910915</v>
          </cell>
          <cell r="H50">
            <v>2.7116972960294707</v>
          </cell>
          <cell r="I50">
            <v>1.901394830999434</v>
          </cell>
          <cell r="J50">
            <v>1.4068929195595645</v>
          </cell>
          <cell r="K50">
            <v>1.2033709329760374</v>
          </cell>
        </row>
        <row r="51">
          <cell r="A51" t="str">
            <v xml:space="preserve">    Official bilateral</v>
          </cell>
          <cell r="F51">
            <v>0</v>
          </cell>
          <cell r="G51">
            <v>263.83393723373013</v>
          </cell>
          <cell r="H51">
            <v>244.08209292106199</v>
          </cell>
          <cell r="I51">
            <v>221.18374900379081</v>
          </cell>
          <cell r="J51">
            <v>202.68395446891628</v>
          </cell>
          <cell r="K51">
            <v>182.38849009358711</v>
          </cell>
        </row>
        <row r="52">
          <cell r="A52" t="str">
            <v xml:space="preserve">    Paris Club</v>
          </cell>
          <cell r="F52">
            <v>0</v>
          </cell>
          <cell r="G52">
            <v>263.52490056825701</v>
          </cell>
          <cell r="H52">
            <v>243.84689976877252</v>
          </cell>
          <cell r="I52">
            <v>221.02396329084237</v>
          </cell>
          <cell r="J52">
            <v>202.58080610734581</v>
          </cell>
          <cell r="K52">
            <v>182.31206484122237</v>
          </cell>
        </row>
        <row r="53">
          <cell r="A53" t="str">
            <v xml:space="preserve">       post-cutoff date</v>
          </cell>
          <cell r="F53">
            <v>0</v>
          </cell>
          <cell r="G53">
            <v>58.334894992592311</v>
          </cell>
          <cell r="H53">
            <v>51.262620358210036</v>
          </cell>
          <cell r="I53">
            <v>46.108642929454845</v>
          </cell>
          <cell r="J53">
            <v>41.643891389844605</v>
          </cell>
          <cell r="K53">
            <v>36.706411530817135</v>
          </cell>
        </row>
        <row r="54">
          <cell r="A54" t="str">
            <v xml:space="preserve">        o/w ODA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 xml:space="preserve">       pre-cutoff date</v>
          </cell>
          <cell r="F55">
            <v>0</v>
          </cell>
          <cell r="G55">
            <v>205.19000557566432</v>
          </cell>
          <cell r="H55">
            <v>192.58427941056232</v>
          </cell>
          <cell r="I55">
            <v>174.91532036138747</v>
          </cell>
          <cell r="J55">
            <v>160.93691471750105</v>
          </cell>
          <cell r="K55">
            <v>145.6056533104055</v>
          </cell>
        </row>
        <row r="56">
          <cell r="A56" t="str">
            <v xml:space="preserve">        NPRD</v>
          </cell>
          <cell r="F56">
            <v>0</v>
          </cell>
          <cell r="G56">
            <v>15.828837087216373</v>
          </cell>
          <cell r="H56">
            <v>11.42110558994678</v>
          </cell>
          <cell r="I56">
            <v>7.5282596499370387</v>
          </cell>
          <cell r="J56">
            <v>4.3156535091418524</v>
          </cell>
          <cell r="K56">
            <v>3.1094124924838145</v>
          </cell>
        </row>
        <row r="57">
          <cell r="A57" t="str">
            <v xml:space="preserve">         ODA</v>
          </cell>
          <cell r="F57">
            <v>0</v>
          </cell>
          <cell r="G57">
            <v>6.3445127767227589</v>
          </cell>
          <cell r="H57">
            <v>5.442943398899347</v>
          </cell>
          <cell r="I57">
            <v>4.5116517909353941</v>
          </cell>
          <cell r="J57">
            <v>3.6805331584294305</v>
          </cell>
          <cell r="K57">
            <v>2.8579033629144206</v>
          </cell>
        </row>
        <row r="58">
          <cell r="A58" t="str">
            <v xml:space="preserve">         non-ODA</v>
          </cell>
          <cell r="F58">
            <v>0</v>
          </cell>
          <cell r="G58">
            <v>9.4843243104936139</v>
          </cell>
          <cell r="H58">
            <v>5.9781621910474341</v>
          </cell>
          <cell r="I58">
            <v>3.0166078590016441</v>
          </cell>
          <cell r="J58">
            <v>0.63512035071242179</v>
          </cell>
          <cell r="K58">
            <v>0.25150912956939359</v>
          </cell>
        </row>
        <row r="59">
          <cell r="A59" t="str">
            <v xml:space="preserve">        PRD-NC</v>
          </cell>
          <cell r="F59">
            <v>0</v>
          </cell>
          <cell r="G59">
            <v>119.14331774179294</v>
          </cell>
          <cell r="H59">
            <v>111.29584721796844</v>
          </cell>
          <cell r="I59">
            <v>101.70242143349714</v>
          </cell>
          <cell r="J59">
            <v>91.347466885513953</v>
          </cell>
          <cell r="K59">
            <v>77.679648841676595</v>
          </cell>
        </row>
        <row r="60">
          <cell r="A60" t="str">
            <v xml:space="preserve">         ODA</v>
          </cell>
          <cell r="F60">
            <v>0</v>
          </cell>
          <cell r="G60">
            <v>18.068420377897738</v>
          </cell>
          <cell r="H60">
            <v>18.06763696362701</v>
          </cell>
          <cell r="I60">
            <v>18.066040323746051</v>
          </cell>
          <cell r="J60">
            <v>18.024294338378439</v>
          </cell>
          <cell r="K60">
            <v>17.647456726084691</v>
          </cell>
        </row>
        <row r="61">
          <cell r="A61" t="str">
            <v xml:space="preserve">         non-ODA</v>
          </cell>
          <cell r="F61">
            <v>0</v>
          </cell>
          <cell r="G61">
            <v>101.0748973638952</v>
          </cell>
          <cell r="H61">
            <v>93.228210254341434</v>
          </cell>
          <cell r="I61">
            <v>83.636381109751071</v>
          </cell>
          <cell r="J61">
            <v>73.323172547135499</v>
          </cell>
          <cell r="K61">
            <v>60.032192115591897</v>
          </cell>
        </row>
        <row r="62">
          <cell r="A62" t="str">
            <v xml:space="preserve">        PRD-Toronto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A63" t="str">
            <v xml:space="preserve">         ODA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A64" t="str">
            <v xml:space="preserve">         non-ODA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A65" t="str">
            <v xml:space="preserve">        PRD-London</v>
          </cell>
          <cell r="F65">
            <v>0</v>
          </cell>
          <cell r="G65">
            <v>69.846740897572445</v>
          </cell>
          <cell r="H65">
            <v>69.496216753564369</v>
          </cell>
          <cell r="I65">
            <v>65.313529428870595</v>
          </cell>
          <cell r="J65">
            <v>64.902684473762562</v>
          </cell>
          <cell r="K65">
            <v>64.445482127162308</v>
          </cell>
        </row>
        <row r="66">
          <cell r="A66" t="str">
            <v xml:space="preserve">         ODA</v>
          </cell>
          <cell r="F66">
            <v>0</v>
          </cell>
          <cell r="G66">
            <v>6.0764252104157643</v>
          </cell>
          <cell r="H66">
            <v>6.0764252104157643</v>
          </cell>
          <cell r="I66">
            <v>6.0764252104157643</v>
          </cell>
          <cell r="J66">
            <v>6.0764252104157643</v>
          </cell>
          <cell r="K66">
            <v>6.0764252104157643</v>
          </cell>
        </row>
        <row r="67">
          <cell r="A67" t="str">
            <v xml:space="preserve">         non-ODA</v>
          </cell>
          <cell r="F67">
            <v>0</v>
          </cell>
          <cell r="G67">
            <v>63.770315687156675</v>
          </cell>
          <cell r="H67">
            <v>63.419791543148605</v>
          </cell>
          <cell r="I67">
            <v>59.237104218454824</v>
          </cell>
          <cell r="J67">
            <v>58.826259263346799</v>
          </cell>
          <cell r="K67">
            <v>58.369056916746544</v>
          </cell>
        </row>
        <row r="68">
          <cell r="A68" t="str">
            <v xml:space="preserve">        PRD-Naples</v>
          </cell>
          <cell r="F68">
            <v>0</v>
          </cell>
          <cell r="G68">
            <v>0.37110984908275563</v>
          </cell>
          <cell r="H68">
            <v>0.37110984908275563</v>
          </cell>
          <cell r="I68">
            <v>0.37110984908275563</v>
          </cell>
          <cell r="J68">
            <v>0.37110984908275563</v>
          </cell>
          <cell r="K68">
            <v>0.37110984908275563</v>
          </cell>
        </row>
        <row r="69">
          <cell r="A69" t="str">
            <v xml:space="preserve">         ODA</v>
          </cell>
          <cell r="F69">
            <v>0</v>
          </cell>
          <cell r="G69">
            <v>0.37110984908275563</v>
          </cell>
          <cell r="H69">
            <v>0.37110984908275563</v>
          </cell>
          <cell r="I69">
            <v>0.37110984908275563</v>
          </cell>
          <cell r="J69">
            <v>0.37110984908275563</v>
          </cell>
          <cell r="K69">
            <v>0.37110984908275563</v>
          </cell>
        </row>
        <row r="70">
          <cell r="A70" t="str">
            <v xml:space="preserve">         non-ODA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 xml:space="preserve">    Other official bilateral</v>
          </cell>
          <cell r="F71">
            <v>0</v>
          </cell>
          <cell r="G71">
            <v>0.30903666547313879</v>
          </cell>
          <cell r="H71">
            <v>0.23519315228947496</v>
          </cell>
          <cell r="I71">
            <v>0.15978571294841881</v>
          </cell>
          <cell r="J71">
            <v>0.10314836157047649</v>
          </cell>
          <cell r="K71">
            <v>7.6425252364725804E-2</v>
          </cell>
        </row>
        <row r="72">
          <cell r="A72" t="str">
            <v xml:space="preserve">        post-cutoff date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 xml:space="preserve">        pre-cutoff date</v>
          </cell>
          <cell r="F73">
            <v>0</v>
          </cell>
          <cell r="G73">
            <v>0.30903666547313879</v>
          </cell>
          <cell r="H73">
            <v>0.23519315228947496</v>
          </cell>
          <cell r="I73">
            <v>0.15978571294841881</v>
          </cell>
          <cell r="J73">
            <v>0.10314836157047649</v>
          </cell>
          <cell r="K73">
            <v>7.6425252364725804E-2</v>
          </cell>
        </row>
        <row r="74">
          <cell r="A74" t="str">
            <v xml:space="preserve">    Commercial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 xml:space="preserve">     post-cutoff date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 xml:space="preserve">     pre-cutoff date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9">
          <cell r="A79" t="str">
            <v>1. Debt service on outstanding debt (1P+1I)</v>
          </cell>
          <cell r="F79">
            <v>0</v>
          </cell>
          <cell r="G79">
            <v>834.67949328180362</v>
          </cell>
          <cell r="H79">
            <v>743.83212316444678</v>
          </cell>
          <cell r="I79">
            <v>675.78855088807347</v>
          </cell>
          <cell r="J79">
            <v>639.16799271525008</v>
          </cell>
          <cell r="K79">
            <v>688.15735849136342</v>
          </cell>
        </row>
        <row r="80">
          <cell r="A80" t="str">
            <v>1P Principal</v>
          </cell>
          <cell r="F80">
            <v>0</v>
          </cell>
          <cell r="G80">
            <v>518.30974520893358</v>
          </cell>
          <cell r="H80">
            <v>455.85312784098414</v>
          </cell>
          <cell r="I80">
            <v>417.8681848664163</v>
          </cell>
          <cell r="J80">
            <v>406.32061412881637</v>
          </cell>
          <cell r="K80">
            <v>480.69974289654527</v>
          </cell>
        </row>
        <row r="81">
          <cell r="A81" t="str">
            <v>1I Interest</v>
          </cell>
          <cell r="F81">
            <v>0</v>
          </cell>
          <cell r="G81">
            <v>316.36974807286981</v>
          </cell>
          <cell r="H81">
            <v>287.97899532346224</v>
          </cell>
          <cell r="I81">
            <v>257.92036602165751</v>
          </cell>
          <cell r="J81">
            <v>232.84737858643362</v>
          </cell>
          <cell r="K81">
            <v>207.45761559481838</v>
          </cell>
        </row>
        <row r="83">
          <cell r="A83" t="str">
            <v>Debt service on new borrowing</v>
          </cell>
          <cell r="F83">
            <v>0</v>
          </cell>
          <cell r="G83">
            <v>1.4084877994834115</v>
          </cell>
          <cell r="H83">
            <v>3.0268603015481652</v>
          </cell>
          <cell r="I83">
            <v>4.8286961734396314</v>
          </cell>
          <cell r="J83">
            <v>6.7581915801123191</v>
          </cell>
          <cell r="K83">
            <v>8.071775979560357</v>
          </cell>
        </row>
        <row r="84">
          <cell r="A84" t="str">
            <v>Principal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Interest</v>
          </cell>
          <cell r="F85">
            <v>0</v>
          </cell>
          <cell r="G85">
            <v>1.4084877994834115</v>
          </cell>
          <cell r="H85">
            <v>3.0268603015481652</v>
          </cell>
          <cell r="I85">
            <v>4.8286961734396314</v>
          </cell>
          <cell r="J85">
            <v>6.7581915801123191</v>
          </cell>
          <cell r="K85">
            <v>8.071775979560357</v>
          </cell>
        </row>
        <row r="87">
          <cell r="A87" t="str">
            <v xml:space="preserve">Debt service on reschedulings </v>
          </cell>
          <cell r="F87">
            <v>0</v>
          </cell>
          <cell r="G87">
            <v>0.28778183378745675</v>
          </cell>
          <cell r="H87">
            <v>0.28778183378745675</v>
          </cell>
          <cell r="I87">
            <v>0.28778183378745675</v>
          </cell>
          <cell r="J87">
            <v>0.28778183378745675</v>
          </cell>
          <cell r="K87">
            <v>0.28778183378745675</v>
          </cell>
        </row>
        <row r="88">
          <cell r="A88" t="str">
            <v>Principal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A89" t="str">
            <v xml:space="preserve">    Paris Club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 xml:space="preserve">    Non Paris Club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Interest</v>
          </cell>
          <cell r="F91">
            <v>0</v>
          </cell>
          <cell r="G91">
            <v>0.28778183378745675</v>
          </cell>
          <cell r="H91">
            <v>0.28778183378745675</v>
          </cell>
          <cell r="I91">
            <v>0.28778183378745675</v>
          </cell>
          <cell r="J91">
            <v>0.28778183378745675</v>
          </cell>
          <cell r="K91">
            <v>0.28778183378745675</v>
          </cell>
        </row>
        <row r="92">
          <cell r="A92" t="str">
            <v xml:space="preserve">    Paris Club</v>
          </cell>
          <cell r="F92">
            <v>0</v>
          </cell>
          <cell r="G92">
            <v>0.25147257267880563</v>
          </cell>
          <cell r="H92">
            <v>0.25147257267880563</v>
          </cell>
          <cell r="I92">
            <v>0.25147257267880563</v>
          </cell>
          <cell r="J92">
            <v>0.25147257267880563</v>
          </cell>
          <cell r="K92">
            <v>0.25147257267880563</v>
          </cell>
        </row>
        <row r="93">
          <cell r="A93" t="str">
            <v xml:space="preserve">    Non Paris Club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5">
          <cell r="A95" t="str">
            <v>4a Debt Service Relief-Flow Operations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4P Principal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4I Interest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9">
          <cell r="A99" t="str">
            <v>Debt Service Relief-Stock Operations</v>
          </cell>
          <cell r="F99">
            <v>0</v>
          </cell>
          <cell r="G99">
            <v>5.3908321824334733</v>
          </cell>
          <cell r="H99">
            <v>5.1812142511758283</v>
          </cell>
          <cell r="I99">
            <v>4.9787030829661285</v>
          </cell>
          <cell r="J99">
            <v>3.405394163146779</v>
          </cell>
          <cell r="K99">
            <v>1.8278668647811782</v>
          </cell>
        </row>
        <row r="100">
          <cell r="A100" t="str">
            <v>Principal</v>
          </cell>
          <cell r="F100">
            <v>0</v>
          </cell>
          <cell r="G100">
            <v>4.5770028609766138</v>
          </cell>
          <cell r="H100">
            <v>4.6065625141273552</v>
          </cell>
          <cell r="I100">
            <v>4.6152041706706948</v>
          </cell>
          <cell r="J100">
            <v>3.2523704090119967</v>
          </cell>
          <cell r="K100">
            <v>1.7981059285714285</v>
          </cell>
        </row>
        <row r="101">
          <cell r="A101" t="str">
            <v>Interest</v>
          </cell>
          <cell r="F101">
            <v>0</v>
          </cell>
          <cell r="G101">
            <v>0.81382932145685938</v>
          </cell>
          <cell r="H101">
            <v>0.5746517370484745</v>
          </cell>
          <cell r="I101">
            <v>0.3634989122954338</v>
          </cell>
          <cell r="J101">
            <v>0.15302375413478173</v>
          </cell>
          <cell r="K101">
            <v>2.9760936209749997E-2</v>
          </cell>
        </row>
        <row r="103">
          <cell r="A103" t="str">
            <v>Net change in arrears (5P+5I)</v>
          </cell>
          <cell r="F103">
            <v>713.97313239483083</v>
          </cell>
          <cell r="G103">
            <v>713.97313239483083</v>
          </cell>
          <cell r="H103">
            <v>713.97313239483083</v>
          </cell>
          <cell r="I103">
            <v>713.97313239483083</v>
          </cell>
          <cell r="J103">
            <v>713.97313239483083</v>
          </cell>
          <cell r="K103">
            <v>713.97313239483083</v>
          </cell>
        </row>
        <row r="104">
          <cell r="A104" t="str">
            <v>Principal</v>
          </cell>
          <cell r="F104">
            <v>261.1673955094937</v>
          </cell>
          <cell r="G104">
            <v>261.1673955094937</v>
          </cell>
          <cell r="H104">
            <v>261.1673955094937</v>
          </cell>
          <cell r="I104">
            <v>261.1673955094937</v>
          </cell>
          <cell r="J104">
            <v>261.1673955094937</v>
          </cell>
          <cell r="K104">
            <v>261.1673955094937</v>
          </cell>
        </row>
        <row r="105">
          <cell r="A105" t="str">
            <v>Interest, including late interest</v>
          </cell>
          <cell r="F105">
            <v>452.80573688533718</v>
          </cell>
          <cell r="G105">
            <v>452.80573688533718</v>
          </cell>
          <cell r="H105">
            <v>452.80573688533718</v>
          </cell>
          <cell r="I105">
            <v>452.80573688533718</v>
          </cell>
          <cell r="J105">
            <v>452.80573688533718</v>
          </cell>
          <cell r="K105">
            <v>452.80573688533718</v>
          </cell>
        </row>
        <row r="107">
          <cell r="A107" t="str">
            <v>Debt relief on arrears (6P+6I)</v>
          </cell>
          <cell r="F107">
            <v>463.72385383544128</v>
          </cell>
          <cell r="G107">
            <v>463.72385383544128</v>
          </cell>
          <cell r="H107">
            <v>463.72385383544128</v>
          </cell>
          <cell r="I107">
            <v>463.72385383544128</v>
          </cell>
          <cell r="J107">
            <v>463.72385383544128</v>
          </cell>
          <cell r="K107">
            <v>463.72385383544128</v>
          </cell>
        </row>
        <row r="108">
          <cell r="A108" t="str">
            <v>Principal</v>
          </cell>
          <cell r="F108">
            <v>165.55592978598816</v>
          </cell>
          <cell r="G108">
            <v>165.55592978598816</v>
          </cell>
          <cell r="H108">
            <v>165.55592978598816</v>
          </cell>
          <cell r="I108">
            <v>165.55592978598816</v>
          </cell>
          <cell r="J108">
            <v>165.55592978598816</v>
          </cell>
          <cell r="K108">
            <v>165.55592978598816</v>
          </cell>
        </row>
        <row r="109">
          <cell r="A109" t="str">
            <v>Interest, including late interest</v>
          </cell>
          <cell r="F109">
            <v>298.16792404945318</v>
          </cell>
          <cell r="G109">
            <v>298.16792404945318</v>
          </cell>
          <cell r="H109">
            <v>298.16792404945318</v>
          </cell>
          <cell r="I109">
            <v>298.16792404945318</v>
          </cell>
          <cell r="J109">
            <v>298.16792404945318</v>
          </cell>
          <cell r="K109">
            <v>298.16792404945318</v>
          </cell>
        </row>
        <row r="111">
          <cell r="A111" t="str">
            <v>Memorandum items:</v>
          </cell>
        </row>
        <row r="113">
          <cell r="A113" t="str">
            <v>Total debt service before debt relief</v>
          </cell>
          <cell r="F113">
            <v>0</v>
          </cell>
          <cell r="G113">
            <v>38.012870820927674</v>
          </cell>
          <cell r="H113">
            <v>41.641154274054138</v>
          </cell>
          <cell r="I113">
            <v>48.597840888901061</v>
          </cell>
          <cell r="J113">
            <v>51.600655535816699</v>
          </cell>
          <cell r="K113">
            <v>55.467682385497142</v>
          </cell>
        </row>
        <row r="114">
          <cell r="A114" t="str">
            <v xml:space="preserve">Principal </v>
          </cell>
          <cell r="F114">
            <v>0</v>
          </cell>
          <cell r="G114">
            <v>23.479281306792807</v>
          </cell>
          <cell r="H114">
            <v>26.092576004828917</v>
          </cell>
          <cell r="I114">
            <v>31.758571528654404</v>
          </cell>
          <cell r="J114">
            <v>33.396660945413309</v>
          </cell>
          <cell r="K114">
            <v>36.433896138518918</v>
          </cell>
        </row>
        <row r="115">
          <cell r="A115" t="str">
            <v xml:space="preserve">   Memo: Principal excluding IMF</v>
          </cell>
          <cell r="F115">
            <v>0</v>
          </cell>
          <cell r="G115">
            <v>4.643514306792806</v>
          </cell>
          <cell r="H115">
            <v>13.385112629828919</v>
          </cell>
          <cell r="I115">
            <v>31.758571528654404</v>
          </cell>
          <cell r="J115">
            <v>29.787140205413309</v>
          </cell>
          <cell r="K115">
            <v>18.386292438518918</v>
          </cell>
        </row>
        <row r="116">
          <cell r="A116" t="str">
            <v xml:space="preserve">Interest </v>
          </cell>
          <cell r="F116">
            <v>0</v>
          </cell>
          <cell r="G116">
            <v>14.533589514134864</v>
          </cell>
          <cell r="H116">
            <v>15.548578269225219</v>
          </cell>
          <cell r="I116">
            <v>16.839269360246661</v>
          </cell>
          <cell r="J116">
            <v>18.203994590403386</v>
          </cell>
          <cell r="K116">
            <v>19.033786246978224</v>
          </cell>
        </row>
        <row r="118">
          <cell r="A118" t="str">
            <v>Total debt service after debt relief 2/</v>
          </cell>
          <cell r="F118">
            <v>0</v>
          </cell>
          <cell r="G118">
            <v>31.830403860952767</v>
          </cell>
          <cell r="H118">
            <v>33.958589265606946</v>
          </cell>
          <cell r="I118">
            <v>39.315198542638853</v>
          </cell>
          <cell r="J118">
            <v>43.844182615826007</v>
          </cell>
          <cell r="K118">
            <v>45.576696274673438</v>
          </cell>
        </row>
        <row r="119">
          <cell r="F119">
            <v>0</v>
          </cell>
        </row>
        <row r="120">
          <cell r="A120" t="str">
            <v xml:space="preserve">Principal </v>
          </cell>
          <cell r="F120">
            <v>0</v>
          </cell>
          <cell r="G120">
            <v>19.015093331105277</v>
          </cell>
          <cell r="H120">
            <v>21.544311003876146</v>
          </cell>
          <cell r="I120">
            <v>27.240119264368651</v>
          </cell>
          <cell r="J120">
            <v>32.161858620693074</v>
          </cell>
          <cell r="K120">
            <v>34.289076170354861</v>
          </cell>
        </row>
        <row r="121">
          <cell r="A121" t="str">
            <v>Multilateral</v>
          </cell>
          <cell r="G121">
            <v>13.12919217356413</v>
          </cell>
          <cell r="H121">
            <v>15.600112333160414</v>
          </cell>
          <cell r="I121">
            <v>21.199168687267971</v>
          </cell>
          <cell r="J121">
            <v>24.103339959300634</v>
          </cell>
          <cell r="K121">
            <v>26.57727154855505</v>
          </cell>
        </row>
        <row r="122">
          <cell r="A122" t="str">
            <v>IDA</v>
          </cell>
          <cell r="G122">
            <v>6.0215330602374602</v>
          </cell>
          <cell r="H122">
            <v>6.392885597856365</v>
          </cell>
          <cell r="I122">
            <v>6.392885597856365</v>
          </cell>
          <cell r="J122">
            <v>6.8546979115228606</v>
          </cell>
          <cell r="K122">
            <v>7.9284000044266811</v>
          </cell>
        </row>
        <row r="123">
          <cell r="A123" t="str">
            <v>IMF</v>
          </cell>
          <cell r="G123">
            <v>0.83997611999999988</v>
          </cell>
          <cell r="H123">
            <v>3.4010797799999999</v>
          </cell>
          <cell r="I123">
            <v>9.0695460800000003</v>
          </cell>
          <cell r="J123">
            <v>11.336932600000001</v>
          </cell>
          <cell r="K123">
            <v>12.47062586</v>
          </cell>
        </row>
        <row r="124">
          <cell r="A124" t="str">
            <v>African Development Bank Group</v>
          </cell>
          <cell r="G124">
            <v>2.2098979035232986</v>
          </cell>
          <cell r="H124">
            <v>2.2098979035232986</v>
          </cell>
          <cell r="I124">
            <v>2.6764187420750143</v>
          </cell>
          <cell r="J124">
            <v>2.9369552989114673</v>
          </cell>
          <cell r="K124">
            <v>3.1676002365348541</v>
          </cell>
        </row>
        <row r="125">
          <cell r="A125" t="str">
            <v>Others</v>
          </cell>
          <cell r="G125">
            <v>4.0577850898033709</v>
          </cell>
          <cell r="H125">
            <v>3.5962490517807497</v>
          </cell>
          <cell r="I125">
            <v>3.0603182673365925</v>
          </cell>
          <cell r="J125">
            <v>2.9747541488663072</v>
          </cell>
          <cell r="K125">
            <v>3.0106454475935154</v>
          </cell>
        </row>
        <row r="126">
          <cell r="A126" t="str">
            <v>Official bilateral</v>
          </cell>
          <cell r="G126">
            <v>4.8290738577195196</v>
          </cell>
          <cell r="H126">
            <v>4.9097999423226781</v>
          </cell>
          <cell r="I126">
            <v>5.0289804201361976</v>
          </cell>
          <cell r="J126">
            <v>7.1872936142446076</v>
          </cell>
          <cell r="K126">
            <v>7.3278922054019731</v>
          </cell>
        </row>
        <row r="127">
          <cell r="A127" t="str">
            <v>Paris Club</v>
          </cell>
          <cell r="G127">
            <v>1.1307380367911519</v>
          </cell>
          <cell r="H127">
            <v>1.2114641213943114</v>
          </cell>
          <cell r="I127">
            <v>1.3306445992078306</v>
          </cell>
          <cell r="J127">
            <v>1.8889577933162409</v>
          </cell>
          <cell r="K127">
            <v>2.0295563844736066</v>
          </cell>
        </row>
        <row r="128">
          <cell r="A128" t="str">
            <v>post-cutoff date</v>
          </cell>
          <cell r="G128">
            <v>1.0487896552710438</v>
          </cell>
          <cell r="H128">
            <v>1.0487896552710438</v>
          </cell>
          <cell r="I128">
            <v>1.0487896552710438</v>
          </cell>
          <cell r="J128">
            <v>1.4783929433604295</v>
          </cell>
          <cell r="K128">
            <v>1.4783929433604295</v>
          </cell>
        </row>
        <row r="129">
          <cell r="A129" t="str">
            <v>o/w ODA</v>
          </cell>
          <cell r="G129">
            <v>0.74943159999999998</v>
          </cell>
          <cell r="H129">
            <v>0.74943159999999998</v>
          </cell>
          <cell r="I129">
            <v>0.74943159999999998</v>
          </cell>
          <cell r="J129">
            <v>1.1790348880893855</v>
          </cell>
          <cell r="K129">
            <v>1.1790348880893855</v>
          </cell>
        </row>
        <row r="130">
          <cell r="A130" t="str">
            <v>pre-cutoff date</v>
          </cell>
          <cell r="G130">
            <v>8.1948381520108221E-2</v>
          </cell>
          <cell r="H130">
            <v>0.16267446612326772</v>
          </cell>
          <cell r="I130">
            <v>0.28185494393678678</v>
          </cell>
          <cell r="J130">
            <v>0.41056484995581155</v>
          </cell>
          <cell r="K130">
            <v>0.55116344111317717</v>
          </cell>
        </row>
        <row r="131">
          <cell r="A131" t="str">
            <v xml:space="preserve">        NPRD</v>
          </cell>
        </row>
        <row r="132">
          <cell r="A132" t="str">
            <v xml:space="preserve">         ODA</v>
          </cell>
        </row>
        <row r="133">
          <cell r="A133" t="str">
            <v xml:space="preserve">         non-ODA</v>
          </cell>
        </row>
        <row r="134">
          <cell r="A134" t="str">
            <v xml:space="preserve">        PRD-NC</v>
          </cell>
        </row>
        <row r="135">
          <cell r="A135" t="str">
            <v xml:space="preserve">         ODA</v>
          </cell>
        </row>
        <row r="136">
          <cell r="A136" t="str">
            <v xml:space="preserve">         non-ODA</v>
          </cell>
        </row>
        <row r="137">
          <cell r="A137" t="str">
            <v xml:space="preserve">        PRD-Toronto</v>
          </cell>
        </row>
        <row r="138">
          <cell r="A138" t="str">
            <v xml:space="preserve">         ODA</v>
          </cell>
        </row>
        <row r="139">
          <cell r="A139" t="str">
            <v xml:space="preserve">         non-ODA</v>
          </cell>
        </row>
        <row r="140">
          <cell r="A140" t="str">
            <v xml:space="preserve">        PRD-London</v>
          </cell>
        </row>
        <row r="141">
          <cell r="A141" t="str">
            <v xml:space="preserve">         ODA</v>
          </cell>
        </row>
        <row r="142">
          <cell r="A142" t="str">
            <v xml:space="preserve">         non-ODA</v>
          </cell>
        </row>
        <row r="143">
          <cell r="A143" t="str">
            <v xml:space="preserve">        PRD-Naples</v>
          </cell>
        </row>
        <row r="144">
          <cell r="A144" t="str">
            <v xml:space="preserve">         ODA</v>
          </cell>
        </row>
        <row r="145">
          <cell r="A145" t="str">
            <v xml:space="preserve">         non-ODA</v>
          </cell>
        </row>
        <row r="146">
          <cell r="A146" t="str">
            <v>ODA</v>
          </cell>
          <cell r="G146">
            <v>6.7834535486280267E-3</v>
          </cell>
          <cell r="H146">
            <v>7.6468021820897741E-3</v>
          </cell>
          <cell r="I146">
            <v>8.6334863346174857E-3</v>
          </cell>
          <cell r="J146">
            <v>9.7435060062111625E-3</v>
          </cell>
          <cell r="K146">
            <v>1.0976861196870805E-2</v>
          </cell>
        </row>
        <row r="147">
          <cell r="A147" t="str">
            <v>non-ODA</v>
          </cell>
          <cell r="G147">
            <v>7.5164927971480194E-2</v>
          </cell>
          <cell r="H147">
            <v>0.15502766394117795</v>
          </cell>
          <cell r="I147">
            <v>0.27322145760216932</v>
          </cell>
          <cell r="J147">
            <v>0.40082134394960039</v>
          </cell>
          <cell r="K147">
            <v>0.54018657991630648</v>
          </cell>
        </row>
        <row r="148">
          <cell r="A148" t="str">
            <v>Other official bilateral</v>
          </cell>
          <cell r="G148">
            <v>3.6983358209283672</v>
          </cell>
          <cell r="H148">
            <v>3.6983358209283672</v>
          </cell>
          <cell r="I148">
            <v>3.6983358209283672</v>
          </cell>
          <cell r="J148">
            <v>5.2983358209283669</v>
          </cell>
          <cell r="K148">
            <v>5.2983358209283669</v>
          </cell>
        </row>
        <row r="149">
          <cell r="A149" t="str">
            <v>post-cutoff date</v>
          </cell>
          <cell r="G149">
            <v>3.6983358209283672</v>
          </cell>
          <cell r="H149">
            <v>3.6983358209283672</v>
          </cell>
          <cell r="I149">
            <v>3.6983358209283672</v>
          </cell>
          <cell r="J149">
            <v>5.2983358209283669</v>
          </cell>
          <cell r="K149">
            <v>5.2983358209283669</v>
          </cell>
        </row>
        <row r="150">
          <cell r="A150" t="str">
            <v>pre-cutoff date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Commercial</v>
          </cell>
          <cell r="G151">
            <v>1.0568272998216266</v>
          </cell>
          <cell r="H151">
            <v>1.0343987283930551</v>
          </cell>
          <cell r="I151">
            <v>1.0119701569644837</v>
          </cell>
          <cell r="J151">
            <v>0.87122504714783455</v>
          </cell>
          <cell r="K151">
            <v>0.3839124163978373</v>
          </cell>
        </row>
        <row r="152">
          <cell r="A152" t="str">
            <v>post-cutoff date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pre-cutoff date</v>
          </cell>
          <cell r="G153">
            <v>1.0568272998216266</v>
          </cell>
          <cell r="H153">
            <v>1.0343987283930551</v>
          </cell>
          <cell r="I153">
            <v>1.0119701569644837</v>
          </cell>
          <cell r="J153">
            <v>0.87122504714783455</v>
          </cell>
          <cell r="K153">
            <v>0.3839124163978373</v>
          </cell>
        </row>
        <row r="155">
          <cell r="A155" t="str">
            <v xml:space="preserve">Interest </v>
          </cell>
          <cell r="G155">
            <v>12.815310529847491</v>
          </cell>
          <cell r="H155">
            <v>12.414278261730804</v>
          </cell>
          <cell r="I155">
            <v>12.075079278270206</v>
          </cell>
          <cell r="J155">
            <v>11.682323995132935</v>
          </cell>
          <cell r="K155">
            <v>11.287620104318577</v>
          </cell>
        </row>
        <row r="156">
          <cell r="A156" t="str">
            <v>Multilateral</v>
          </cell>
          <cell r="G156">
            <v>7.0292920667364749</v>
          </cell>
          <cell r="H156">
            <v>6.8759876485324476</v>
          </cell>
          <cell r="I156">
            <v>6.7136971184213872</v>
          </cell>
          <cell r="J156">
            <v>6.5189117263446663</v>
          </cell>
          <cell r="K156">
            <v>6.3091800319307509</v>
          </cell>
        </row>
        <row r="157">
          <cell r="A157" t="str">
            <v>IDA</v>
          </cell>
          <cell r="G157">
            <v>3.9380967502123374</v>
          </cell>
          <cell r="H157">
            <v>3.8929352522605565</v>
          </cell>
          <cell r="I157">
            <v>3.8441227121885095</v>
          </cell>
          <cell r="J157">
            <v>3.794162878780392</v>
          </cell>
          <cell r="K157">
            <v>3.7413802960951958</v>
          </cell>
        </row>
        <row r="158">
          <cell r="A158" t="str">
            <v>IMF</v>
          </cell>
          <cell r="G158">
            <v>0.34220791829999997</v>
          </cell>
          <cell r="H158">
            <v>0.33160527854999999</v>
          </cell>
          <cell r="I158">
            <v>0.30042871389999998</v>
          </cell>
          <cell r="J158">
            <v>0.24374405089999998</v>
          </cell>
          <cell r="K158">
            <v>0.17572245529999997</v>
          </cell>
        </row>
        <row r="159">
          <cell r="A159" t="str">
            <v>African Development Bank Group</v>
          </cell>
          <cell r="G159">
            <v>1.8856924316375123</v>
          </cell>
          <cell r="H159">
            <v>1.8682434707888043</v>
          </cell>
          <cell r="I159">
            <v>1.8511807304683108</v>
          </cell>
          <cell r="J159">
            <v>1.8306751306447036</v>
          </cell>
          <cell r="K159">
            <v>1.8085012435024794</v>
          </cell>
        </row>
        <row r="160">
          <cell r="A160" t="str">
            <v>Others</v>
          </cell>
          <cell r="G160">
            <v>0.86329496658662552</v>
          </cell>
          <cell r="H160">
            <v>0.78320364693308686</v>
          </cell>
          <cell r="I160">
            <v>0.71796496186456693</v>
          </cell>
          <cell r="J160">
            <v>0.65032966601957154</v>
          </cell>
          <cell r="K160">
            <v>0.58357603703307614</v>
          </cell>
        </row>
        <row r="161">
          <cell r="A161" t="str">
            <v>Official bilateral</v>
          </cell>
          <cell r="G161">
            <v>5.5542666876671198</v>
          </cell>
          <cell r="H161">
            <v>5.3450318183051309</v>
          </cell>
          <cell r="I161">
            <v>5.2066163455062657</v>
          </cell>
          <cell r="J161">
            <v>5.0461542192276703</v>
          </cell>
          <cell r="K161">
            <v>4.8953559886934235</v>
          </cell>
        </row>
        <row r="162">
          <cell r="A162" t="str">
            <v>Paris Club</v>
          </cell>
          <cell r="G162">
            <v>3.2698554210578723</v>
          </cell>
          <cell r="H162">
            <v>3.1437679555851519</v>
          </cell>
          <cell r="I162">
            <v>3.0884998866755544</v>
          </cell>
          <cell r="J162">
            <v>3.0241999485175102</v>
          </cell>
          <cell r="K162">
            <v>2.9522301071880559</v>
          </cell>
        </row>
        <row r="163">
          <cell r="A163" t="str">
            <v>post-cutoff date</v>
          </cell>
          <cell r="G163">
            <v>0.58728820327155018</v>
          </cell>
          <cell r="H163">
            <v>0.4630433203358898</v>
          </cell>
          <cell r="I163">
            <v>0.41661691022331815</v>
          </cell>
          <cell r="J163">
            <v>0.36804248367029974</v>
          </cell>
          <cell r="K163">
            <v>0.3216160735577282</v>
          </cell>
        </row>
        <row r="164">
          <cell r="A164" t="str">
            <v>o/w ODA</v>
          </cell>
          <cell r="G164">
            <v>0.32014700468860346</v>
          </cell>
          <cell r="H164">
            <v>0.30382225468860347</v>
          </cell>
          <cell r="I164">
            <v>0.28508646468860344</v>
          </cell>
          <cell r="J164">
            <v>0.26420265824815647</v>
          </cell>
          <cell r="K164">
            <v>0.2454668682481565</v>
          </cell>
        </row>
        <row r="165">
          <cell r="A165" t="str">
            <v>pre-cutoff date</v>
          </cell>
          <cell r="G165">
            <v>2.6825672177863225</v>
          </cell>
          <cell r="H165">
            <v>2.6807246352492622</v>
          </cell>
          <cell r="I165">
            <v>2.671882976452236</v>
          </cell>
          <cell r="J165">
            <v>2.6561574648472104</v>
          </cell>
          <cell r="K165">
            <v>2.6306140336303279</v>
          </cell>
        </row>
        <row r="166">
          <cell r="A166" t="str">
            <v xml:space="preserve">        NPRD</v>
          </cell>
        </row>
        <row r="167">
          <cell r="A167" t="str">
            <v xml:space="preserve">         ODA</v>
          </cell>
        </row>
        <row r="168">
          <cell r="A168" t="str">
            <v xml:space="preserve">         non-ODA</v>
          </cell>
        </row>
        <row r="169">
          <cell r="A169" t="str">
            <v xml:space="preserve">        PRD-NC</v>
          </cell>
        </row>
        <row r="170">
          <cell r="A170" t="str">
            <v xml:space="preserve">         ODA</v>
          </cell>
        </row>
        <row r="171">
          <cell r="A171" t="str">
            <v xml:space="preserve">         non-ODA</v>
          </cell>
        </row>
        <row r="172">
          <cell r="A172" t="str">
            <v xml:space="preserve">        PRD-Toronto</v>
          </cell>
        </row>
        <row r="173">
          <cell r="A173" t="str">
            <v xml:space="preserve">         ODA</v>
          </cell>
        </row>
        <row r="174">
          <cell r="A174" t="str">
            <v xml:space="preserve">         non-ODA</v>
          </cell>
        </row>
        <row r="175">
          <cell r="A175" t="str">
            <v xml:space="preserve">        PRD-London</v>
          </cell>
        </row>
        <row r="176">
          <cell r="A176" t="str">
            <v xml:space="preserve">         ODA</v>
          </cell>
        </row>
        <row r="177">
          <cell r="A177" t="str">
            <v xml:space="preserve">         non-ODA</v>
          </cell>
        </row>
        <row r="178">
          <cell r="A178" t="str">
            <v xml:space="preserve">        PRD-Naples</v>
          </cell>
        </row>
        <row r="179">
          <cell r="A179" t="str">
            <v xml:space="preserve">         ODA</v>
          </cell>
        </row>
        <row r="180">
          <cell r="A180" t="str">
            <v xml:space="preserve">         non-ODA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RRs"/>
    </sheetNames>
    <sheetDataSet>
      <sheetData sheetId="0" refreshError="1">
        <row r="4">
          <cell r="C4" t="str">
            <v>ALD</v>
          </cell>
          <cell r="D4">
            <v>1.7798549628619275E-2</v>
          </cell>
        </row>
        <row r="5">
          <cell r="C5" t="str">
            <v>ATS</v>
          </cell>
          <cell r="D5">
            <v>9.1290800000000005E-2</v>
          </cell>
        </row>
        <row r="6">
          <cell r="C6" t="str">
            <v>AUD</v>
          </cell>
          <cell r="D6">
            <v>0</v>
          </cell>
        </row>
        <row r="7">
          <cell r="C7" t="str">
            <v>BEC</v>
          </cell>
          <cell r="D7">
            <v>3.1245925861544479E-2</v>
          </cell>
        </row>
        <row r="8">
          <cell r="C8" t="str">
            <v>CAD</v>
          </cell>
          <cell r="D8">
            <v>0.73014000000000001</v>
          </cell>
        </row>
        <row r="9">
          <cell r="C9" t="str">
            <v>CHF</v>
          </cell>
          <cell r="D9">
            <v>0.74272099999999996</v>
          </cell>
        </row>
        <row r="10">
          <cell r="C10" t="str">
            <v>CNY</v>
          </cell>
          <cell r="D10">
            <v>0.120507</v>
          </cell>
        </row>
        <row r="11">
          <cell r="C11" t="str">
            <v>DEM</v>
          </cell>
          <cell r="D11">
            <v>0.64316899999999999</v>
          </cell>
        </row>
        <row r="12">
          <cell r="C12" t="str">
            <v>DKR</v>
          </cell>
          <cell r="D12">
            <v>0.16819999999999999</v>
          </cell>
        </row>
        <row r="13">
          <cell r="C13" t="str">
            <v>DTS</v>
          </cell>
          <cell r="D13">
            <v>1.4379999999999999</v>
          </cell>
        </row>
        <row r="14">
          <cell r="C14" t="str">
            <v>ESP</v>
          </cell>
          <cell r="D14">
            <v>7.6189999999999999E-3</v>
          </cell>
        </row>
        <row r="15">
          <cell r="C15" t="str">
            <v>FIM</v>
          </cell>
          <cell r="D15">
            <v>0.215336</v>
          </cell>
        </row>
        <row r="16">
          <cell r="C16" t="str">
            <v>FRF</v>
          </cell>
          <cell r="D16">
            <v>0.19094900000000001</v>
          </cell>
        </row>
        <row r="17">
          <cell r="C17" t="str">
            <v>GBP</v>
          </cell>
          <cell r="D17">
            <v>1.698</v>
          </cell>
        </row>
        <row r="18">
          <cell r="C18" t="str">
            <v>IRL</v>
          </cell>
          <cell r="D18">
            <v>0</v>
          </cell>
        </row>
        <row r="19">
          <cell r="C19" t="str">
            <v>ISD</v>
          </cell>
          <cell r="D19">
            <v>1.4379999999999999</v>
          </cell>
        </row>
        <row r="20">
          <cell r="C20" t="str">
            <v>ITL</v>
          </cell>
          <cell r="D20">
            <v>6.5342700000000004E-4</v>
          </cell>
        </row>
        <row r="21">
          <cell r="C21" t="str">
            <v>JPY</v>
          </cell>
          <cell r="D21">
            <v>8.6207000000000002E-3</v>
          </cell>
        </row>
        <row r="22">
          <cell r="C22" t="str">
            <v>KWD</v>
          </cell>
          <cell r="D22">
            <v>3.3345560000000001</v>
          </cell>
        </row>
        <row r="23">
          <cell r="C23" t="str">
            <v>NGK</v>
          </cell>
          <cell r="D23">
            <v>0.57352599999999998</v>
          </cell>
        </row>
        <row r="24">
          <cell r="C24" t="str">
            <v>NOK</v>
          </cell>
          <cell r="D24">
            <v>0.1552192</v>
          </cell>
        </row>
        <row r="25">
          <cell r="C25" t="str">
            <v>NZD</v>
          </cell>
          <cell r="D25">
            <v>0</v>
          </cell>
        </row>
        <row r="26">
          <cell r="C26" t="str">
            <v>PTE</v>
          </cell>
          <cell r="D26">
            <v>6.3945E-3</v>
          </cell>
        </row>
        <row r="27">
          <cell r="C27" t="str">
            <v>SAR</v>
          </cell>
          <cell r="D27">
            <v>0.26700000000000002</v>
          </cell>
        </row>
        <row r="28">
          <cell r="C28" t="str">
            <v>SEK</v>
          </cell>
          <cell r="D28">
            <v>0.145539</v>
          </cell>
        </row>
        <row r="29">
          <cell r="C29" t="str">
            <v>SUR</v>
          </cell>
          <cell r="D29">
            <v>1.5313935681470137</v>
          </cell>
        </row>
        <row r="30">
          <cell r="C30" t="str">
            <v>UAE</v>
          </cell>
          <cell r="D30">
            <v>0.27241039630218988</v>
          </cell>
        </row>
        <row r="31">
          <cell r="C31" t="str">
            <v>UCC</v>
          </cell>
          <cell r="D31">
            <v>1.4379999999999999</v>
          </cell>
        </row>
        <row r="32">
          <cell r="C32" t="str">
            <v>UCF</v>
          </cell>
          <cell r="D32">
            <v>1.4379999999999999</v>
          </cell>
        </row>
        <row r="33">
          <cell r="C33" t="str">
            <v>USD</v>
          </cell>
          <cell r="D33">
            <v>1</v>
          </cell>
        </row>
        <row r="34">
          <cell r="C34" t="str">
            <v>XEU</v>
          </cell>
          <cell r="D34">
            <v>1.2528999999999999</v>
          </cell>
        </row>
        <row r="35">
          <cell r="C35" t="str">
            <v>XOF</v>
          </cell>
          <cell r="D35">
            <v>1.90949E-3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ADRO 19 (2019)"/>
    </sheetNames>
    <sheetDataSet>
      <sheetData sheetId="0">
        <row r="6">
          <cell r="AD6">
            <v>51129.019161000004</v>
          </cell>
        </row>
        <row r="7">
          <cell r="AD7">
            <v>40852.140519</v>
          </cell>
        </row>
        <row r="8">
          <cell r="AD8">
            <v>10276.878642</v>
          </cell>
        </row>
        <row r="10">
          <cell r="AD10">
            <v>11731</v>
          </cell>
        </row>
        <row r="12">
          <cell r="AD12">
            <v>8462</v>
          </cell>
        </row>
        <row r="13">
          <cell r="AD13">
            <v>15101</v>
          </cell>
        </row>
        <row r="14">
          <cell r="AD14">
            <v>1708.9866360000001</v>
          </cell>
        </row>
        <row r="17">
          <cell r="AD17">
            <v>63956.862026911811</v>
          </cell>
        </row>
        <row r="18">
          <cell r="AD18">
            <v>22929.307000000001</v>
          </cell>
        </row>
        <row r="19">
          <cell r="AD19">
            <v>8249.8019999999997</v>
          </cell>
        </row>
        <row r="20">
          <cell r="AD20">
            <v>18537.341</v>
          </cell>
        </row>
        <row r="21">
          <cell r="AD21">
            <v>5228.1793056618135</v>
          </cell>
        </row>
        <row r="22">
          <cell r="AD22">
            <v>2365.598</v>
          </cell>
        </row>
        <row r="23">
          <cell r="AD23">
            <v>2862.581305661814</v>
          </cell>
        </row>
        <row r="24">
          <cell r="AD24">
            <v>8121.6949999999997</v>
          </cell>
        </row>
        <row r="25">
          <cell r="AD25">
            <v>890.53772125</v>
          </cell>
        </row>
        <row r="26">
          <cell r="AD26">
            <v>21028.866999999998</v>
          </cell>
        </row>
        <row r="27">
          <cell r="AD27">
            <v>20193</v>
          </cell>
        </row>
        <row r="28">
          <cell r="AD28">
            <v>835.86699999999996</v>
          </cell>
        </row>
        <row r="30">
          <cell r="AD30">
            <v>4179.1760000000004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T.O.F.E"/>
      <sheetName val="cash-Flow(2)"/>
      <sheetName val="Tofe"/>
      <sheetName val="DGCI "/>
      <sheetName val="DGA"/>
      <sheetName val="LICENCA PESCA"/>
      <sheetName val="PNT"/>
      <sheetName val="Receitas (mensais)"/>
      <sheetName val="Ordon-Dep"/>
      <sheetName val="Appui-Projets"/>
      <sheetName val="Appui-Bud"/>
      <sheetName val="Fin-Int"/>
      <sheetName val="Dettes"/>
      <sheetName val="ARRIERE"/>
      <sheetName val="LICENCAS TELEM. e OUTRAS "/>
      <sheetName val="OUT. PASSIVOS FINANC. -DIVERSOS"/>
      <sheetName val="Rend Diversos -Juros S P BCEAO"/>
      <sheetName val="Dividendos"/>
      <sheetName val="Multas e Penali-Apreensao Barco"/>
      <sheetName val="Plan1"/>
      <sheetName val="Recettes détaillées"/>
      <sheetName val="Charges, Classif. economique"/>
      <sheetName val="ANF, AF &amp; Passifs détaillés"/>
      <sheetName val="TOFE resumé MSFP2001"/>
      <sheetName val="Feuil2"/>
      <sheetName val="Plan2"/>
      <sheetName val="Plan3"/>
    </sheetNames>
    <sheetDataSet>
      <sheetData sheetId="0" refreshError="1"/>
      <sheetData sheetId="1" refreshError="1"/>
      <sheetData sheetId="2" refreshError="1"/>
      <sheetData sheetId="3" refreshError="1">
        <row r="14">
          <cell r="Q14">
            <v>5605827.2939999998</v>
          </cell>
        </row>
        <row r="15">
          <cell r="Q15">
            <v>5107779.8740000008</v>
          </cell>
        </row>
        <row r="18">
          <cell r="Q18">
            <v>1918903.7240000002</v>
          </cell>
        </row>
        <row r="20">
          <cell r="Q20">
            <v>8072121.2470000004</v>
          </cell>
        </row>
        <row r="21">
          <cell r="Q21">
            <v>3504.0730000000003</v>
          </cell>
        </row>
        <row r="33">
          <cell r="Q33">
            <v>30301714.789856002</v>
          </cell>
        </row>
        <row r="40">
          <cell r="Q40">
            <v>37026279</v>
          </cell>
        </row>
        <row r="41">
          <cell r="Q41">
            <v>20046041.856999997</v>
          </cell>
        </row>
        <row r="42">
          <cell r="Q42">
            <v>26129721.177000001</v>
          </cell>
        </row>
        <row r="44">
          <cell r="Q44">
            <v>17369874.229999997</v>
          </cell>
        </row>
        <row r="46">
          <cell r="Q46">
            <v>2103385.1166562876</v>
          </cell>
        </row>
        <row r="47">
          <cell r="Q47">
            <v>2773525.1227777773</v>
          </cell>
        </row>
        <row r="51">
          <cell r="Q51">
            <v>30301714.789856002</v>
          </cell>
        </row>
        <row r="52">
          <cell r="Q52">
            <v>18229365.747000001</v>
          </cell>
        </row>
        <row r="53">
          <cell r="Q53">
            <v>2088659</v>
          </cell>
        </row>
        <row r="58">
          <cell r="Q58">
            <v>5283565.262000001</v>
          </cell>
        </row>
        <row r="73">
          <cell r="Q73">
            <v>-2055249.7390000001</v>
          </cell>
        </row>
        <row r="91">
          <cell r="Q91">
            <v>2651001.9739999985</v>
          </cell>
        </row>
        <row r="99">
          <cell r="Q99">
            <v>1298629.5099999991</v>
          </cell>
        </row>
        <row r="103">
          <cell r="Q103">
            <v>5313309.7140000006</v>
          </cell>
        </row>
        <row r="107">
          <cell r="Q107">
            <v>-7166384.2410000004</v>
          </cell>
        </row>
        <row r="111">
          <cell r="Q111">
            <v>18154278.989999991</v>
          </cell>
        </row>
        <row r="129">
          <cell r="Q129">
            <v>18229365.747000001</v>
          </cell>
        </row>
        <row r="132">
          <cell r="Q132">
            <v>-1901954.2897698497</v>
          </cell>
        </row>
        <row r="134">
          <cell r="Q134">
            <v>-3785.8530000000028</v>
          </cell>
        </row>
      </sheetData>
      <sheetData sheetId="4" refreshError="1"/>
      <sheetData sheetId="5" refreshError="1"/>
      <sheetData sheetId="6" refreshError="1"/>
      <sheetData sheetId="7" refreshError="1">
        <row r="107">
          <cell r="B107">
            <v>11950</v>
          </cell>
          <cell r="N107">
            <v>4500</v>
          </cell>
        </row>
        <row r="112">
          <cell r="B112">
            <v>37488.400000000001</v>
          </cell>
          <cell r="N112">
            <v>55424.61</v>
          </cell>
        </row>
      </sheetData>
      <sheetData sheetId="8" refreshError="1">
        <row r="14">
          <cell r="Q14">
            <v>23555385.500999998</v>
          </cell>
        </row>
        <row r="42">
          <cell r="Q42">
            <v>54032306.854000002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Feuil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4">
          <cell r="J44">
            <v>5450000000</v>
          </cell>
        </row>
        <row r="49">
          <cell r="J49">
            <v>8300000000</v>
          </cell>
        </row>
        <row r="51">
          <cell r="J51">
            <v>2000000000</v>
          </cell>
        </row>
        <row r="52">
          <cell r="J52">
            <v>9000000000</v>
          </cell>
        </row>
        <row r="54">
          <cell r="H54">
            <v>16239000000</v>
          </cell>
        </row>
        <row r="88">
          <cell r="H88">
            <v>4350000000</v>
          </cell>
        </row>
        <row r="92">
          <cell r="H92">
            <v>5512000000</v>
          </cell>
        </row>
        <row r="115">
          <cell r="H115">
            <v>5500000000</v>
          </cell>
        </row>
        <row r="132">
          <cell r="E132">
            <v>4008000000</v>
          </cell>
        </row>
        <row r="150">
          <cell r="E150">
            <v>6566430000</v>
          </cell>
        </row>
        <row r="159">
          <cell r="E159">
            <v>8800000000</v>
          </cell>
        </row>
        <row r="191">
          <cell r="E191">
            <v>11000000000</v>
          </cell>
        </row>
        <row r="226">
          <cell r="E226">
            <v>11000000000</v>
          </cell>
        </row>
        <row r="242">
          <cell r="E242">
            <v>16500000000</v>
          </cell>
        </row>
        <row r="244">
          <cell r="E244">
            <v>35236380000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BRED"/>
    </sheetNames>
    <definedNames>
      <definedName name="Macro4"/>
      <definedName name="Macro5"/>
      <definedName name="Macro6"/>
      <definedName name="Macro7"/>
      <definedName name="Macro8"/>
      <definedName name="_xlbgnm.mc1"/>
      <definedName name="_xlbgnm.mc2"/>
      <definedName name="_xlbgnm.mc3"/>
    </defined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endario 2019"/>
      <sheetName val="reembolso 2019"/>
      <sheetName val="juros_coupon_OAT"/>
      <sheetName val="E18 (2)"/>
      <sheetName val="resumo interno mes"/>
      <sheetName val="resumoexterno mes"/>
      <sheetName val="QUADRO 19 (2019)"/>
      <sheetName val="QUADRO 19 FMI"/>
      <sheetName val="Plano Tesoureria 2019"/>
      <sheetName val="Quadros rel."/>
      <sheetName val="receitas2019"/>
      <sheetName val="Quadros (19)"/>
      <sheetName val="E19"/>
      <sheetName val="resumo externo"/>
      <sheetName val="resumo Interno"/>
      <sheetName val="D EXTERNA 2019"/>
      <sheetName val="D INTERNA 2019 "/>
      <sheetName val="To-DGCI-SEMA 2019"/>
      <sheetName val="EXEC Rec DGA19"/>
      <sheetName val="exec pescas19"/>
      <sheetName val="receitas2018"/>
      <sheetName val="PREV.EXTERNA 2018"/>
      <sheetName val="PREV.DIVIDA INTERNA 2018"/>
      <sheetName val="QUAD. EQ.. (exec)"/>
      <sheetName val="Quadros"/>
      <sheetName val="FM"/>
      <sheetName val="Rendas"/>
      <sheetName val="PT 1 TRIM rel"/>
      <sheetName val="PT 1 TRIM"/>
      <sheetName val="PREVTRI"/>
      <sheetName val="emissao TT"/>
      <sheetName val="Atrasados da Divida"/>
      <sheetName val="ECONOMICA"/>
      <sheetName val="To-DGCI-SEMA 2018"/>
      <sheetName val="EXEC Rec DGA18"/>
      <sheetName val="E17"/>
      <sheetName val="Pescas2014exec"/>
      <sheetName val="DGCI2014exec"/>
      <sheetName val="DGA2014exc"/>
      <sheetName val="pagam Quotas"/>
      <sheetName val="DGA"/>
      <sheetName val="DGCI"/>
      <sheetName val="DGCI MES"/>
      <sheetName val="Pescas"/>
      <sheetName val="despesas essenciais i TRIM"/>
      <sheetName val="E16"/>
      <sheetName val="To-DGCI-SEMA 2015"/>
      <sheetName val="exec pescas"/>
      <sheetName val="EXEC Rec DGA"/>
      <sheetName val="RESUMO PIP"/>
      <sheetName val="Calc I. Ext.-Madeira"/>
      <sheetName val="Calc I. Ext.-Caju"/>
      <sheetName val="QUAD. EQ.."/>
      <sheetName val="DIVIDAS"/>
      <sheetName val="receitas2015"/>
      <sheetName val="E15"/>
      <sheetName val="PIP"/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5"/>
      <sheetName val="17"/>
      <sheetName val="18"/>
      <sheetName val="19"/>
      <sheetName val="21"/>
      <sheetName val="22"/>
      <sheetName val="23"/>
      <sheetName val="24"/>
      <sheetName val="25"/>
      <sheetName val="26"/>
      <sheetName val="45"/>
      <sheetName val="47"/>
      <sheetName val="38"/>
      <sheetName val="98"/>
      <sheetName val="28"/>
      <sheetName val="30"/>
      <sheetName val="32"/>
      <sheetName val="33"/>
      <sheetName val="35"/>
      <sheetName val="36"/>
      <sheetName val="37"/>
      <sheetName val="43"/>
      <sheetName val="46"/>
      <sheetName val="52"/>
      <sheetName val="96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4">
          <cell r="BZ4">
            <v>79116640085</v>
          </cell>
        </row>
        <row r="5">
          <cell r="BZ5">
            <v>28076352694</v>
          </cell>
        </row>
        <row r="6">
          <cell r="BZ6">
            <v>27382281037</v>
          </cell>
        </row>
        <row r="7">
          <cell r="BZ7">
            <v>13181346092</v>
          </cell>
        </row>
        <row r="8">
          <cell r="BZ8">
            <v>5570996946</v>
          </cell>
        </row>
        <row r="9">
          <cell r="BZ9">
            <v>343999799</v>
          </cell>
        </row>
        <row r="10">
          <cell r="BZ10">
            <v>5226997147</v>
          </cell>
        </row>
        <row r="11">
          <cell r="BZ11">
            <v>8612886729</v>
          </cell>
        </row>
        <row r="12">
          <cell r="BZ12">
            <v>4559996657</v>
          </cell>
        </row>
        <row r="13">
          <cell r="BZ13">
            <v>4052890072</v>
          </cell>
        </row>
        <row r="14">
          <cell r="BZ14">
            <v>17051270</v>
          </cell>
        </row>
        <row r="15">
          <cell r="BZ15">
            <v>0</v>
          </cell>
        </row>
        <row r="17">
          <cell r="BZ17">
            <v>694071657</v>
          </cell>
        </row>
        <row r="18">
          <cell r="BZ18">
            <v>536636456</v>
          </cell>
        </row>
        <row r="19">
          <cell r="BZ19">
            <v>157435201</v>
          </cell>
        </row>
        <row r="22">
          <cell r="BZ22">
            <v>51040287391</v>
          </cell>
        </row>
        <row r="23">
          <cell r="BZ23">
            <v>19331776537</v>
          </cell>
        </row>
        <row r="24">
          <cell r="BZ24">
            <v>11011691855</v>
          </cell>
        </row>
        <row r="28">
          <cell r="BZ28">
            <v>6515455653</v>
          </cell>
        </row>
        <row r="29">
          <cell r="BZ29">
            <v>1013848</v>
          </cell>
        </row>
        <row r="30">
          <cell r="BZ30">
            <v>1803615181</v>
          </cell>
        </row>
        <row r="34">
          <cell r="BZ34">
            <v>4924044343</v>
          </cell>
        </row>
        <row r="35">
          <cell r="BZ35">
            <v>4922830663</v>
          </cell>
        </row>
        <row r="38">
          <cell r="BZ38">
            <v>1213680</v>
          </cell>
        </row>
        <row r="40">
          <cell r="BZ40">
            <v>25126687702</v>
          </cell>
        </row>
        <row r="41">
          <cell r="BZ41">
            <v>14396252876</v>
          </cell>
        </row>
        <row r="45">
          <cell r="BZ45">
            <v>10730434826</v>
          </cell>
        </row>
        <row r="48">
          <cell r="BZ48">
            <v>1657778809</v>
          </cell>
        </row>
        <row r="49">
          <cell r="BZ49">
            <v>1657778809</v>
          </cell>
        </row>
        <row r="50">
          <cell r="BZ50">
            <v>88009782</v>
          </cell>
        </row>
        <row r="51">
          <cell r="BZ51">
            <v>110510351</v>
          </cell>
        </row>
        <row r="52">
          <cell r="BZ52">
            <v>89144950</v>
          </cell>
        </row>
        <row r="53">
          <cell r="BZ53">
            <v>250000</v>
          </cell>
        </row>
        <row r="54">
          <cell r="BZ54">
            <v>1027592841</v>
          </cell>
        </row>
        <row r="56">
          <cell r="BZ56">
            <v>4815187</v>
          </cell>
        </row>
        <row r="57">
          <cell r="BZ57">
            <v>113318082</v>
          </cell>
        </row>
        <row r="59">
          <cell r="BZ59">
            <v>113800197</v>
          </cell>
        </row>
        <row r="61">
          <cell r="BZ61">
            <v>110337419</v>
          </cell>
        </row>
        <row r="62">
          <cell r="BZ62">
            <v>26472337201</v>
          </cell>
        </row>
        <row r="63">
          <cell r="BZ63">
            <v>6813859039</v>
          </cell>
        </row>
        <row r="64">
          <cell r="AX64">
            <v>610415119</v>
          </cell>
          <cell r="AZ64">
            <v>212867708</v>
          </cell>
          <cell r="BB64">
            <v>120741775</v>
          </cell>
          <cell r="BD64">
            <v>207849030</v>
          </cell>
          <cell r="BF64">
            <v>242553729</v>
          </cell>
          <cell r="BH64">
            <v>632757397</v>
          </cell>
          <cell r="BJ64">
            <v>890504129</v>
          </cell>
          <cell r="BL64">
            <v>228145693</v>
          </cell>
          <cell r="BN64">
            <v>351695579</v>
          </cell>
          <cell r="BP64">
            <v>141888143</v>
          </cell>
          <cell r="BR64">
            <v>651325669</v>
          </cell>
          <cell r="BT64">
            <v>1958589692</v>
          </cell>
          <cell r="BZ64">
            <v>6249333663</v>
          </cell>
        </row>
        <row r="65">
          <cell r="BZ65">
            <v>5869547089</v>
          </cell>
        </row>
        <row r="97">
          <cell r="BZ97">
            <v>0</v>
          </cell>
        </row>
        <row r="119">
          <cell r="BZ119">
            <v>0</v>
          </cell>
        </row>
        <row r="121">
          <cell r="BZ121">
            <v>8611035</v>
          </cell>
        </row>
        <row r="132">
          <cell r="BZ13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Ecobank"/>
      <sheetName val="ContasBDU"/>
      <sheetName val="ContasBanqueAtlantique"/>
      <sheetName val="ContasOrabank"/>
      <sheetName val="TitulosTesouro"/>
      <sheetName val="Outras Dividas"/>
    </sheetNames>
    <sheetDataSet>
      <sheetData sheetId="0" refreshError="1"/>
      <sheetData sheetId="1" refreshError="1"/>
      <sheetData sheetId="2" refreshError="1"/>
      <sheetData sheetId="3">
        <row r="111">
          <cell r="O111">
            <v>1869.5194260000001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Feuil4"/>
    </sheetNames>
    <sheetDataSet>
      <sheetData sheetId="0" refreshError="1"/>
      <sheetData sheetId="1" refreshError="1"/>
      <sheetData sheetId="2" refreshError="1"/>
      <sheetData sheetId="3" refreshError="1">
        <row r="11">
          <cell r="N11">
            <v>180.916606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visao Mar"/>
      <sheetName val="Folha2"/>
      <sheetName val="prog vs execu"/>
      <sheetName val="PLT"/>
      <sheetName val="FunctionalSheet"/>
      <sheetName val="Resumo PLT"/>
      <sheetName val="CaixadaTesouraria"/>
      <sheetName val="ContasBCEAO"/>
      <sheetName val="ContasBAO"/>
      <sheetName val="ContasOrabank"/>
      <sheetName val="ContasBDU"/>
      <sheetName val="ContasEcobank"/>
      <sheetName val="ContasBanqueAtlantique"/>
      <sheetName val="TitulosTesouro"/>
      <sheetName val="Outras Dividas"/>
      <sheetName val="CreditoEAGB"/>
      <sheetName val="CreditoEAGB2"/>
      <sheetName val="Feuil1"/>
      <sheetName val="Feuil2"/>
      <sheetName val="Feuil4"/>
    </sheetNames>
    <sheetDataSet>
      <sheetData sheetId="0" refreshError="1"/>
      <sheetData sheetId="1" refreshError="1"/>
      <sheetData sheetId="2" refreshError="1"/>
      <sheetData sheetId="3">
        <row r="20">
          <cell r="N20">
            <v>540.49296700000002</v>
          </cell>
          <cell r="O20">
            <v>5171.9350129999984</v>
          </cell>
        </row>
        <row r="105">
          <cell r="O105">
            <v>7617.0199779999994</v>
          </cell>
        </row>
        <row r="113">
          <cell r="O113">
            <v>8808.9551910000009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sh-Flow"/>
      <sheetName val="T.O.F.E"/>
      <sheetName val="cash-Flow(2)"/>
      <sheetName val="Tofe"/>
      <sheetName val="TofeVI"/>
      <sheetName val="Receitas (mensais)"/>
      <sheetName val="DGCI "/>
      <sheetName val="DGA"/>
      <sheetName val="LICENCA PESCA"/>
      <sheetName val="PNT"/>
      <sheetName val="Ordon-Dep"/>
      <sheetName val="Appui-Projets"/>
      <sheetName val="Appui-Bud"/>
      <sheetName val="Fin-Int"/>
      <sheetName val="Dettes"/>
      <sheetName val="ARRIERE"/>
      <sheetName val="LICENCAS TELEM. e OUTRAS "/>
      <sheetName val="OUT. PASSIVOS FINANC. -DIVERSOS"/>
      <sheetName val="Rend Diversos -Juros S P BCEAO"/>
      <sheetName val="Dividendos"/>
      <sheetName val="Multas e Penali-Apreensao Barco"/>
      <sheetName val="Plan1"/>
      <sheetName val="Recettes détaillées"/>
      <sheetName val="Charges, Classif. economique"/>
      <sheetName val="ANF, AF &amp; Passifs détaillés"/>
      <sheetName val="TOFE resumé MSFP2001"/>
      <sheetName val="Feuil2"/>
      <sheetName val="Plan2"/>
      <sheetName val="Plan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27">
          <cell r="B127">
            <v>29693.37816</v>
          </cell>
          <cell r="C127">
            <v>29323.952395</v>
          </cell>
          <cell r="D127">
            <v>29323.952395</v>
          </cell>
          <cell r="E127">
            <v>29323.952395</v>
          </cell>
          <cell r="F127">
            <v>29323.952395</v>
          </cell>
          <cell r="G127">
            <v>29323.952395</v>
          </cell>
          <cell r="H127">
            <v>28954.52663</v>
          </cell>
          <cell r="I127">
            <v>28954.52663</v>
          </cell>
          <cell r="J127">
            <v>28954.52663</v>
          </cell>
          <cell r="K127">
            <v>28954.52663</v>
          </cell>
          <cell r="L127">
            <v>28954.52663</v>
          </cell>
          <cell r="M127">
            <v>28777.002759999999</v>
          </cell>
          <cell r="N127">
            <v>28407.576994999999</v>
          </cell>
        </row>
      </sheetData>
      <sheetData sheetId="10"/>
      <sheetData sheetId="11"/>
      <sheetData sheetId="12"/>
      <sheetData sheetId="13"/>
      <sheetData sheetId="14"/>
      <sheetData sheetId="15">
        <row r="28">
          <cell r="D28">
            <v>680493.45699999994</v>
          </cell>
          <cell r="E28">
            <v>217536.2</v>
          </cell>
          <cell r="F28">
            <v>103942.07799999999</v>
          </cell>
          <cell r="G28">
            <v>102885</v>
          </cell>
          <cell r="H28">
            <v>15207.615</v>
          </cell>
          <cell r="I28">
            <v>174165.541</v>
          </cell>
          <cell r="J28">
            <v>400180.66600000003</v>
          </cell>
          <cell r="K28">
            <v>10381.5</v>
          </cell>
          <cell r="L28">
            <v>62337.308000000005</v>
          </cell>
          <cell r="M28">
            <v>207931.71600000001</v>
          </cell>
          <cell r="N28">
            <v>99788.527000000002</v>
          </cell>
          <cell r="O28">
            <v>71585.241000000009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BAL FINANÇAS 2019"/>
      <sheetName val="Folha1"/>
    </sheetNames>
    <sheetDataSet>
      <sheetData sheetId="0">
        <row r="32">
          <cell r="G32">
            <v>725871.70499999996</v>
          </cell>
        </row>
        <row r="89">
          <cell r="G89">
            <v>30000</v>
          </cell>
        </row>
        <row r="119">
          <cell r="G119">
            <v>38369.4</v>
          </cell>
        </row>
        <row r="168">
          <cell r="M168">
            <v>8843.4</v>
          </cell>
        </row>
        <row r="185">
          <cell r="M185">
            <v>32783.199999999997</v>
          </cell>
        </row>
      </sheetData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amento DI 2019"/>
    </sheetNames>
    <sheetDataSet>
      <sheetData sheetId="0">
        <row r="17">
          <cell r="E17">
            <v>11533273.44510006</v>
          </cell>
        </row>
        <row r="54">
          <cell r="E54">
            <v>3123750</v>
          </cell>
        </row>
        <row r="55">
          <cell r="E55">
            <v>10973500</v>
          </cell>
        </row>
        <row r="56">
          <cell r="E56">
            <v>25729970</v>
          </cell>
        </row>
        <row r="57">
          <cell r="E57">
            <v>11244888</v>
          </cell>
        </row>
        <row r="58">
          <cell r="E58">
            <v>6947652</v>
          </cell>
        </row>
        <row r="63">
          <cell r="E63">
            <v>2151916</v>
          </cell>
        </row>
        <row r="64">
          <cell r="E64">
            <v>8966319</v>
          </cell>
        </row>
        <row r="65">
          <cell r="E65">
            <v>7997294</v>
          </cell>
        </row>
        <row r="66">
          <cell r="E66">
            <v>22969048</v>
          </cell>
        </row>
        <row r="67">
          <cell r="E67">
            <v>11082793</v>
          </cell>
        </row>
        <row r="68">
          <cell r="E68">
            <v>6752024</v>
          </cell>
        </row>
        <row r="81">
          <cell r="E81">
            <v>19650782</v>
          </cell>
        </row>
        <row r="82">
          <cell r="E82">
            <v>10919654</v>
          </cell>
        </row>
        <row r="83">
          <cell r="E83">
            <v>6555136</v>
          </cell>
        </row>
        <row r="88">
          <cell r="E88">
            <v>16092699</v>
          </cell>
        </row>
        <row r="89">
          <cell r="E89">
            <v>10755463</v>
          </cell>
        </row>
        <row r="90">
          <cell r="E90">
            <v>6356980</v>
          </cell>
        </row>
        <row r="95">
          <cell r="E95">
            <v>12946343</v>
          </cell>
        </row>
        <row r="103">
          <cell r="E103">
            <v>62841099</v>
          </cell>
        </row>
        <row r="104">
          <cell r="E104">
            <v>11533273.44510006</v>
          </cell>
        </row>
        <row r="106">
          <cell r="E106">
            <v>9655569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lha1"/>
      <sheetName val="Plan3"/>
      <sheetName val="Plan4"/>
      <sheetName val="Resumo"/>
    </sheetNames>
    <sheetDataSet>
      <sheetData sheetId="0">
        <row r="29">
          <cell r="K29">
            <v>79108215</v>
          </cell>
        </row>
        <row r="73">
          <cell r="K73">
            <v>82459900</v>
          </cell>
        </row>
      </sheetData>
      <sheetData sheetId="1"/>
      <sheetData sheetId="2"/>
      <sheetData sheetId="3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LM. ATE DEZEM"/>
    </sheetNames>
    <sheetDataSet>
      <sheetData sheetId="0">
        <row r="9">
          <cell r="G9">
            <v>3462573062</v>
          </cell>
        </row>
        <row r="30">
          <cell r="G30">
            <v>344703615</v>
          </cell>
        </row>
        <row r="32">
          <cell r="G32">
            <v>8465917</v>
          </cell>
        </row>
        <row r="33">
          <cell r="G33">
            <v>887741070</v>
          </cell>
        </row>
        <row r="66">
          <cell r="G66">
            <v>1870055167</v>
          </cell>
        </row>
        <row r="99">
          <cell r="G99">
            <v>1087160236</v>
          </cell>
        </row>
        <row r="117">
          <cell r="G117">
            <v>1592572932</v>
          </cell>
        </row>
        <row r="126">
          <cell r="G126">
            <v>147779000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ULM. ATE DEZEM"/>
    </sheetNames>
    <sheetDataSet>
      <sheetData sheetId="0">
        <row r="22">
          <cell r="H22">
            <v>2536127017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I"/>
      <sheetName val="FISCAL"/>
      <sheetName val="MONEY"/>
      <sheetName val="BoPSR"/>
    </sheetNames>
    <sheetDataSet>
      <sheetData sheetId="0"/>
      <sheetData sheetId="1"/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erms"/>
      <sheetName val="Int"/>
      <sheetName val="info"/>
      <sheetName val="Amort"/>
      <sheetName val="Relief"/>
      <sheetName val="Summary"/>
    </sheetNames>
    <sheetDataSet>
      <sheetData sheetId="0" refreshError="1"/>
      <sheetData sheetId="1" refreshError="1"/>
      <sheetData sheetId="2" refreshError="1"/>
      <sheetData sheetId="3" refreshError="1">
        <row r="5">
          <cell r="A5" t="str">
            <v>IDA40</v>
          </cell>
          <cell r="B5">
            <v>0.02</v>
          </cell>
          <cell r="C5">
            <v>0.02</v>
          </cell>
          <cell r="D5">
            <v>0.02</v>
          </cell>
          <cell r="E5">
            <v>0.02</v>
          </cell>
          <cell r="F5">
            <v>0.02</v>
          </cell>
          <cell r="G5">
            <v>0.02</v>
          </cell>
          <cell r="H5">
            <v>0.02</v>
          </cell>
          <cell r="I5">
            <v>0.02</v>
          </cell>
          <cell r="J5">
            <v>0.02</v>
          </cell>
          <cell r="K5">
            <v>0.02</v>
          </cell>
          <cell r="L5">
            <v>0.04</v>
          </cell>
          <cell r="M5">
            <v>0.04</v>
          </cell>
          <cell r="N5">
            <v>0.04</v>
          </cell>
          <cell r="O5">
            <v>0.04</v>
          </cell>
          <cell r="P5">
            <v>0.04</v>
          </cell>
          <cell r="Q5">
            <v>0.04</v>
          </cell>
          <cell r="R5">
            <v>0.04</v>
          </cell>
          <cell r="S5">
            <v>0.04</v>
          </cell>
          <cell r="T5">
            <v>0.04</v>
          </cell>
          <cell r="U5">
            <v>0.04</v>
          </cell>
          <cell r="V5">
            <v>0.04</v>
          </cell>
          <cell r="W5">
            <v>0.04</v>
          </cell>
          <cell r="X5">
            <v>0.04</v>
          </cell>
          <cell r="Y5">
            <v>0.04</v>
          </cell>
          <cell r="Z5">
            <v>0.04</v>
          </cell>
          <cell r="AA5">
            <v>0.04</v>
          </cell>
          <cell r="AB5">
            <v>0.04</v>
          </cell>
          <cell r="AC5">
            <v>0.04</v>
          </cell>
          <cell r="AD5">
            <v>0.04</v>
          </cell>
          <cell r="AE5">
            <v>0.04</v>
          </cell>
        </row>
        <row r="6">
          <cell r="A6" t="str">
            <v>IDA40a</v>
          </cell>
          <cell r="B6">
            <v>0.01</v>
          </cell>
          <cell r="C6">
            <v>0.02</v>
          </cell>
          <cell r="D6">
            <v>0.02</v>
          </cell>
          <cell r="E6">
            <v>0.02</v>
          </cell>
          <cell r="F6">
            <v>0.02</v>
          </cell>
          <cell r="G6">
            <v>0.02</v>
          </cell>
          <cell r="H6">
            <v>0.02</v>
          </cell>
          <cell r="I6">
            <v>0.02</v>
          </cell>
          <cell r="J6">
            <v>0.02</v>
          </cell>
          <cell r="K6">
            <v>0.02</v>
          </cell>
          <cell r="L6">
            <v>0.03</v>
          </cell>
          <cell r="M6">
            <v>0.04</v>
          </cell>
          <cell r="N6">
            <v>0.04</v>
          </cell>
          <cell r="O6">
            <v>0.04</v>
          </cell>
          <cell r="P6">
            <v>0.04</v>
          </cell>
          <cell r="Q6">
            <v>0.04</v>
          </cell>
          <cell r="R6">
            <v>0.04</v>
          </cell>
          <cell r="S6">
            <v>0.04</v>
          </cell>
          <cell r="T6">
            <v>0.04</v>
          </cell>
          <cell r="U6">
            <v>0.04</v>
          </cell>
          <cell r="V6">
            <v>0.04</v>
          </cell>
          <cell r="W6">
            <v>0.04</v>
          </cell>
          <cell r="X6">
            <v>0.04</v>
          </cell>
          <cell r="Y6">
            <v>0.04</v>
          </cell>
          <cell r="Z6">
            <v>0.04</v>
          </cell>
          <cell r="AA6">
            <v>0.04</v>
          </cell>
          <cell r="AB6">
            <v>0.04</v>
          </cell>
          <cell r="AC6">
            <v>0.04</v>
          </cell>
          <cell r="AD6">
            <v>0.04</v>
          </cell>
          <cell r="AE6">
            <v>0.04</v>
          </cell>
          <cell r="AF6">
            <v>0.02</v>
          </cell>
        </row>
        <row r="7">
          <cell r="A7" t="str">
            <v>IDA50</v>
          </cell>
          <cell r="B7">
            <v>0.01</v>
          </cell>
          <cell r="C7">
            <v>0.01</v>
          </cell>
          <cell r="D7">
            <v>0.01</v>
          </cell>
          <cell r="E7">
            <v>0.01</v>
          </cell>
          <cell r="F7">
            <v>0.01</v>
          </cell>
          <cell r="G7">
            <v>0.01</v>
          </cell>
          <cell r="H7">
            <v>0.01</v>
          </cell>
          <cell r="I7">
            <v>0.01</v>
          </cell>
          <cell r="J7">
            <v>0.01</v>
          </cell>
          <cell r="K7">
            <v>0.01</v>
          </cell>
          <cell r="L7">
            <v>0.03</v>
          </cell>
          <cell r="M7">
            <v>0.03</v>
          </cell>
          <cell r="N7">
            <v>0.03</v>
          </cell>
          <cell r="O7">
            <v>0.03</v>
          </cell>
          <cell r="P7">
            <v>0.03</v>
          </cell>
          <cell r="Q7">
            <v>0.03</v>
          </cell>
          <cell r="R7">
            <v>0.03</v>
          </cell>
          <cell r="S7">
            <v>0.03</v>
          </cell>
          <cell r="T7">
            <v>0.03</v>
          </cell>
          <cell r="U7">
            <v>0.03</v>
          </cell>
          <cell r="V7">
            <v>0.03</v>
          </cell>
          <cell r="W7">
            <v>0.03</v>
          </cell>
          <cell r="X7">
            <v>0.03</v>
          </cell>
          <cell r="Y7">
            <v>0.03</v>
          </cell>
          <cell r="Z7">
            <v>0.03</v>
          </cell>
          <cell r="AA7">
            <v>0.03</v>
          </cell>
          <cell r="AB7">
            <v>0.03</v>
          </cell>
          <cell r="AC7">
            <v>0.03</v>
          </cell>
          <cell r="AD7">
            <v>0.03</v>
          </cell>
          <cell r="AE7">
            <v>0.03</v>
          </cell>
          <cell r="AF7">
            <v>0.03</v>
          </cell>
          <cell r="AG7">
            <v>0.03</v>
          </cell>
          <cell r="AH7">
            <v>0.03</v>
          </cell>
          <cell r="AI7">
            <v>0.03</v>
          </cell>
          <cell r="AJ7">
            <v>0.03</v>
          </cell>
          <cell r="AK7">
            <v>0.03</v>
          </cell>
          <cell r="AL7">
            <v>0.03</v>
          </cell>
          <cell r="AM7">
            <v>0.03</v>
          </cell>
          <cell r="AN7">
            <v>0.03</v>
          </cell>
          <cell r="AO7">
            <v>0.03</v>
          </cell>
        </row>
        <row r="8">
          <cell r="A8" t="str">
            <v>IDA50a</v>
          </cell>
          <cell r="B8">
            <v>5.0000000000000001E-3</v>
          </cell>
          <cell r="C8">
            <v>0.01</v>
          </cell>
          <cell r="D8">
            <v>0.01</v>
          </cell>
          <cell r="E8">
            <v>0.01</v>
          </cell>
          <cell r="F8">
            <v>0.01</v>
          </cell>
          <cell r="G8">
            <v>0.01</v>
          </cell>
          <cell r="H8">
            <v>0.01</v>
          </cell>
          <cell r="I8">
            <v>0.01</v>
          </cell>
          <cell r="J8">
            <v>0.01</v>
          </cell>
          <cell r="K8">
            <v>0.01</v>
          </cell>
          <cell r="L8">
            <v>0.02</v>
          </cell>
          <cell r="M8">
            <v>0.03</v>
          </cell>
          <cell r="N8">
            <v>0.03</v>
          </cell>
          <cell r="O8">
            <v>0.03</v>
          </cell>
          <cell r="P8">
            <v>0.03</v>
          </cell>
          <cell r="Q8">
            <v>0.03</v>
          </cell>
          <cell r="R8">
            <v>0.03</v>
          </cell>
          <cell r="S8">
            <v>0.03</v>
          </cell>
          <cell r="T8">
            <v>0.03</v>
          </cell>
          <cell r="U8">
            <v>0.03</v>
          </cell>
          <cell r="V8">
            <v>0.03</v>
          </cell>
          <cell r="W8">
            <v>0.03</v>
          </cell>
          <cell r="X8">
            <v>0.03</v>
          </cell>
          <cell r="Y8">
            <v>0.03</v>
          </cell>
          <cell r="Z8">
            <v>0.03</v>
          </cell>
          <cell r="AA8">
            <v>0.03</v>
          </cell>
          <cell r="AB8">
            <v>0.03</v>
          </cell>
          <cell r="AC8">
            <v>0.03</v>
          </cell>
          <cell r="AD8">
            <v>0.03</v>
          </cell>
          <cell r="AE8">
            <v>0.03</v>
          </cell>
          <cell r="AF8">
            <v>0.03</v>
          </cell>
          <cell r="AG8">
            <v>0.03</v>
          </cell>
          <cell r="AH8">
            <v>0.03</v>
          </cell>
          <cell r="AI8">
            <v>0.03</v>
          </cell>
          <cell r="AJ8">
            <v>0.03</v>
          </cell>
          <cell r="AK8">
            <v>0.03</v>
          </cell>
          <cell r="AL8">
            <v>0.03</v>
          </cell>
          <cell r="AM8">
            <v>0.03</v>
          </cell>
          <cell r="AN8">
            <v>0.03</v>
          </cell>
          <cell r="AO8">
            <v>0.03</v>
          </cell>
          <cell r="AP8">
            <v>1.4999999999999999E-2</v>
          </cell>
        </row>
        <row r="9">
          <cell r="A9" t="str">
            <v>Naples DRa</v>
          </cell>
          <cell r="B9">
            <v>1.1999999999999999E-3</v>
          </cell>
          <cell r="C9">
            <v>4.7999999999999996E-3</v>
          </cell>
          <cell r="D9">
            <v>8.6E-3</v>
          </cell>
          <cell r="E9">
            <v>1.2800000000000001E-2</v>
          </cell>
          <cell r="F9">
            <v>1.7600000000000001E-2</v>
          </cell>
          <cell r="G9">
            <v>2.3E-2</v>
          </cell>
          <cell r="H9">
            <v>2.8799999999999999E-2</v>
          </cell>
          <cell r="I9">
            <v>3.56E-2</v>
          </cell>
          <cell r="J9">
            <v>4.3200000000000002E-2</v>
          </cell>
          <cell r="K9">
            <v>5.1399999999999994E-2</v>
          </cell>
          <cell r="L9">
            <v>6.0999999999999999E-2</v>
          </cell>
          <cell r="M9">
            <v>7.1399999999999991E-2</v>
          </cell>
          <cell r="N9">
            <v>8.3000000000000004E-2</v>
          </cell>
          <cell r="O9">
            <v>9.6199999999999994E-2</v>
          </cell>
          <cell r="P9">
            <v>0.1106</v>
          </cell>
          <cell r="Q9">
            <v>0.12659999999999999</v>
          </cell>
          <cell r="R9">
            <v>0.14460000000000001</v>
          </cell>
          <cell r="S9">
            <v>7.9600000000000004E-2</v>
          </cell>
        </row>
        <row r="10">
          <cell r="A10" t="str">
            <v>Naples DSR</v>
          </cell>
          <cell r="B10">
            <v>3.3E-3</v>
          </cell>
          <cell r="C10">
            <v>3.9000000000000003E-3</v>
          </cell>
          <cell r="D10">
            <v>4.3E-3</v>
          </cell>
          <cell r="E10">
            <v>4.8999999999999998E-3</v>
          </cell>
          <cell r="F10">
            <v>5.5000000000000005E-3</v>
          </cell>
          <cell r="G10">
            <v>6.1999999999999998E-3</v>
          </cell>
          <cell r="H10">
            <v>6.8000000000000005E-3</v>
          </cell>
          <cell r="I10">
            <v>7.7000000000000002E-3</v>
          </cell>
          <cell r="J10">
            <v>8.6E-3</v>
          </cell>
          <cell r="K10">
            <v>9.5999999999999992E-3</v>
          </cell>
          <cell r="L10">
            <v>1.0700000000000001E-2</v>
          </cell>
          <cell r="M10">
            <v>1.1899999999999999E-2</v>
          </cell>
          <cell r="N10">
            <v>1.32E-2</v>
          </cell>
          <cell r="O10">
            <v>1.46E-2</v>
          </cell>
          <cell r="P10">
            <v>1.6200000000000003E-2</v>
          </cell>
          <cell r="Q10">
            <v>1.8000000000000002E-2</v>
          </cell>
          <cell r="R10">
            <v>1.9900000000000001E-2</v>
          </cell>
          <cell r="S10">
            <v>2.2099999999999998E-2</v>
          </cell>
          <cell r="T10">
            <v>2.4500000000000001E-2</v>
          </cell>
          <cell r="U10">
            <v>2.7099999999999999E-2</v>
          </cell>
          <cell r="V10">
            <v>0.03</v>
          </cell>
          <cell r="W10">
            <v>3.32E-2</v>
          </cell>
          <cell r="X10">
            <v>3.6699999999999997E-2</v>
          </cell>
          <cell r="Y10">
            <v>4.0599999999999997E-2</v>
          </cell>
          <cell r="Z10">
            <v>4.4900000000000002E-2</v>
          </cell>
          <cell r="AA10">
            <v>4.9599999999999998E-2</v>
          </cell>
          <cell r="AB10">
            <v>5.4800000000000001E-2</v>
          </cell>
          <cell r="AC10">
            <v>6.0499999999999998E-2</v>
          </cell>
          <cell r="AD10">
            <v>6.6799999999999998E-2</v>
          </cell>
          <cell r="AE10">
            <v>7.3700000000000002E-2</v>
          </cell>
          <cell r="AF10">
            <v>8.14E-2</v>
          </cell>
          <cell r="AG10">
            <v>8.9800000000000005E-2</v>
          </cell>
          <cell r="AH10">
            <v>9.9000000000000005E-2</v>
          </cell>
        </row>
        <row r="11">
          <cell r="A11" t="str">
            <v>Naples ODAa</v>
          </cell>
          <cell r="B11">
            <v>5.3E-3</v>
          </cell>
          <cell r="C11">
            <v>1.15E-2</v>
          </cell>
          <cell r="D11">
            <v>1.2699999999999999E-2</v>
          </cell>
          <cell r="E11">
            <v>1.3899999999999999E-2</v>
          </cell>
          <cell r="F11">
            <v>1.54E-2</v>
          </cell>
          <cell r="G11">
            <v>1.7000000000000001E-2</v>
          </cell>
          <cell r="H11">
            <v>1.8700000000000001E-2</v>
          </cell>
          <cell r="I11">
            <v>2.0499999999999997E-2</v>
          </cell>
          <cell r="J11">
            <v>2.2700000000000001E-2</v>
          </cell>
          <cell r="K11">
            <v>2.5000000000000001E-2</v>
          </cell>
          <cell r="L11">
            <v>2.75E-2</v>
          </cell>
          <cell r="M11">
            <v>3.04E-2</v>
          </cell>
          <cell r="N11">
            <v>3.3500000000000002E-2</v>
          </cell>
          <cell r="O11">
            <v>3.6900000000000002E-2</v>
          </cell>
          <cell r="P11">
            <v>4.07E-2</v>
          </cell>
          <cell r="Q11">
            <v>4.4900000000000002E-2</v>
          </cell>
          <cell r="R11">
            <v>4.9400000000000006E-2</v>
          </cell>
          <cell r="S11">
            <v>5.45E-2</v>
          </cell>
          <cell r="T11">
            <v>6.0100000000000001E-2</v>
          </cell>
          <cell r="U11">
            <v>6.6299999999999998E-2</v>
          </cell>
          <cell r="V11">
            <v>7.3099999999999998E-2</v>
          </cell>
          <cell r="W11">
            <v>8.0600000000000005E-2</v>
          </cell>
          <cell r="X11">
            <v>8.8800000000000004E-2</v>
          </cell>
          <cell r="Y11">
            <v>9.8000000000000004E-2</v>
          </cell>
          <cell r="Z11">
            <v>5.2600000000000001E-2</v>
          </cell>
        </row>
        <row r="12">
          <cell r="A12" t="str">
            <v>Naples ODA</v>
          </cell>
          <cell r="B12">
            <v>1.09E-2</v>
          </cell>
          <cell r="C12">
            <v>1.21E-2</v>
          </cell>
          <cell r="D12">
            <v>1.3300000000000001E-2</v>
          </cell>
          <cell r="E12">
            <v>1.46E-2</v>
          </cell>
          <cell r="F12">
            <v>1.6200000000000003E-2</v>
          </cell>
          <cell r="G12">
            <v>1.78E-2</v>
          </cell>
          <cell r="H12">
            <v>1.9599999999999999E-2</v>
          </cell>
          <cell r="I12">
            <v>2.1600000000000001E-2</v>
          </cell>
          <cell r="J12">
            <v>2.3799999999999998E-2</v>
          </cell>
          <cell r="K12">
            <v>2.6200000000000001E-2</v>
          </cell>
          <cell r="L12">
            <v>2.8900000000000002E-2</v>
          </cell>
          <cell r="M12">
            <v>3.1899999999999998E-2</v>
          </cell>
          <cell r="N12">
            <v>3.5200000000000002E-2</v>
          </cell>
          <cell r="O12">
            <v>3.8800000000000001E-2</v>
          </cell>
          <cell r="P12">
            <v>4.2699999999999995E-2</v>
          </cell>
          <cell r="Q12">
            <v>4.7100000000000003E-2</v>
          </cell>
          <cell r="R12">
            <v>5.1900000000000002E-2</v>
          </cell>
          <cell r="S12">
            <v>5.7200000000000001E-2</v>
          </cell>
          <cell r="T12">
            <v>6.3099999999999989E-2</v>
          </cell>
          <cell r="U12">
            <v>6.9699999999999998E-2</v>
          </cell>
          <cell r="V12">
            <v>7.6700000000000004E-2</v>
          </cell>
          <cell r="W12">
            <v>8.4600000000000009E-2</v>
          </cell>
          <cell r="X12">
            <v>9.3299999999999994E-2</v>
          </cell>
          <cell r="Y12">
            <v>0.10279999999999999</v>
          </cell>
        </row>
        <row r="13">
          <cell r="A13" t="str">
            <v>Naples DR</v>
          </cell>
          <cell r="B13">
            <v>3.2000000000000002E-3</v>
          </cell>
          <cell r="C13">
            <v>6.6E-3</v>
          </cell>
          <cell r="D13">
            <v>1.06E-2</v>
          </cell>
          <cell r="E13">
            <v>1.52E-2</v>
          </cell>
          <cell r="F13">
            <v>2.0199999999999999E-2</v>
          </cell>
          <cell r="G13">
            <v>2.58E-2</v>
          </cell>
          <cell r="H13">
            <v>3.2199999999999999E-2</v>
          </cell>
          <cell r="I13">
            <v>3.9199999999999999E-2</v>
          </cell>
          <cell r="J13">
            <v>4.7199999999999999E-2</v>
          </cell>
          <cell r="K13">
            <v>5.5999999999999994E-2</v>
          </cell>
          <cell r="L13">
            <v>6.6199999999999995E-2</v>
          </cell>
          <cell r="M13">
            <v>7.6999999999999999E-2</v>
          </cell>
          <cell r="N13">
            <v>8.9399999999999993E-2</v>
          </cell>
          <cell r="O13">
            <v>0.1032</v>
          </cell>
          <cell r="P13">
            <v>0.11840000000000001</v>
          </cell>
          <cell r="Q13">
            <v>0.13539999999999999</v>
          </cell>
          <cell r="R13">
            <v>0.1542</v>
          </cell>
        </row>
        <row r="14">
          <cell r="A14" t="str">
            <v>Naples DSRa</v>
          </cell>
          <cell r="B14">
            <v>0.02</v>
          </cell>
          <cell r="C14">
            <v>0.04</v>
          </cell>
          <cell r="D14">
            <v>0.06</v>
          </cell>
          <cell r="E14">
            <v>0.08</v>
          </cell>
          <cell r="F14">
            <v>0.1</v>
          </cell>
          <cell r="G14">
            <v>0.12</v>
          </cell>
          <cell r="H14">
            <v>0.14000000000000001</v>
          </cell>
          <cell r="I14">
            <v>0.16</v>
          </cell>
          <cell r="J14">
            <v>0.18</v>
          </cell>
          <cell r="K14">
            <v>0.1</v>
          </cell>
        </row>
        <row r="15">
          <cell r="A15" t="str">
            <v>PR02</v>
          </cell>
          <cell r="B15">
            <v>5.0000000000000001E-3</v>
          </cell>
          <cell r="C15">
            <v>0.01</v>
          </cell>
          <cell r="D15">
            <v>0.03</v>
          </cell>
          <cell r="E15">
            <v>0.05</v>
          </cell>
          <cell r="F15">
            <v>7.0000000000000007E-2</v>
          </cell>
          <cell r="G15">
            <v>0.09</v>
          </cell>
          <cell r="H15">
            <v>0.11</v>
          </cell>
          <cell r="I15">
            <v>0.13</v>
          </cell>
          <cell r="J15">
            <v>0.15</v>
          </cell>
          <cell r="K15">
            <v>0.17</v>
          </cell>
          <cell r="L15">
            <v>0.185</v>
          </cell>
        </row>
        <row r="16">
          <cell r="A16" t="str">
            <v>PR03</v>
          </cell>
          <cell r="B16">
            <v>0.1</v>
          </cell>
          <cell r="C16">
            <v>0.1</v>
          </cell>
          <cell r="D16">
            <v>0.1</v>
          </cell>
          <cell r="E16">
            <v>0.1</v>
          </cell>
          <cell r="F16">
            <v>0.1</v>
          </cell>
          <cell r="G16">
            <v>0.1</v>
          </cell>
          <cell r="H16">
            <v>0.1</v>
          </cell>
          <cell r="I16">
            <v>0.1</v>
          </cell>
          <cell r="J16">
            <v>0.1</v>
          </cell>
          <cell r="K16">
            <v>0.1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1"/>
      <sheetName val="Table 1"/>
      <sheetName val="Table 2"/>
      <sheetName val="Table 3"/>
      <sheetName val="Table 4"/>
      <sheetName val="Table 5"/>
      <sheetName val="Table 6"/>
      <sheetName val="Table 7"/>
      <sheetName val="Table 8"/>
      <sheetName val="Table 9"/>
      <sheetName val="Table 11"/>
      <sheetName val="Table10"/>
      <sheetName val="HIPCAss"/>
      <sheetName val="AssumpE"/>
      <sheetName val="DebtservE2"/>
      <sheetName val="Scheduled Repay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Input"/>
      <sheetName val="AssBOP"/>
      <sheetName val="C"/>
      <sheetName val="WEO-TRE"/>
      <sheetName val="Exp"/>
      <sheetName val="Imp"/>
      <sheetName val="ToT"/>
      <sheetName val="BOP"/>
      <sheetName val="SRBOP"/>
      <sheetName val="SRBOP GDP"/>
      <sheetName val="E"/>
      <sheetName val="F"/>
      <sheetName val="G"/>
      <sheetName val="WETA"/>
      <sheetName val="I"/>
      <sheetName val="Fin Needs"/>
      <sheetName val="A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Relief"/>
      <sheetName val="Constants"/>
    </sheetNames>
    <sheetDataSet>
      <sheetData sheetId="0" refreshError="1"/>
      <sheetData sheetId="1"/>
      <sheetData sheetId="2"/>
      <sheetData sheetId="3"/>
      <sheetData sheetId="4"/>
      <sheetData sheetId="5" refreshError="1">
        <row r="59">
          <cell r="C59">
            <v>4.6040363843444024E-2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8">
          <cell r="C68">
            <v>4.8712733333333327E-2</v>
          </cell>
        </row>
        <row r="70">
          <cell r="C70">
            <v>4.6120000000000001E-2</v>
          </cell>
        </row>
        <row r="77">
          <cell r="C77">
            <v>4.6120000000000001E-2</v>
          </cell>
        </row>
        <row r="79">
          <cell r="C79">
            <v>4.6120000000000001E-2</v>
          </cell>
        </row>
        <row r="80">
          <cell r="C80">
            <v>6.0199999999999997E-2</v>
          </cell>
        </row>
        <row r="81">
          <cell r="C81">
            <v>4.6120000000000001E-2</v>
          </cell>
        </row>
        <row r="82">
          <cell r="C82">
            <v>3.7350000000000001E-2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0">
          <cell r="C90">
            <v>4.6120000000000001E-2</v>
          </cell>
        </row>
        <row r="91">
          <cell r="C91">
            <v>5.8216666666666667E-2</v>
          </cell>
        </row>
        <row r="94">
          <cell r="C94">
            <v>4.6120000000000001E-2</v>
          </cell>
        </row>
        <row r="95">
          <cell r="C95">
            <v>2.3166666666666669E-2</v>
          </cell>
        </row>
        <row r="99">
          <cell r="C99">
            <v>4.6120000000000001E-2</v>
          </cell>
        </row>
        <row r="100">
          <cell r="C100">
            <v>6.0149999999999995E-2</v>
          </cell>
        </row>
        <row r="105">
          <cell r="C105">
            <v>5.9950000000000003E-2</v>
          </cell>
        </row>
        <row r="109">
          <cell r="C109">
            <v>1.3359000000000001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Relationship Id="rId4" Type="http://schemas.openxmlformats.org/officeDocument/2006/relationships/ctrlProp" Target="../ctrlProps/ctrlProp1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2:D30"/>
  <sheetViews>
    <sheetView tabSelected="1" workbookViewId="0">
      <selection activeCell="C15" sqref="C15"/>
    </sheetView>
  </sheetViews>
  <sheetFormatPr defaultRowHeight="12.75"/>
  <cols>
    <col min="1" max="1" width="5.5703125" style="2284" customWidth="1"/>
    <col min="2" max="2" width="12.28515625" style="2284" customWidth="1"/>
    <col min="3" max="3" width="51.42578125" style="2284" customWidth="1"/>
    <col min="4" max="16384" width="9.140625" style="2284"/>
  </cols>
  <sheetData>
    <row r="2" spans="2:4">
      <c r="B2" s="2285" t="s">
        <v>3469</v>
      </c>
    </row>
    <row r="5" spans="2:4" ht="17.25" customHeight="1">
      <c r="B5" s="2285" t="s">
        <v>3470</v>
      </c>
      <c r="C5" s="2287" t="s">
        <v>3492</v>
      </c>
      <c r="D5" s="2288"/>
    </row>
    <row r="6" spans="2:4" ht="20.25" customHeight="1">
      <c r="B6" s="2285" t="s">
        <v>3471</v>
      </c>
      <c r="C6" s="2287" t="s">
        <v>3493</v>
      </c>
      <c r="D6" s="2288"/>
    </row>
    <row r="7" spans="2:4" ht="19.5" customHeight="1">
      <c r="B7" s="2285" t="s">
        <v>3472</v>
      </c>
      <c r="C7" s="2289" t="s">
        <v>3494</v>
      </c>
      <c r="D7" s="2288"/>
    </row>
    <row r="8" spans="2:4" ht="18" customHeight="1">
      <c r="B8" s="2285" t="s">
        <v>3473</v>
      </c>
      <c r="C8" s="2286" t="s">
        <v>3020</v>
      </c>
      <c r="D8" s="2288"/>
    </row>
    <row r="9" spans="2:4" ht="18" customHeight="1">
      <c r="B9" s="2285" t="s">
        <v>3474</v>
      </c>
      <c r="C9" s="2289" t="s">
        <v>3495</v>
      </c>
      <c r="D9" s="2288"/>
    </row>
    <row r="10" spans="2:4" ht="18.75" customHeight="1">
      <c r="B10" s="2285" t="s">
        <v>3475</v>
      </c>
      <c r="C10" s="2289" t="s">
        <v>3496</v>
      </c>
      <c r="D10" s="2288"/>
    </row>
    <row r="11" spans="2:4" ht="20.25" customHeight="1">
      <c r="B11" s="2285" t="s">
        <v>3476</v>
      </c>
      <c r="C11" s="2289" t="s">
        <v>3497</v>
      </c>
      <c r="D11" s="2288"/>
    </row>
    <row r="12" spans="2:4" ht="20.25" customHeight="1">
      <c r="B12" s="2285" t="s">
        <v>3477</v>
      </c>
      <c r="C12" s="2290" t="s">
        <v>3515</v>
      </c>
      <c r="D12" s="2288"/>
    </row>
    <row r="13" spans="2:4" ht="20.25" customHeight="1">
      <c r="B13" s="2285" t="s">
        <v>3478</v>
      </c>
      <c r="C13" s="2287" t="s">
        <v>3498</v>
      </c>
      <c r="D13" s="2288"/>
    </row>
    <row r="14" spans="2:4" ht="19.5" customHeight="1">
      <c r="B14" s="2285" t="s">
        <v>3479</v>
      </c>
      <c r="C14" s="2287" t="s">
        <v>3499</v>
      </c>
      <c r="D14" s="2288"/>
    </row>
    <row r="15" spans="2:4" ht="21" customHeight="1">
      <c r="B15" s="2285" t="s">
        <v>3480</v>
      </c>
      <c r="C15" s="2287" t="s">
        <v>3500</v>
      </c>
      <c r="D15" s="2288"/>
    </row>
    <row r="16" spans="2:4" ht="19.5" customHeight="1">
      <c r="B16" s="2285" t="s">
        <v>3481</v>
      </c>
      <c r="C16" s="2287" t="s">
        <v>3501</v>
      </c>
      <c r="D16" s="2288"/>
    </row>
    <row r="17" spans="2:4" ht="21.75" customHeight="1">
      <c r="B17" s="2285" t="s">
        <v>3482</v>
      </c>
      <c r="C17" s="2287" t="s">
        <v>3502</v>
      </c>
      <c r="D17" s="2288"/>
    </row>
    <row r="18" spans="2:4" ht="21.75" customHeight="1">
      <c r="B18" s="2285" t="s">
        <v>3483</v>
      </c>
      <c r="C18" s="2287" t="s">
        <v>3503</v>
      </c>
      <c r="D18" s="2288"/>
    </row>
    <row r="19" spans="2:4" ht="21.75" customHeight="1">
      <c r="B19" s="2285" t="s">
        <v>3484</v>
      </c>
      <c r="C19" s="2287" t="s">
        <v>3504</v>
      </c>
      <c r="D19" s="2288"/>
    </row>
    <row r="20" spans="2:4" ht="21" customHeight="1">
      <c r="B20" s="2285" t="s">
        <v>3485</v>
      </c>
      <c r="C20" s="2287" t="s">
        <v>3505</v>
      </c>
      <c r="D20" s="2288"/>
    </row>
    <row r="21" spans="2:4" ht="21" customHeight="1">
      <c r="B21" s="2285" t="s">
        <v>3486</v>
      </c>
      <c r="C21" s="2287" t="s">
        <v>3506</v>
      </c>
      <c r="D21" s="2288"/>
    </row>
    <row r="22" spans="2:4" ht="21" customHeight="1">
      <c r="B22" s="2285" t="s">
        <v>3487</v>
      </c>
      <c r="C22" s="2287" t="s">
        <v>3507</v>
      </c>
      <c r="D22" s="2288"/>
    </row>
    <row r="23" spans="2:4" ht="21" customHeight="1">
      <c r="B23" s="2285" t="s">
        <v>3488</v>
      </c>
      <c r="C23" s="2289" t="s">
        <v>651</v>
      </c>
      <c r="D23" s="2288"/>
    </row>
    <row r="24" spans="2:4" ht="18.75" customHeight="1">
      <c r="B24" s="2285" t="s">
        <v>3489</v>
      </c>
      <c r="C24" s="2287" t="s">
        <v>3508</v>
      </c>
      <c r="D24" s="2288"/>
    </row>
    <row r="25" spans="2:4" ht="20.25" customHeight="1">
      <c r="B25" s="2285" t="s">
        <v>3490</v>
      </c>
      <c r="C25" s="2287" t="s">
        <v>3509</v>
      </c>
      <c r="D25" s="2288"/>
    </row>
    <row r="26" spans="2:4" ht="21" customHeight="1">
      <c r="B26" s="2285" t="s">
        <v>3491</v>
      </c>
      <c r="C26" s="2287" t="s">
        <v>3510</v>
      </c>
      <c r="D26" s="2288"/>
    </row>
    <row r="27" spans="2:4" ht="20.25" customHeight="1">
      <c r="B27" s="2285" t="s">
        <v>3511</v>
      </c>
      <c r="C27" s="2287" t="s">
        <v>3512</v>
      </c>
      <c r="D27" s="2288"/>
    </row>
    <row r="28" spans="2:4" ht="20.25" customHeight="1">
      <c r="B28" s="2285" t="s">
        <v>3513</v>
      </c>
      <c r="C28" s="2287" t="s">
        <v>3514</v>
      </c>
      <c r="D28" s="2288"/>
    </row>
    <row r="29" spans="2:4">
      <c r="C29" s="2288"/>
      <c r="D29" s="2288"/>
    </row>
    <row r="30" spans="2:4">
      <c r="C30" s="2288"/>
      <c r="D30" s="2288"/>
    </row>
  </sheetData>
  <hyperlinks>
    <hyperlink ref="C6" location="T.O.F.E!A1" display="T.O.F.E 2016 E 2017"/>
    <hyperlink ref="C7" location="'cash-Flow(2)'!A1" display="TABLEAU DU BORD I, II, E IIIº TRIMESTRE 2017"/>
    <hyperlink ref="C8" location="Tofe!A1" display="TOFE 2019"/>
    <hyperlink ref="C9" location="'Receitas (mensais)'!A1" display="RECEITAS  MENSAIS"/>
    <hyperlink ref="C10" location="'DGCI '!A1" display="DIREÇÃO GERAL DE CONTRIBIÇÕES E IMPOSTOS"/>
    <hyperlink ref="C11" location="DGA!A1" display="DGCI '!A1"/>
    <hyperlink ref="C13" location="PNT!A1" display="BANCOS NOTAS E MOEDAS"/>
    <hyperlink ref="C14" location="'LICENCA PESCA'!A1" display="LICENÇA DE PESCA"/>
    <hyperlink ref="C15" location="'Ordon-Dep'!A1" display="DEPÓSITO A ORDEM"/>
    <hyperlink ref="C16" location="'Appui-Projets'!A1" display="APOIOS AOS PROJETOS"/>
    <hyperlink ref="C17" location="'Appui-Bud'!A1" display="APOIO ORÇAMENTAL"/>
    <hyperlink ref="C18" location="'Fin-Int'!A1" display="PAGAMENTO DE JUROS DA DÍVIDA"/>
    <hyperlink ref="C19" location="Dettes!A1" display="DÍVIDA 2020"/>
    <hyperlink ref="C20" location="ARRIERE!A1" display="ATRASADO DA DÍVIDA 2020"/>
    <hyperlink ref="C21" location="'OUT. PASSIVOS FINANC. -DIVERSOS'!A1" display="OUTROS PASSIVOS DIVERSOS"/>
    <hyperlink ref="C22" location="Dividendos!A1" display="DIVIDENDOS"/>
    <hyperlink ref="C23" location="'Multas e Penali-Apreensao Barco'!A1" display="'MULTAS E PENALIDADES"/>
    <hyperlink ref="C24" location="'Recettes détaillées'!A1" display="RECEITAS DETALHADOS"/>
    <hyperlink ref="C25" location="'Charges, Classif. economique'!A1" display="ENCARGOS E CLASSIFICAÇÕES ECONÓMICAS"/>
    <hyperlink ref="C26" location="'ANF, AF &amp; Passifs détaillés'!A1" display="PASSIVOS DETALHADOS"/>
    <hyperlink ref="C27" location="'TOFE resumé MSFP2001'!A1" display="TOFE RESUMIDO "/>
    <hyperlink ref="C28" location="'Tofe Versão de controle VF envi'!A1" display="TOFE VERSÃO DE CONTROLE"/>
    <hyperlink ref="C5" location="'cash-Flow'!A1" display="TABLEAU DU BORD I, II, E IIIº TRIMESTRE 2012 E 2013"/>
    <hyperlink ref="C12" location="'Tofe Versão de controle'!A1" display="TOFE 2019 VERSÃO DE CONTROLE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L442"/>
  <sheetViews>
    <sheetView showGridLines="0" view="pageBreakPreview" topLeftCell="B1" zoomScale="37" zoomScaleNormal="80" zoomScaleSheetLayoutView="37" workbookViewId="0">
      <pane xSplit="3" ySplit="5" topLeftCell="E6" activePane="bottomRight" state="frozen"/>
      <selection activeCell="B1" sqref="B1"/>
      <selection pane="topRight" activeCell="E1" sqref="E1"/>
      <selection pane="bottomLeft" activeCell="B4" sqref="B4"/>
      <selection pane="bottomRight"/>
    </sheetView>
  </sheetViews>
  <sheetFormatPr defaultColWidth="9.140625" defaultRowHeight="21"/>
  <cols>
    <col min="1" max="1" width="74.42578125" style="1668" hidden="1" customWidth="1"/>
    <col min="2" max="2" width="26.140625" style="1668" bestFit="1" customWidth="1"/>
    <col min="3" max="3" width="117.5703125" style="1668" bestFit="1" customWidth="1"/>
    <col min="4" max="4" width="0.28515625" style="1668" customWidth="1"/>
    <col min="5" max="5" width="32.5703125" style="1668" hidden="1" customWidth="1"/>
    <col min="6" max="6" width="36.28515625" style="1668" hidden="1" customWidth="1"/>
    <col min="7" max="8" width="32.28515625" style="1668" bestFit="1" customWidth="1"/>
    <col min="9" max="9" width="35.28515625" style="1668" bestFit="1" customWidth="1"/>
    <col min="10" max="11" width="32.28515625" style="1668" bestFit="1" customWidth="1"/>
    <col min="12" max="12" width="35.140625" style="1668" bestFit="1" customWidth="1"/>
    <col min="13" max="13" width="32.28515625" style="1668" bestFit="1" customWidth="1"/>
    <col min="14" max="14" width="33" style="1668" bestFit="1" customWidth="1"/>
    <col min="15" max="15" width="35.28515625" style="1668" bestFit="1" customWidth="1"/>
    <col min="16" max="17" width="32.28515625" style="1668" bestFit="1" customWidth="1"/>
    <col min="18" max="18" width="34.5703125" style="1668" bestFit="1" customWidth="1"/>
    <col min="19" max="19" width="35.28515625" style="1668" bestFit="1" customWidth="1"/>
    <col min="20" max="20" width="30.5703125" style="1668" customWidth="1"/>
    <col min="21" max="21" width="30.28515625" style="2179" bestFit="1" customWidth="1"/>
    <col min="22" max="22" width="21.5703125" style="1668" customWidth="1"/>
    <col min="23" max="23" width="20.140625" style="1668" customWidth="1"/>
    <col min="24" max="24" width="14.42578125" style="1668" bestFit="1" customWidth="1"/>
    <col min="25" max="25" width="20" style="1668" bestFit="1" customWidth="1"/>
    <col min="26" max="26" width="12.5703125" style="1668" bestFit="1" customWidth="1"/>
    <col min="27" max="16384" width="9.140625" style="1668"/>
  </cols>
  <sheetData>
    <row r="1" spans="1:27" ht="51.75" customHeight="1">
      <c r="G1" s="2196">
        <f>+[30]receitas2019!$AX$64/1000</f>
        <v>610415.11899999995</v>
      </c>
      <c r="H1" s="2196">
        <f>+[30]receitas2019!$AZ$64/1000</f>
        <v>212867.70800000001</v>
      </c>
      <c r="I1" s="2196">
        <f>+[30]receitas2019!$BB$64/1000</f>
        <v>120741.77499999999</v>
      </c>
      <c r="J1" s="2196">
        <f>+[30]receitas2019!$BD$64/1000</f>
        <v>207849.03</v>
      </c>
      <c r="K1" s="2196">
        <f>+[30]receitas2019!$BF$64/1000</f>
        <v>242553.72899999999</v>
      </c>
      <c r="L1" s="2196">
        <f>+[30]receitas2019!$BH$64/1000</f>
        <v>632757.397</v>
      </c>
      <c r="M1" s="2196">
        <f>+[30]receitas2019!$BJ$64/1000</f>
        <v>890504.12899999996</v>
      </c>
      <c r="N1" s="2196">
        <f>+[30]receitas2019!$BL$64/1000</f>
        <v>228145.693</v>
      </c>
      <c r="O1" s="2196">
        <f>+[30]receitas2019!$BN$64/1000</f>
        <v>351695.57900000003</v>
      </c>
      <c r="P1" s="2196">
        <f>+[30]receitas2019!$BP$64/1000</f>
        <v>141888.14300000001</v>
      </c>
      <c r="Q1" s="2196">
        <f>+[30]receitas2019!$BR$64/1000</f>
        <v>651325.66899999999</v>
      </c>
      <c r="R1" s="2196">
        <f>+[30]receitas2019!$BT$64/1000</f>
        <v>1958589.692</v>
      </c>
    </row>
    <row r="2" spans="1:27" s="2195" customFormat="1" ht="75.75" customHeight="1">
      <c r="C2" s="2196">
        <f>K98-([30]receitas2019!$BF$64/1000)</f>
        <v>-1662.9130000000005</v>
      </c>
      <c r="G2" s="2196">
        <f>G98+G269</f>
        <v>610415.11900000018</v>
      </c>
      <c r="H2" s="2196">
        <f t="shared" ref="H2:R2" si="0">H98+H269</f>
        <v>212867.76300000001</v>
      </c>
      <c r="I2" s="2196">
        <f t="shared" si="0"/>
        <v>120741.77499999999</v>
      </c>
      <c r="J2" s="2196">
        <f t="shared" si="0"/>
        <v>207849.03</v>
      </c>
      <c r="K2" s="2196">
        <f t="shared" si="0"/>
        <v>242553.64199999999</v>
      </c>
      <c r="L2" s="2196">
        <f t="shared" si="0"/>
        <v>632758.08500000008</v>
      </c>
      <c r="M2" s="2196">
        <f t="shared" si="0"/>
        <v>890504.79800000007</v>
      </c>
      <c r="N2" s="2196">
        <f t="shared" si="0"/>
        <v>228145.24300000005</v>
      </c>
      <c r="O2" s="2196">
        <f t="shared" si="0"/>
        <v>351695.57899999997</v>
      </c>
      <c r="P2" s="2196">
        <f t="shared" si="0"/>
        <v>141888.14300000001</v>
      </c>
      <c r="Q2" s="2196">
        <f t="shared" si="0"/>
        <v>651325.66899999988</v>
      </c>
      <c r="R2" s="2196">
        <f t="shared" si="0"/>
        <v>1958589.6920000003</v>
      </c>
      <c r="U2" s="2197"/>
    </row>
    <row r="3" spans="1:27" ht="21.75" thickBot="1">
      <c r="A3" s="1654"/>
      <c r="B3" s="1655"/>
      <c r="C3" s="1851" t="s">
        <v>3020</v>
      </c>
      <c r="D3" s="1851"/>
      <c r="E3" s="1898">
        <f>+H112+H118</f>
        <v>26240.557000000001</v>
      </c>
      <c r="F3" s="2018">
        <f>E4-E3</f>
        <v>1033.4429999999993</v>
      </c>
      <c r="G3" s="2018"/>
      <c r="H3" s="2018"/>
      <c r="I3" s="2019"/>
      <c r="J3" s="2019"/>
      <c r="K3" s="2018"/>
      <c r="L3" s="2019"/>
      <c r="M3" s="2018"/>
      <c r="N3" s="2185"/>
      <c r="O3" s="2018">
        <f>3677514-S290</f>
        <v>535154.77214303613</v>
      </c>
      <c r="P3" s="2018"/>
      <c r="Q3" s="2018">
        <f>S6+S339</f>
        <v>151141491.87016428</v>
      </c>
      <c r="R3" s="2188">
        <f>+S281-S336</f>
        <v>153845499.87144735</v>
      </c>
      <c r="S3" s="2018"/>
      <c r="T3" s="1665"/>
      <c r="U3" s="2177"/>
      <c r="V3" s="1669">
        <v>808410</v>
      </c>
      <c r="W3" s="2004">
        <v>831900000</v>
      </c>
      <c r="X3" s="1668" t="s">
        <v>3237</v>
      </c>
    </row>
    <row r="4" spans="1:27" ht="21.75" thickBot="1">
      <c r="A4" s="1654"/>
      <c r="B4" s="1655"/>
      <c r="C4" s="1851"/>
      <c r="D4" s="1851"/>
      <c r="E4" s="1898">
        <v>27274</v>
      </c>
      <c r="F4" s="2018"/>
      <c r="G4" s="2184">
        <f>+G197+G206</f>
        <v>1961.249</v>
      </c>
      <c r="H4" s="2184">
        <f>+H197+H206</f>
        <v>847.89300000000003</v>
      </c>
      <c r="I4" s="2184">
        <f t="shared" ref="I4:R4" si="1">+I197+I206</f>
        <v>145.75</v>
      </c>
      <c r="J4" s="2184">
        <f t="shared" si="1"/>
        <v>94.75</v>
      </c>
      <c r="K4" s="2184">
        <f t="shared" si="1"/>
        <v>467.5</v>
      </c>
      <c r="L4" s="2184">
        <f t="shared" si="1"/>
        <v>427.23899999999998</v>
      </c>
      <c r="M4" s="2184">
        <f t="shared" si="1"/>
        <v>976.072</v>
      </c>
      <c r="N4" s="2184">
        <f t="shared" si="1"/>
        <v>993.75</v>
      </c>
      <c r="O4" s="2184">
        <f t="shared" si="1"/>
        <v>1200.1400000000001</v>
      </c>
      <c r="P4" s="2184">
        <f t="shared" si="1"/>
        <v>1178.1769999999999</v>
      </c>
      <c r="Q4" s="2184">
        <f t="shared" si="1"/>
        <v>122.495</v>
      </c>
      <c r="R4" s="2184">
        <f t="shared" si="1"/>
        <v>196.02</v>
      </c>
      <c r="S4" s="2018"/>
      <c r="T4" s="1665">
        <f>T9+T36</f>
        <v>79116640.085000008</v>
      </c>
      <c r="U4" s="2177"/>
      <c r="V4" s="1670"/>
    </row>
    <row r="5" spans="1:27" ht="45" customHeight="1" thickBot="1">
      <c r="A5" s="1881"/>
      <c r="B5" s="1972" t="s">
        <v>3049</v>
      </c>
      <c r="C5" s="1973" t="s">
        <v>294</v>
      </c>
      <c r="D5" s="1899" t="s">
        <v>3019</v>
      </c>
      <c r="E5" s="1899" t="s">
        <v>3226</v>
      </c>
      <c r="F5" s="1899" t="s">
        <v>3228</v>
      </c>
      <c r="G5" s="1900">
        <v>2019</v>
      </c>
      <c r="H5" s="1900">
        <v>2019</v>
      </c>
      <c r="I5" s="1900">
        <v>2019</v>
      </c>
      <c r="J5" s="1900">
        <v>2019</v>
      </c>
      <c r="K5" s="1900">
        <v>2019</v>
      </c>
      <c r="L5" s="1900">
        <v>2019</v>
      </c>
      <c r="M5" s="1900">
        <v>2019</v>
      </c>
      <c r="N5" s="1900">
        <v>2019</v>
      </c>
      <c r="O5" s="1900">
        <v>2019</v>
      </c>
      <c r="P5" s="1900">
        <v>2019</v>
      </c>
      <c r="Q5" s="1900">
        <v>2019</v>
      </c>
      <c r="R5" s="1900">
        <v>2019</v>
      </c>
      <c r="S5" s="1974" t="s">
        <v>3227</v>
      </c>
      <c r="T5" s="2163" t="s">
        <v>1723</v>
      </c>
      <c r="U5" s="2176"/>
      <c r="V5" s="1978" t="s">
        <v>3235</v>
      </c>
      <c r="W5" s="1978" t="s">
        <v>3236</v>
      </c>
      <c r="Y5" s="2009" t="s">
        <v>2836</v>
      </c>
      <c r="Z5" s="1668" t="s">
        <v>3238</v>
      </c>
    </row>
    <row r="6" spans="1:27" s="1870" customFormat="1" ht="30.75" customHeight="1" thickTop="1">
      <c r="A6" s="1891" t="s">
        <v>186</v>
      </c>
      <c r="B6" s="1968">
        <v>1</v>
      </c>
      <c r="C6" s="1969" t="s">
        <v>3207</v>
      </c>
      <c r="D6" s="1970" t="e">
        <f>D7+D273</f>
        <v>#REF!</v>
      </c>
      <c r="E6" s="1971">
        <f t="shared" ref="E6:R6" si="2">+E7+E273</f>
        <v>128597543.356856</v>
      </c>
      <c r="F6" s="2067">
        <f t="shared" si="2"/>
        <v>274205722.65700001</v>
      </c>
      <c r="G6" s="1971">
        <f t="shared" si="2"/>
        <v>5590621.3829999994</v>
      </c>
      <c r="H6" s="1971">
        <f t="shared" si="2"/>
        <v>7783747.5520000001</v>
      </c>
      <c r="I6" s="1971">
        <f t="shared" si="2"/>
        <v>18210475.593999997</v>
      </c>
      <c r="J6" s="1971">
        <f t="shared" si="2"/>
        <v>5427765.0270000007</v>
      </c>
      <c r="K6" s="1971">
        <f t="shared" si="2"/>
        <v>8350971.6290000007</v>
      </c>
      <c r="L6" s="1971">
        <f t="shared" si="2"/>
        <v>20498476.410999998</v>
      </c>
      <c r="M6" s="1971">
        <f t="shared" si="2"/>
        <v>12145274.793000001</v>
      </c>
      <c r="N6" s="1971">
        <f t="shared" si="2"/>
        <v>7367686.6000400009</v>
      </c>
      <c r="O6" s="1971">
        <f t="shared" si="2"/>
        <v>12061412.563999999</v>
      </c>
      <c r="P6" s="1971">
        <f t="shared" si="2"/>
        <v>14013526.866999999</v>
      </c>
      <c r="Q6" s="1971">
        <f t="shared" si="2"/>
        <v>6669756.8940000003</v>
      </c>
      <c r="R6" s="1971">
        <f t="shared" si="2"/>
        <v>11841544.390000001</v>
      </c>
      <c r="S6" s="1979">
        <f>SUM(G6:R6)</f>
        <v>129961259.70403999</v>
      </c>
      <c r="T6" s="2164">
        <f>+T7+T273</f>
        <v>107462963.92199999</v>
      </c>
      <c r="U6" s="2178">
        <f>+S6-T6</f>
        <v>22498295.78204</v>
      </c>
      <c r="V6" s="1869">
        <f>S6/$V$3*100/1000</f>
        <v>16.076156863972489</v>
      </c>
      <c r="W6" s="2003">
        <f>+S6/$W$3*100</f>
        <v>15.62222138526746</v>
      </c>
      <c r="Y6" s="2008">
        <f>S6/1000</f>
        <v>129961.25970403999</v>
      </c>
    </row>
    <row r="7" spans="1:27" s="1855" customFormat="1" ht="26.25">
      <c r="A7" s="1882" t="s">
        <v>663</v>
      </c>
      <c r="B7" s="1904" t="s">
        <v>404</v>
      </c>
      <c r="C7" s="1905" t="s">
        <v>3205</v>
      </c>
      <c r="D7" s="1906" t="e">
        <f>D8+D88</f>
        <v>#REF!</v>
      </c>
      <c r="E7" s="1907">
        <f>+E8+E96</f>
        <v>98295828.567000002</v>
      </c>
      <c r="F7" s="2068">
        <f>+F8+F96</f>
        <v>226014214.33100003</v>
      </c>
      <c r="G7" s="1907">
        <f>+G8+G96</f>
        <v>5590621.3829999994</v>
      </c>
      <c r="H7" s="1907">
        <f t="shared" ref="H7:R7" si="3">+H8+H96</f>
        <v>6074760.9160000002</v>
      </c>
      <c r="I7" s="1907">
        <f t="shared" si="3"/>
        <v>11858807.958999999</v>
      </c>
      <c r="J7" s="1907">
        <f t="shared" si="3"/>
        <v>5427765.0270000007</v>
      </c>
      <c r="K7" s="1907">
        <f t="shared" si="3"/>
        <v>8350971.6290000007</v>
      </c>
      <c r="L7" s="1907">
        <f t="shared" si="3"/>
        <v>14381493.692</v>
      </c>
      <c r="M7" s="1907">
        <f t="shared" si="3"/>
        <v>12145274.793000001</v>
      </c>
      <c r="N7" s="1907">
        <f t="shared" si="3"/>
        <v>7367686.6000400009</v>
      </c>
      <c r="O7" s="1907">
        <f t="shared" si="3"/>
        <v>6228798.1839999994</v>
      </c>
      <c r="P7" s="1907">
        <f t="shared" si="3"/>
        <v>14013526.866999999</v>
      </c>
      <c r="Q7" s="1907">
        <f t="shared" si="3"/>
        <v>6504756.8940000003</v>
      </c>
      <c r="R7" s="1907">
        <f t="shared" si="3"/>
        <v>7652218.8700000001</v>
      </c>
      <c r="S7" s="1980">
        <f>SUM(G7:R7)</f>
        <v>105596682.81404001</v>
      </c>
      <c r="T7" s="2165">
        <f>+T8+T96</f>
        <v>105588977.286</v>
      </c>
      <c r="U7" s="2178">
        <f t="shared" ref="U7:U19" si="4">+S7-T7</f>
        <v>7705.5280400067568</v>
      </c>
      <c r="V7" s="1854">
        <f>S7/$V$3*100/1000</f>
        <v>13.062268256706375</v>
      </c>
      <c r="W7" s="2003">
        <f t="shared" ref="W7:W35" si="5">+S7/$W$3*100</f>
        <v>12.693434645274673</v>
      </c>
      <c r="Y7" s="2008">
        <f t="shared" ref="Y7:Y70" si="6">S7/1000</f>
        <v>105596.68281404</v>
      </c>
      <c r="Z7" s="2010">
        <f>'[27]QUADRO 19 (2019)'!$AD$6</f>
        <v>51129.019161000004</v>
      </c>
    </row>
    <row r="8" spans="1:27" s="2029" customFormat="1" ht="26.25">
      <c r="A8" s="2023" t="s">
        <v>664</v>
      </c>
      <c r="B8" s="2024" t="s">
        <v>407</v>
      </c>
      <c r="C8" s="2025" t="s">
        <v>3464</v>
      </c>
      <c r="D8" s="1934">
        <f>SUM(D9:D64)</f>
        <v>0</v>
      </c>
      <c r="E8" s="1988">
        <f>+E9+E36</f>
        <v>77587692.355000004</v>
      </c>
      <c r="F8" s="2069">
        <f>+F9+F36</f>
        <v>95377028.981000006</v>
      </c>
      <c r="G8" s="1988">
        <f>+G9+G36</f>
        <v>4703236.5889999997</v>
      </c>
      <c r="H8" s="1988">
        <f t="shared" ref="H8:R8" si="7">+H9+H36</f>
        <v>5310034.0120000001</v>
      </c>
      <c r="I8" s="1988">
        <f t="shared" si="7"/>
        <v>5789015.3989999993</v>
      </c>
      <c r="J8" s="1988">
        <f t="shared" si="7"/>
        <v>4886952.5250000004</v>
      </c>
      <c r="K8" s="1988">
        <f t="shared" si="7"/>
        <v>7444374.3550000004</v>
      </c>
      <c r="L8" s="1988">
        <f t="shared" si="7"/>
        <v>12840067.868999999</v>
      </c>
      <c r="M8" s="1988">
        <f t="shared" si="7"/>
        <v>10528724.684</v>
      </c>
      <c r="N8" s="1988">
        <f t="shared" si="7"/>
        <v>6543415.2880400009</v>
      </c>
      <c r="O8" s="1988">
        <f t="shared" si="7"/>
        <v>5516094.5749999993</v>
      </c>
      <c r="P8" s="1988">
        <f t="shared" si="7"/>
        <v>5919596.7799999993</v>
      </c>
      <c r="Q8" s="1988">
        <f t="shared" si="7"/>
        <v>4299482.4110000003</v>
      </c>
      <c r="R8" s="1988">
        <f t="shared" si="7"/>
        <v>5335644.8870000001</v>
      </c>
      <c r="S8" s="1993">
        <f>SUM(G8:R8)</f>
        <v>79116639.374039993</v>
      </c>
      <c r="T8" s="2166">
        <f>+[30]receitas2019!$BZ$4/1000</f>
        <v>79116640.084999993</v>
      </c>
      <c r="U8" s="2178">
        <f t="shared" si="4"/>
        <v>-0.71096000075340271</v>
      </c>
      <c r="V8" s="2026">
        <f>S8/$V$3*100/1000</f>
        <v>9.7866972667384129</v>
      </c>
      <c r="W8" s="2027">
        <f t="shared" si="5"/>
        <v>9.5103545346844562</v>
      </c>
      <c r="X8" s="2028"/>
      <c r="Y8" s="2029">
        <f t="shared" si="6"/>
        <v>79116.639374039994</v>
      </c>
      <c r="Z8" s="2030">
        <f>'[27]QUADRO 19 (2019)'!$AD$7</f>
        <v>40852.140519</v>
      </c>
      <c r="AA8" s="2031"/>
    </row>
    <row r="9" spans="1:27" s="2056" customFormat="1" ht="26.25">
      <c r="A9" s="2047" t="s">
        <v>665</v>
      </c>
      <c r="B9" s="2048" t="s">
        <v>410</v>
      </c>
      <c r="C9" s="2049" t="s">
        <v>3244</v>
      </c>
      <c r="D9" s="2050"/>
      <c r="E9" s="2051">
        <f>+'[28]Receitas (mensais)'!$Q$14</f>
        <v>23555385.500999998</v>
      </c>
      <c r="F9" s="2070">
        <f>F10+F24</f>
        <v>27398177.287999999</v>
      </c>
      <c r="G9" s="2052">
        <f>G10+G24</f>
        <v>1426632.5120000001</v>
      </c>
      <c r="H9" s="2052">
        <f t="shared" ref="H9:R9" si="8">H10+H24</f>
        <v>1379315.297</v>
      </c>
      <c r="I9" s="2052">
        <f t="shared" si="8"/>
        <v>2105885.1399999997</v>
      </c>
      <c r="J9" s="2052">
        <f t="shared" si="8"/>
        <v>1545907.1129999999</v>
      </c>
      <c r="K9" s="2052">
        <f t="shared" si="8"/>
        <v>2499018.0440000002</v>
      </c>
      <c r="L9" s="2052">
        <f t="shared" si="8"/>
        <v>6396011.5299999993</v>
      </c>
      <c r="M9" s="2052">
        <f t="shared" si="8"/>
        <v>4424851.4700000007</v>
      </c>
      <c r="N9" s="2052">
        <f t="shared" si="8"/>
        <v>2139800.9928000001</v>
      </c>
      <c r="O9" s="2052">
        <f t="shared" si="8"/>
        <v>1635256.273</v>
      </c>
      <c r="P9" s="2052">
        <f t="shared" si="8"/>
        <v>1681222.7880000002</v>
      </c>
      <c r="Q9" s="2052">
        <f t="shared" si="8"/>
        <v>1145776.179</v>
      </c>
      <c r="R9" s="2052">
        <f t="shared" si="8"/>
        <v>1696676.584</v>
      </c>
      <c r="S9" s="2051">
        <f>SUM(G9:R9)</f>
        <v>28076353.922799997</v>
      </c>
      <c r="T9" s="2167">
        <f>+[30]receitas2019!$BZ$5/1000</f>
        <v>28076352.693999998</v>
      </c>
      <c r="U9" s="2205">
        <f t="shared" si="4"/>
        <v>1.2287999987602234</v>
      </c>
      <c r="V9" s="2053">
        <f>S9/$V$3*100/1000</f>
        <v>3.4730339707326721</v>
      </c>
      <c r="W9" s="2054">
        <f t="shared" si="5"/>
        <v>3.374967414689265</v>
      </c>
      <c r="X9" s="2055"/>
      <c r="Y9" s="2056">
        <f t="shared" si="6"/>
        <v>28076.353922799997</v>
      </c>
      <c r="Z9" s="2057"/>
    </row>
    <row r="10" spans="1:27" s="2043" customFormat="1" ht="26.25">
      <c r="A10" s="2034"/>
      <c r="B10" s="2035" t="s">
        <v>3050</v>
      </c>
      <c r="C10" s="2036" t="s">
        <v>780</v>
      </c>
      <c r="D10" s="2037"/>
      <c r="E10" s="2038"/>
      <c r="F10" s="2071">
        <f>+F11+F12+F15+F18+F19</f>
        <v>26361202.888</v>
      </c>
      <c r="G10" s="2038">
        <f>+G11+G12+G15+G18+G19</f>
        <v>1344267.8020000001</v>
      </c>
      <c r="H10" s="2038">
        <f t="shared" ref="H10:R10" si="9">+H11+H12+H15+H18+H19</f>
        <v>1313791.6869999999</v>
      </c>
      <c r="I10" s="2038">
        <f t="shared" si="9"/>
        <v>2070155.1599999997</v>
      </c>
      <c r="J10" s="2038">
        <f t="shared" si="9"/>
        <v>1503870.2999999998</v>
      </c>
      <c r="K10" s="2038">
        <f t="shared" si="9"/>
        <v>2468355.4010000001</v>
      </c>
      <c r="L10" s="2038">
        <f t="shared" si="9"/>
        <v>6267048.8959999997</v>
      </c>
      <c r="M10" s="2038">
        <f t="shared" si="9"/>
        <v>4359957.3830000004</v>
      </c>
      <c r="N10" s="2038">
        <f t="shared" si="9"/>
        <v>2119342.1708</v>
      </c>
      <c r="O10" s="2038">
        <f t="shared" si="9"/>
        <v>1623095.189</v>
      </c>
      <c r="P10" s="2038">
        <f t="shared" si="9"/>
        <v>1512994.6400000001</v>
      </c>
      <c r="Q10" s="2038">
        <f t="shared" si="9"/>
        <v>1128114.8319999999</v>
      </c>
      <c r="R10" s="2038">
        <f t="shared" si="9"/>
        <v>1671288.828</v>
      </c>
      <c r="S10" s="2039">
        <f t="shared" ref="S10:S23" si="10">SUM(G10:R10)</f>
        <v>27382282.288800001</v>
      </c>
      <c r="T10" s="2168">
        <f>+[30]receitas2019!$BZ$6/1000</f>
        <v>27382281.037</v>
      </c>
      <c r="U10" s="2206">
        <f t="shared" si="4"/>
        <v>1.251800000667572</v>
      </c>
      <c r="V10" s="2040"/>
      <c r="W10" s="2041">
        <f t="shared" si="5"/>
        <v>3.2915353153984852</v>
      </c>
      <c r="X10" s="2042"/>
      <c r="Y10" s="2043">
        <f t="shared" si="6"/>
        <v>27382.282288800001</v>
      </c>
      <c r="Z10" s="2044"/>
    </row>
    <row r="11" spans="1:27" s="1855" customFormat="1" ht="26.25">
      <c r="A11" s="1884"/>
      <c r="B11" s="1908" t="s">
        <v>3156</v>
      </c>
      <c r="C11" s="2193" t="s">
        <v>782</v>
      </c>
      <c r="D11" s="1911"/>
      <c r="E11" s="1984"/>
      <c r="F11" s="1984">
        <v>16708824.488</v>
      </c>
      <c r="G11" s="1984">
        <f>'Receitas (mensais)'!E16</f>
        <v>464452.783</v>
      </c>
      <c r="H11" s="1984">
        <f>'Receitas (mensais)'!F16</f>
        <v>362818.91000000003</v>
      </c>
      <c r="I11" s="1984">
        <f>'Receitas (mensais)'!G16</f>
        <v>1405719.2029999997</v>
      </c>
      <c r="J11" s="1984">
        <f>'Receitas (mensais)'!H16</f>
        <v>676775.44499999995</v>
      </c>
      <c r="K11" s="1984">
        <f>'Receitas (mensais)'!I16</f>
        <v>1369320.4680000001</v>
      </c>
      <c r="L11" s="1984">
        <f>'Receitas (mensais)'!J16</f>
        <v>3362646.9739999999</v>
      </c>
      <c r="M11" s="1984">
        <f>'Receitas (mensais)'!K16</f>
        <v>2014838.6740000001</v>
      </c>
      <c r="N11" s="1984">
        <f>'Receitas (mensais)'!L16</f>
        <v>863820.38100000005</v>
      </c>
      <c r="O11" s="1984">
        <f>'Receitas (mensais)'!M16</f>
        <v>648798.25800000003</v>
      </c>
      <c r="P11" s="1984">
        <f>'Receitas (mensais)'!N16</f>
        <v>550359.94200000004</v>
      </c>
      <c r="Q11" s="1984">
        <f>'Receitas (mensais)'!O16</f>
        <v>395014.022</v>
      </c>
      <c r="R11" s="1984">
        <f>'Receitas (mensais)'!P16</f>
        <v>1066782.058</v>
      </c>
      <c r="S11" s="2209">
        <f t="shared" si="10"/>
        <v>13181347.117999999</v>
      </c>
      <c r="T11" s="1864">
        <f>+[30]receitas2019!$BZ$7/1000</f>
        <v>13181346.092</v>
      </c>
      <c r="U11" s="2181">
        <f t="shared" si="4"/>
        <v>1.0259999986737967</v>
      </c>
      <c r="V11" s="2033"/>
      <c r="W11" s="1854">
        <f t="shared" si="5"/>
        <v>1.5844869717514123</v>
      </c>
      <c r="X11" s="2003"/>
      <c r="Y11" s="1855">
        <f t="shared" si="6"/>
        <v>13181.347118</v>
      </c>
      <c r="Z11" s="2008"/>
    </row>
    <row r="12" spans="1:27" s="1855" customFormat="1" ht="26.25">
      <c r="A12" s="1884"/>
      <c r="B12" s="1908" t="s">
        <v>3054</v>
      </c>
      <c r="C12" s="2193" t="s">
        <v>783</v>
      </c>
      <c r="D12" s="1911"/>
      <c r="E12" s="1984"/>
      <c r="F12" s="1984">
        <f>F13+F14</f>
        <v>4140951.36</v>
      </c>
      <c r="G12" s="1984">
        <f>G13+G14</f>
        <v>67646.114000000001</v>
      </c>
      <c r="H12" s="1984">
        <f t="shared" ref="H12:R12" si="11">H13+H14</f>
        <v>43992.152000000002</v>
      </c>
      <c r="I12" s="1984">
        <f t="shared" si="11"/>
        <v>66550.675000000003</v>
      </c>
      <c r="J12" s="1984">
        <f t="shared" si="11"/>
        <v>29433.440999999999</v>
      </c>
      <c r="K12" s="1984">
        <f t="shared" si="11"/>
        <v>604751.90800000005</v>
      </c>
      <c r="L12" s="1984">
        <f t="shared" si="11"/>
        <v>2306376.2250000001</v>
      </c>
      <c r="M12" s="1984">
        <f t="shared" si="11"/>
        <v>1557500.129</v>
      </c>
      <c r="N12" s="1984">
        <f t="shared" si="11"/>
        <v>553939.02</v>
      </c>
      <c r="O12" s="1984">
        <f t="shared" si="11"/>
        <v>311298.745</v>
      </c>
      <c r="P12" s="1984">
        <f t="shared" si="11"/>
        <v>15636.597</v>
      </c>
      <c r="Q12" s="1984">
        <f t="shared" si="11"/>
        <v>8554.1130000000012</v>
      </c>
      <c r="R12" s="1984">
        <f t="shared" si="11"/>
        <v>5317.4940000000006</v>
      </c>
      <c r="S12" s="2209">
        <f t="shared" si="10"/>
        <v>5570996.6130000008</v>
      </c>
      <c r="T12" s="1864">
        <f>+[30]receitas2019!$BZ$8/1000</f>
        <v>5570996.9460000005</v>
      </c>
      <c r="U12" s="2181">
        <f t="shared" si="4"/>
        <v>-0.33299999963492155</v>
      </c>
      <c r="V12" s="2033"/>
      <c r="W12" s="1854">
        <f t="shared" si="5"/>
        <v>0.6696714284168771</v>
      </c>
      <c r="X12" s="2003"/>
      <c r="Y12" s="1855">
        <f t="shared" si="6"/>
        <v>5570.9966130000012</v>
      </c>
      <c r="Z12" s="2008"/>
    </row>
    <row r="13" spans="1:27" s="1855" customFormat="1" ht="26.25">
      <c r="A13" s="1884"/>
      <c r="B13" s="1908" t="s">
        <v>3157</v>
      </c>
      <c r="C13" s="2210" t="str">
        <f>'Receitas (mensais)'!D18</f>
        <v xml:space="preserve">               Urbana</v>
      </c>
      <c r="D13" s="1911"/>
      <c r="E13" s="1984"/>
      <c r="F13" s="1984">
        <v>560759.36</v>
      </c>
      <c r="G13" s="2211">
        <f>'Receitas (mensais)'!E18</f>
        <v>61067.111000000004</v>
      </c>
      <c r="H13" s="2211">
        <f>'Receitas (mensais)'!F18</f>
        <v>37897.698000000004</v>
      </c>
      <c r="I13" s="2211">
        <f>'Receitas (mensais)'!G18</f>
        <v>64327.925000000003</v>
      </c>
      <c r="J13" s="2211">
        <f>'Receitas (mensais)'!H18</f>
        <v>22433.175999999999</v>
      </c>
      <c r="K13" s="2211">
        <f>'Receitas (mensais)'!I18</f>
        <v>7368.6530000000002</v>
      </c>
      <c r="L13" s="2211">
        <f>'Receitas (mensais)'!J18</f>
        <v>19832.599999999999</v>
      </c>
      <c r="M13" s="2211">
        <f>'Receitas (mensais)'!K18</f>
        <v>41616.379000000001</v>
      </c>
      <c r="N13" s="2211">
        <f>'Receitas (mensais)'!L18</f>
        <v>13829.02</v>
      </c>
      <c r="O13" s="2211">
        <f>'Receitas (mensais)'!M18</f>
        <v>58098.229999999989</v>
      </c>
      <c r="P13" s="2211">
        <f>'Receitas (mensais)'!N18</f>
        <v>3812.9369999999999</v>
      </c>
      <c r="Q13" s="2211">
        <f>'Receitas (mensais)'!O18</f>
        <v>8398.6130000000012</v>
      </c>
      <c r="R13" s="2211">
        <f>'Receitas (mensais)'!P18</f>
        <v>5317.4940000000006</v>
      </c>
      <c r="S13" s="2209">
        <f>SUM(G13:R13)</f>
        <v>343999.83600000001</v>
      </c>
      <c r="T13" s="1864">
        <f>+[30]receitas2019!$BZ$9/1000</f>
        <v>343999.799</v>
      </c>
      <c r="U13" s="2181">
        <f t="shared" si="4"/>
        <v>3.7000000011175871E-2</v>
      </c>
      <c r="V13" s="1854"/>
      <c r="W13" s="2003">
        <f t="shared" si="5"/>
        <v>4.1351104219257126E-2</v>
      </c>
      <c r="Y13" s="2008">
        <f t="shared" si="6"/>
        <v>343.99983600000002</v>
      </c>
    </row>
    <row r="14" spans="1:27" s="1855" customFormat="1" ht="26.25">
      <c r="A14" s="1884"/>
      <c r="B14" s="1908" t="s">
        <v>3158</v>
      </c>
      <c r="C14" s="2210" t="str">
        <f>'Receitas (mensais)'!D19</f>
        <v xml:space="preserve">               Rustica</v>
      </c>
      <c r="D14" s="1911"/>
      <c r="E14" s="1984"/>
      <c r="F14" s="1984">
        <v>3580192</v>
      </c>
      <c r="G14" s="1984">
        <f>'Receitas (mensais)'!E19</f>
        <v>6579.0029999999997</v>
      </c>
      <c r="H14" s="1984">
        <f>'Receitas (mensais)'!F19</f>
        <v>6094.4539999999997</v>
      </c>
      <c r="I14" s="1984">
        <f>'Receitas (mensais)'!G19</f>
        <v>2222.75</v>
      </c>
      <c r="J14" s="1984">
        <f>'Receitas (mensais)'!H19</f>
        <v>7000.2649999999994</v>
      </c>
      <c r="K14" s="1984">
        <f>'Receitas (mensais)'!I19</f>
        <v>597383.255</v>
      </c>
      <c r="L14" s="1984">
        <f>'Receitas (mensais)'!J19</f>
        <v>2286543.625</v>
      </c>
      <c r="M14" s="1984">
        <f>'Receitas (mensais)'!K19</f>
        <v>1515883.75</v>
      </c>
      <c r="N14" s="1984">
        <f>'Receitas (mensais)'!L19</f>
        <v>540110</v>
      </c>
      <c r="O14" s="1984">
        <f>'Receitas (mensais)'!M19</f>
        <v>253200.51500000001</v>
      </c>
      <c r="P14" s="1984">
        <f>'Receitas (mensais)'!N19</f>
        <v>11823.66</v>
      </c>
      <c r="Q14" s="1984">
        <f>'Receitas (mensais)'!O19</f>
        <v>155.5</v>
      </c>
      <c r="R14" s="1984">
        <f>'Receitas (mensais)'!P19</f>
        <v>0</v>
      </c>
      <c r="S14" s="2212">
        <f t="shared" si="10"/>
        <v>5226996.7769999998</v>
      </c>
      <c r="T14" s="1864">
        <f>+[30]receitas2019!$BZ$10/1000</f>
        <v>5226997.1469999999</v>
      </c>
      <c r="U14" s="2181">
        <f t="shared" si="4"/>
        <v>-0.37000000011175871</v>
      </c>
      <c r="V14" s="1854"/>
      <c r="W14" s="2003">
        <f t="shared" si="5"/>
        <v>0.62832032419761985</v>
      </c>
      <c r="Y14" s="2008">
        <f t="shared" si="6"/>
        <v>5226.9967769999994</v>
      </c>
    </row>
    <row r="15" spans="1:27" s="1855" customFormat="1" ht="26.25">
      <c r="A15" s="1884"/>
      <c r="B15" s="1908" t="s">
        <v>3159</v>
      </c>
      <c r="C15" s="2193" t="str">
        <f>'Receitas (mensais)'!D20</f>
        <v>Imposto profissional</v>
      </c>
      <c r="D15" s="1911"/>
      <c r="E15" s="1984"/>
      <c r="F15" s="1984">
        <f>+F16+F17</f>
        <v>5484339.8399999999</v>
      </c>
      <c r="G15" s="1984">
        <f>+G16+G17</f>
        <v>812073.90500000003</v>
      </c>
      <c r="H15" s="1984">
        <f t="shared" ref="H15:R15" si="12">+H16+H17</f>
        <v>906980.625</v>
      </c>
      <c r="I15" s="1984">
        <f t="shared" si="12"/>
        <v>597885.28200000001</v>
      </c>
      <c r="J15" s="1984">
        <f t="shared" si="12"/>
        <v>797661.41399999999</v>
      </c>
      <c r="K15" s="1984">
        <f t="shared" si="12"/>
        <v>494283.02499999991</v>
      </c>
      <c r="L15" s="1984">
        <f t="shared" si="12"/>
        <v>598025.69700000004</v>
      </c>
      <c r="M15" s="1984">
        <f t="shared" si="12"/>
        <v>787618.57999999984</v>
      </c>
      <c r="N15" s="1984">
        <f t="shared" si="12"/>
        <v>701582.76980000001</v>
      </c>
      <c r="O15" s="1984">
        <f t="shared" si="12"/>
        <v>662998.18599999999</v>
      </c>
      <c r="P15" s="1984">
        <f t="shared" si="12"/>
        <v>938066.00099999993</v>
      </c>
      <c r="Q15" s="1984">
        <f t="shared" si="12"/>
        <v>718050.99699999997</v>
      </c>
      <c r="R15" s="1984">
        <f t="shared" si="12"/>
        <v>597660.80599999998</v>
      </c>
      <c r="S15" s="2209">
        <f t="shared" si="10"/>
        <v>8612887.2877999991</v>
      </c>
      <c r="T15" s="1864">
        <f>+[30]receitas2019!$BZ$11/1000</f>
        <v>8612886.7290000003</v>
      </c>
      <c r="U15" s="2181">
        <f t="shared" si="4"/>
        <v>0.55879999883472919</v>
      </c>
      <c r="V15" s="2033"/>
      <c r="W15" s="1854">
        <f t="shared" si="5"/>
        <v>1.0353272373843008</v>
      </c>
      <c r="X15" s="2003"/>
      <c r="Y15" s="1855">
        <f t="shared" si="6"/>
        <v>8612.8872877999984</v>
      </c>
      <c r="Z15" s="2008"/>
    </row>
    <row r="16" spans="1:27" s="1855" customFormat="1" ht="26.25">
      <c r="A16" s="1884"/>
      <c r="B16" s="1908" t="s">
        <v>3161</v>
      </c>
      <c r="C16" s="2046" t="str">
        <f>'Receitas (mensais)'!D21</f>
        <v xml:space="preserve">               Funçao Publica</v>
      </c>
      <c r="D16" s="1910"/>
      <c r="E16" s="1912"/>
      <c r="F16" s="2072">
        <v>3037118.56</v>
      </c>
      <c r="G16" s="1912">
        <f>+'Receitas (mensais)'!E21</f>
        <v>345185.69099999999</v>
      </c>
      <c r="H16" s="1912">
        <f>+'Receitas (mensais)'!F21</f>
        <v>386003.64199999999</v>
      </c>
      <c r="I16" s="1912">
        <f>+'Receitas (mensais)'!G21</f>
        <v>335544.73800000001</v>
      </c>
      <c r="J16" s="1912">
        <f>+'Receitas (mensais)'!H21</f>
        <v>579787.12399999995</v>
      </c>
      <c r="K16" s="1912">
        <f>+'Receitas (mensais)'!I21</f>
        <v>57213.502999999997</v>
      </c>
      <c r="L16" s="1912">
        <f>+'Receitas (mensais)'!J21</f>
        <v>386384.00400000002</v>
      </c>
      <c r="M16" s="1912">
        <f>+'Receitas (mensais)'!K21</f>
        <v>385489.18199999997</v>
      </c>
      <c r="N16" s="1912">
        <f>+'Receitas (mensais)'!L21</f>
        <v>487659.43900000001</v>
      </c>
      <c r="O16" s="1912">
        <f>+'Receitas (mensais)'!M21</f>
        <v>466170.62300000002</v>
      </c>
      <c r="P16" s="1912">
        <f>+'Receitas (mensais)'!N21</f>
        <v>394464.37199999997</v>
      </c>
      <c r="Q16" s="1912">
        <f>+'Receitas (mensais)'!O21</f>
        <v>354945.64600000001</v>
      </c>
      <c r="R16" s="1912">
        <f>+'Receitas (mensais)'!P21</f>
        <v>381148.821</v>
      </c>
      <c r="S16" s="1982">
        <f t="shared" si="10"/>
        <v>4559996.7850000001</v>
      </c>
      <c r="T16" s="2169">
        <f>+[30]receitas2019!$BZ$12/1000</f>
        <v>4559996.6569999997</v>
      </c>
      <c r="U16" s="2178">
        <f t="shared" si="4"/>
        <v>0.12800000049173832</v>
      </c>
      <c r="V16" s="1854"/>
      <c r="W16" s="2003">
        <f t="shared" si="5"/>
        <v>0.54814241916095685</v>
      </c>
      <c r="Y16" s="2008">
        <f t="shared" si="6"/>
        <v>4559.9967850000003</v>
      </c>
    </row>
    <row r="17" spans="1:26" s="1855" customFormat="1" ht="26.25">
      <c r="A17" s="1884"/>
      <c r="B17" s="1908" t="s">
        <v>3162</v>
      </c>
      <c r="C17" s="2046" t="str">
        <f>'Receitas (mensais)'!D22</f>
        <v xml:space="preserve">               Outros</v>
      </c>
      <c r="D17" s="1910"/>
      <c r="E17" s="1912"/>
      <c r="F17" s="2072">
        <v>2447221.2799999998</v>
      </c>
      <c r="G17" s="1912">
        <f>+'Receitas (mensais)'!E22</f>
        <v>466888.21400000004</v>
      </c>
      <c r="H17" s="1912">
        <f>+'Receitas (mensais)'!F22</f>
        <v>520976.98300000001</v>
      </c>
      <c r="I17" s="1912">
        <f>+'Receitas (mensais)'!G22</f>
        <v>262340.54399999999</v>
      </c>
      <c r="J17" s="1912">
        <f>+'Receitas (mensais)'!H22</f>
        <v>217874.29000000004</v>
      </c>
      <c r="K17" s="1912">
        <f>+'Receitas (mensais)'!I22</f>
        <v>437069.52199999994</v>
      </c>
      <c r="L17" s="1912">
        <f>+'Receitas (mensais)'!J22</f>
        <v>211641.693</v>
      </c>
      <c r="M17" s="1912">
        <f>+'Receitas (mensais)'!K22</f>
        <v>402129.39799999993</v>
      </c>
      <c r="N17" s="1912">
        <f>+'Receitas (mensais)'!L22</f>
        <v>213923.33079999997</v>
      </c>
      <c r="O17" s="1912">
        <f>+'Receitas (mensais)'!M22</f>
        <v>196827.56299999999</v>
      </c>
      <c r="P17" s="1912">
        <f>+'Receitas (mensais)'!N22</f>
        <v>543601.62899999996</v>
      </c>
      <c r="Q17" s="1912">
        <f>+'Receitas (mensais)'!O22</f>
        <v>363105.35100000002</v>
      </c>
      <c r="R17" s="1912">
        <f>+'Receitas (mensais)'!P22</f>
        <v>216511.98499999996</v>
      </c>
      <c r="S17" s="1982">
        <f t="shared" si="10"/>
        <v>4052890.5027999994</v>
      </c>
      <c r="T17" s="2169">
        <f>+[30]receitas2019!$BZ$13/1000</f>
        <v>4052890.0720000002</v>
      </c>
      <c r="U17" s="2178">
        <f t="shared" si="4"/>
        <v>0.43079999927431345</v>
      </c>
      <c r="V17" s="1854"/>
      <c r="W17" s="2003">
        <f t="shared" si="5"/>
        <v>0.48718481822334408</v>
      </c>
      <c r="Y17" s="2008">
        <f t="shared" si="6"/>
        <v>4052.8905027999995</v>
      </c>
    </row>
    <row r="18" spans="1:26" s="1855" customFormat="1" ht="26.25">
      <c r="A18" s="1884"/>
      <c r="B18" s="1908" t="s">
        <v>3160</v>
      </c>
      <c r="C18" s="2032" t="str">
        <f>'Receitas (mensais)'!D23</f>
        <v>Imposto complementar</v>
      </c>
      <c r="D18" s="1910"/>
      <c r="E18" s="1912"/>
      <c r="F18" s="2072">
        <v>27087.200000000001</v>
      </c>
      <c r="G18" s="1912">
        <f>+'Receitas (mensais)'!E23</f>
        <v>95</v>
      </c>
      <c r="H18" s="1912">
        <f>+'Receitas (mensais)'!F23</f>
        <v>0</v>
      </c>
      <c r="I18" s="1912">
        <f>+'Receitas (mensais)'!G23</f>
        <v>0</v>
      </c>
      <c r="J18" s="1912">
        <f>+'Receitas (mensais)'!H23</f>
        <v>0</v>
      </c>
      <c r="K18" s="1912">
        <f>+'Receitas (mensais)'!I23</f>
        <v>0</v>
      </c>
      <c r="L18" s="1912">
        <f>+'Receitas (mensais)'!J23</f>
        <v>0</v>
      </c>
      <c r="M18" s="1912">
        <f>+'Receitas (mensais)'!K23</f>
        <v>0</v>
      </c>
      <c r="N18" s="1912">
        <f>+'Receitas (mensais)'!L23</f>
        <v>0</v>
      </c>
      <c r="O18" s="1912">
        <f>+'Receitas (mensais)'!M23</f>
        <v>0</v>
      </c>
      <c r="P18" s="1912">
        <f>+'Receitas (mensais)'!N23</f>
        <v>8932.1</v>
      </c>
      <c r="Q18" s="1912">
        <f>+'Receitas (mensais)'!O23</f>
        <v>6495.7000000000007</v>
      </c>
      <c r="R18" s="1912">
        <f>+'Receitas (mensais)'!P23</f>
        <v>1528.47</v>
      </c>
      <c r="S18" s="1982">
        <f t="shared" si="10"/>
        <v>17051.27</v>
      </c>
      <c r="T18" s="2169">
        <f>+[30]receitas2019!$BZ$14/1000</f>
        <v>17051.27</v>
      </c>
      <c r="U18" s="2178">
        <f t="shared" si="4"/>
        <v>0</v>
      </c>
      <c r="V18" s="2033"/>
      <c r="W18" s="1854">
        <f t="shared" si="5"/>
        <v>2.0496778458949393E-3</v>
      </c>
      <c r="X18" s="2003"/>
      <c r="Y18" s="1855">
        <f t="shared" si="6"/>
        <v>17.051269999999999</v>
      </c>
      <c r="Z18" s="2008"/>
    </row>
    <row r="19" spans="1:26" s="1855" customFormat="1" ht="26.25">
      <c r="A19" s="1884" t="s">
        <v>806</v>
      </c>
      <c r="B19" s="1908" t="s">
        <v>3163</v>
      </c>
      <c r="C19" s="2032" t="str">
        <f>'Receitas (mensais)'!D24</f>
        <v>Imposto de Reconstruçao Nacional</v>
      </c>
      <c r="D19" s="1910"/>
      <c r="E19" s="1912">
        <f>+SUM(E20:E23)</f>
        <v>0</v>
      </c>
      <c r="F19" s="2072">
        <f>+SUM(F20:F23)</f>
        <v>0</v>
      </c>
      <c r="G19" s="1912">
        <f>+SUM(G20:G23)</f>
        <v>0</v>
      </c>
      <c r="H19" s="1912">
        <f t="shared" ref="H19:R19" si="13">+SUM(H20:H23)</f>
        <v>0</v>
      </c>
      <c r="I19" s="1912">
        <f t="shared" si="13"/>
        <v>0</v>
      </c>
      <c r="J19" s="1912">
        <f t="shared" si="13"/>
        <v>0</v>
      </c>
      <c r="K19" s="1912">
        <f t="shared" si="13"/>
        <v>0</v>
      </c>
      <c r="L19" s="1912">
        <f t="shared" si="13"/>
        <v>0</v>
      </c>
      <c r="M19" s="1912">
        <f t="shared" si="13"/>
        <v>0</v>
      </c>
      <c r="N19" s="1912">
        <f t="shared" si="13"/>
        <v>0</v>
      </c>
      <c r="O19" s="1912">
        <f t="shared" si="13"/>
        <v>0</v>
      </c>
      <c r="P19" s="1912">
        <f t="shared" si="13"/>
        <v>0</v>
      </c>
      <c r="Q19" s="1912">
        <f t="shared" si="13"/>
        <v>0</v>
      </c>
      <c r="R19" s="1912">
        <f t="shared" si="13"/>
        <v>0</v>
      </c>
      <c r="S19" s="1982">
        <f t="shared" si="10"/>
        <v>0</v>
      </c>
      <c r="T19" s="2169">
        <f>+[30]receitas2019!$BZ$15</f>
        <v>0</v>
      </c>
      <c r="U19" s="2178">
        <f t="shared" si="4"/>
        <v>0</v>
      </c>
      <c r="V19" s="2033"/>
      <c r="W19" s="1854">
        <f t="shared" si="5"/>
        <v>0</v>
      </c>
      <c r="X19" s="2003"/>
      <c r="Y19" s="1855">
        <f t="shared" si="6"/>
        <v>0</v>
      </c>
      <c r="Z19" s="2008"/>
    </row>
    <row r="20" spans="1:26" s="1858" customFormat="1" ht="26.25">
      <c r="A20" s="1885" t="s">
        <v>666</v>
      </c>
      <c r="B20" s="1908" t="s">
        <v>3165</v>
      </c>
      <c r="C20" s="2046" t="str">
        <f>'Receitas (mensais)'!D25</f>
        <v xml:space="preserve">               50% para a area</v>
      </c>
      <c r="D20" s="1915"/>
      <c r="E20" s="1916"/>
      <c r="F20" s="2073"/>
      <c r="G20" s="1916">
        <f>+'Receitas (mensais)'!E25</f>
        <v>0</v>
      </c>
      <c r="H20" s="1916">
        <f>+'Receitas (mensais)'!F25</f>
        <v>0</v>
      </c>
      <c r="I20" s="1916">
        <f>+'Receitas (mensais)'!G25</f>
        <v>0</v>
      </c>
      <c r="J20" s="1916">
        <f>+'Receitas (mensais)'!H25</f>
        <v>0</v>
      </c>
      <c r="K20" s="1916">
        <f>+'Receitas (mensais)'!I25</f>
        <v>0</v>
      </c>
      <c r="L20" s="1916">
        <f>+'Receitas (mensais)'!J25</f>
        <v>0</v>
      </c>
      <c r="M20" s="1916">
        <f>+'Receitas (mensais)'!K25</f>
        <v>0</v>
      </c>
      <c r="N20" s="1916">
        <f>+'Receitas (mensais)'!L25</f>
        <v>0</v>
      </c>
      <c r="O20" s="1916">
        <f>+'Receitas (mensais)'!M25</f>
        <v>0</v>
      </c>
      <c r="P20" s="1916">
        <f>+'Receitas (mensais)'!N25</f>
        <v>0</v>
      </c>
      <c r="Q20" s="1916">
        <f>+'Receitas (mensais)'!O25</f>
        <v>0</v>
      </c>
      <c r="R20" s="1916">
        <f>+'Receitas (mensais)'!P25</f>
        <v>0</v>
      </c>
      <c r="S20" s="1983">
        <f t="shared" si="10"/>
        <v>0</v>
      </c>
      <c r="T20" s="2170"/>
      <c r="U20" s="2178"/>
      <c r="V20" s="1857">
        <f>S20/$V$3*100/1000</f>
        <v>0</v>
      </c>
      <c r="W20" s="2003">
        <f t="shared" si="5"/>
        <v>0</v>
      </c>
      <c r="Y20" s="2008">
        <f t="shared" si="6"/>
        <v>0</v>
      </c>
    </row>
    <row r="21" spans="1:26" s="1858" customFormat="1" ht="26.25">
      <c r="A21" s="1885"/>
      <c r="B21" s="1908" t="s">
        <v>3166</v>
      </c>
      <c r="C21" s="2046" t="str">
        <f>'Receitas (mensais)'!D26</f>
        <v xml:space="preserve">               40% para as Regioes</v>
      </c>
      <c r="D21" s="1915"/>
      <c r="E21" s="1916"/>
      <c r="F21" s="2073"/>
      <c r="G21" s="1916">
        <f>+'Receitas (mensais)'!E26</f>
        <v>0</v>
      </c>
      <c r="H21" s="1916">
        <f>+'Receitas (mensais)'!F26</f>
        <v>0</v>
      </c>
      <c r="I21" s="1916">
        <f>+'Receitas (mensais)'!G26</f>
        <v>0</v>
      </c>
      <c r="J21" s="1916">
        <f>+'Receitas (mensais)'!H26</f>
        <v>0</v>
      </c>
      <c r="K21" s="1916">
        <f>+'Receitas (mensais)'!I26</f>
        <v>0</v>
      </c>
      <c r="L21" s="1916">
        <f>+'Receitas (mensais)'!J26</f>
        <v>0</v>
      </c>
      <c r="M21" s="1916">
        <f>+'Receitas (mensais)'!K26</f>
        <v>0</v>
      </c>
      <c r="N21" s="1916">
        <f>+'Receitas (mensais)'!L26</f>
        <v>0</v>
      </c>
      <c r="O21" s="1916">
        <f>+'Receitas (mensais)'!M26</f>
        <v>0</v>
      </c>
      <c r="P21" s="1916">
        <f>+'Receitas (mensais)'!N26</f>
        <v>0</v>
      </c>
      <c r="Q21" s="1916">
        <f>+'Receitas (mensais)'!O26</f>
        <v>0</v>
      </c>
      <c r="R21" s="1916">
        <f>+'Receitas (mensais)'!P26</f>
        <v>0</v>
      </c>
      <c r="S21" s="1983">
        <f t="shared" si="10"/>
        <v>0</v>
      </c>
      <c r="T21" s="2170"/>
      <c r="U21" s="2178"/>
      <c r="V21" s="1857"/>
      <c r="W21" s="2003">
        <f t="shared" si="5"/>
        <v>0</v>
      </c>
      <c r="Y21" s="2008">
        <f t="shared" si="6"/>
        <v>0</v>
      </c>
    </row>
    <row r="22" spans="1:26" s="1858" customFormat="1" ht="26.25">
      <c r="A22" s="1885"/>
      <c r="B22" s="1908" t="s">
        <v>3167</v>
      </c>
      <c r="C22" s="2046" t="str">
        <f>'Receitas (mensais)'!D27</f>
        <v xml:space="preserve">               10% para INSPS</v>
      </c>
      <c r="D22" s="1915"/>
      <c r="E22" s="1916"/>
      <c r="F22" s="2073"/>
      <c r="G22" s="1916">
        <f>+'Receitas (mensais)'!E27</f>
        <v>0</v>
      </c>
      <c r="H22" s="1916">
        <f>+'Receitas (mensais)'!F27</f>
        <v>0</v>
      </c>
      <c r="I22" s="1916">
        <f>+'Receitas (mensais)'!G27</f>
        <v>0</v>
      </c>
      <c r="J22" s="1916">
        <f>+'Receitas (mensais)'!H27</f>
        <v>0</v>
      </c>
      <c r="K22" s="1916">
        <f>+'Receitas (mensais)'!I27</f>
        <v>0</v>
      </c>
      <c r="L22" s="1916">
        <f>+'Receitas (mensais)'!J27</f>
        <v>0</v>
      </c>
      <c r="M22" s="1916">
        <f>+'Receitas (mensais)'!K27</f>
        <v>0</v>
      </c>
      <c r="N22" s="1916">
        <f>+'Receitas (mensais)'!L27</f>
        <v>0</v>
      </c>
      <c r="O22" s="1916">
        <f>+'Receitas (mensais)'!M27</f>
        <v>0</v>
      </c>
      <c r="P22" s="1916">
        <f>+'Receitas (mensais)'!N27</f>
        <v>0</v>
      </c>
      <c r="Q22" s="1916">
        <f>+'Receitas (mensais)'!O27</f>
        <v>0</v>
      </c>
      <c r="R22" s="1916">
        <f>+'Receitas (mensais)'!P27</f>
        <v>0</v>
      </c>
      <c r="S22" s="1983">
        <f t="shared" si="10"/>
        <v>0</v>
      </c>
      <c r="T22" s="2170"/>
      <c r="U22" s="2178"/>
      <c r="V22" s="1857"/>
      <c r="W22" s="2003">
        <f t="shared" si="5"/>
        <v>0</v>
      </c>
      <c r="Y22" s="2008">
        <f t="shared" si="6"/>
        <v>0</v>
      </c>
    </row>
    <row r="23" spans="1:26" s="1858" customFormat="1" ht="26.25">
      <c r="A23" s="1885"/>
      <c r="B23" s="1908" t="s">
        <v>3168</v>
      </c>
      <c r="C23" s="2046" t="str">
        <f>'Receitas (mensais)'!D28</f>
        <v xml:space="preserve">               para o Tesouro Publico</v>
      </c>
      <c r="D23" s="1915"/>
      <c r="E23" s="1916"/>
      <c r="F23" s="2073"/>
      <c r="G23" s="1916">
        <f>+'Receitas (mensais)'!E28</f>
        <v>0</v>
      </c>
      <c r="H23" s="1916">
        <f>+'Receitas (mensais)'!F28</f>
        <v>0</v>
      </c>
      <c r="I23" s="1916">
        <f>+'Receitas (mensais)'!G28</f>
        <v>0</v>
      </c>
      <c r="J23" s="1916">
        <f>+'Receitas (mensais)'!H28</f>
        <v>0</v>
      </c>
      <c r="K23" s="1916">
        <f>+'Receitas (mensais)'!I28</f>
        <v>0</v>
      </c>
      <c r="L23" s="1916">
        <f>+'Receitas (mensais)'!J28</f>
        <v>0</v>
      </c>
      <c r="M23" s="1916">
        <f>+'Receitas (mensais)'!K28</f>
        <v>0</v>
      </c>
      <c r="N23" s="1916">
        <f>+'Receitas (mensais)'!L28</f>
        <v>0</v>
      </c>
      <c r="O23" s="1916">
        <f>+'Receitas (mensais)'!M28</f>
        <v>0</v>
      </c>
      <c r="P23" s="1916">
        <f>+'Receitas (mensais)'!N28</f>
        <v>0</v>
      </c>
      <c r="Q23" s="1916">
        <f>+'Receitas (mensais)'!O28</f>
        <v>0</v>
      </c>
      <c r="R23" s="1916">
        <f>+'Receitas (mensais)'!P28</f>
        <v>0</v>
      </c>
      <c r="S23" s="1983">
        <f t="shared" si="10"/>
        <v>0</v>
      </c>
      <c r="T23" s="2170"/>
      <c r="U23" s="2178"/>
      <c r="V23" s="1857"/>
      <c r="W23" s="2003">
        <f t="shared" si="5"/>
        <v>0</v>
      </c>
      <c r="Y23" s="2008">
        <f t="shared" si="6"/>
        <v>0</v>
      </c>
    </row>
    <row r="24" spans="1:26" s="2043" customFormat="1" ht="26.25">
      <c r="A24" s="2034"/>
      <c r="B24" s="2035" t="s">
        <v>3051</v>
      </c>
      <c r="C24" s="2036" t="str">
        <f>'Receitas (mensais)'!D30</f>
        <v>Outros impostos directos</v>
      </c>
      <c r="D24" s="2037"/>
      <c r="E24" s="2038"/>
      <c r="F24" s="2071">
        <f>F25+F26+F30</f>
        <v>1036974.4</v>
      </c>
      <c r="G24" s="2038">
        <f>G25+G26+G30</f>
        <v>82364.709999999992</v>
      </c>
      <c r="H24" s="2038">
        <f t="shared" ref="H24:R24" si="14">H25+H26+H30</f>
        <v>65523.61</v>
      </c>
      <c r="I24" s="2038">
        <f t="shared" si="14"/>
        <v>35729.979999999996</v>
      </c>
      <c r="J24" s="2038">
        <f t="shared" si="14"/>
        <v>42036.812999999995</v>
      </c>
      <c r="K24" s="2038">
        <f t="shared" si="14"/>
        <v>30662.643</v>
      </c>
      <c r="L24" s="2038">
        <f t="shared" si="14"/>
        <v>128962.63400000001</v>
      </c>
      <c r="M24" s="2038">
        <f t="shared" si="14"/>
        <v>64894.087</v>
      </c>
      <c r="N24" s="2038">
        <f t="shared" si="14"/>
        <v>20458.822</v>
      </c>
      <c r="O24" s="2038">
        <f t="shared" si="14"/>
        <v>12161.083999999999</v>
      </c>
      <c r="P24" s="2038">
        <f t="shared" si="14"/>
        <v>168228.14799999999</v>
      </c>
      <c r="Q24" s="2038">
        <f t="shared" si="14"/>
        <v>17661.347000000002</v>
      </c>
      <c r="R24" s="2038">
        <f t="shared" si="14"/>
        <v>25387.755999999994</v>
      </c>
      <c r="S24" s="2039">
        <f t="shared" ref="S24:S280" si="15">SUM(G24:R24)</f>
        <v>694071.63399999985</v>
      </c>
      <c r="T24" s="2168">
        <f>+[30]receitas2019!$BZ$17/1000</f>
        <v>694071.65700000001</v>
      </c>
      <c r="U24" s="2178">
        <f t="shared" ref="U24:U72" si="16">+S24-T24</f>
        <v>-2.3000000161118805E-2</v>
      </c>
      <c r="V24" s="2040"/>
      <c r="W24" s="2041">
        <f t="shared" si="5"/>
        <v>8.3432099290780132E-2</v>
      </c>
      <c r="X24" s="2042"/>
      <c r="Y24" s="2043">
        <f t="shared" si="6"/>
        <v>694.07163399999979</v>
      </c>
      <c r="Z24" s="2044"/>
    </row>
    <row r="25" spans="1:26" s="1858" customFormat="1" ht="26.25">
      <c r="A25" s="1885"/>
      <c r="B25" s="1908" t="s">
        <v>3053</v>
      </c>
      <c r="C25" s="2032" t="s">
        <v>805</v>
      </c>
      <c r="D25" s="1915"/>
      <c r="E25" s="1916"/>
      <c r="F25" s="2073">
        <v>661774.4</v>
      </c>
      <c r="G25" s="1916">
        <f>+'Receitas (mensais)'!E31</f>
        <v>42677.841</v>
      </c>
      <c r="H25" s="1916">
        <f>+'Receitas (mensais)'!F31</f>
        <v>50899.921999999999</v>
      </c>
      <c r="I25" s="1916">
        <f>+'Receitas (mensais)'!G31</f>
        <v>21508.032999999999</v>
      </c>
      <c r="J25" s="1916">
        <f>+'Receitas (mensais)'!H31</f>
        <v>10068.554</v>
      </c>
      <c r="K25" s="1916">
        <f>+'Receitas (mensais)'!I31</f>
        <v>25212.964</v>
      </c>
      <c r="L25" s="1916">
        <f>+'Receitas (mensais)'!J31</f>
        <v>119522.99400000001</v>
      </c>
      <c r="M25" s="1916">
        <f>+'Receitas (mensais)'!K31</f>
        <v>51708.603999999999</v>
      </c>
      <c r="N25" s="1916">
        <f>+'Receitas (mensais)'!L31</f>
        <v>14357.455</v>
      </c>
      <c r="O25" s="1916">
        <f>+'Receitas (mensais)'!M31</f>
        <v>9298.2919999999995</v>
      </c>
      <c r="P25" s="1916">
        <f>+'Receitas (mensais)'!N31</f>
        <v>159299.527</v>
      </c>
      <c r="Q25" s="1916">
        <f>+'Receitas (mensais)'!O31</f>
        <v>13054.704</v>
      </c>
      <c r="R25" s="1916">
        <f>+'Receitas (mensais)'!P31</f>
        <v>19027.504999999997</v>
      </c>
      <c r="S25" s="1983">
        <f t="shared" si="15"/>
        <v>536636.39500000002</v>
      </c>
      <c r="T25" s="2169">
        <f>+[30]receitas2019!$BZ$18/1000</f>
        <v>536636.45600000001</v>
      </c>
      <c r="U25" s="2178">
        <f t="shared" si="16"/>
        <v>-6.0999999986961484E-2</v>
      </c>
      <c r="V25" s="1857"/>
      <c r="W25" s="2003">
        <f t="shared" si="5"/>
        <v>6.4507319990383463E-2</v>
      </c>
      <c r="Y25" s="2008">
        <f t="shared" si="6"/>
        <v>536.63639499999999</v>
      </c>
    </row>
    <row r="26" spans="1:26" s="1858" customFormat="1" ht="26.25">
      <c r="A26" s="1885"/>
      <c r="B26" s="1908" t="s">
        <v>3054</v>
      </c>
      <c r="C26" s="2032" t="s">
        <v>806</v>
      </c>
      <c r="D26" s="1915"/>
      <c r="E26" s="1916"/>
      <c r="F26" s="2073">
        <f>+F27+F28+F29</f>
        <v>375200</v>
      </c>
      <c r="G26" s="1916">
        <f>+G27+G28+G29</f>
        <v>39686.868999999999</v>
      </c>
      <c r="H26" s="1916">
        <f t="shared" ref="H26:R26" si="17">+H27+H28+H29</f>
        <v>14623.688</v>
      </c>
      <c r="I26" s="1916">
        <f t="shared" si="17"/>
        <v>14221.947</v>
      </c>
      <c r="J26" s="1916">
        <f t="shared" si="17"/>
        <v>31968.258999999998</v>
      </c>
      <c r="K26" s="1916">
        <f t="shared" si="17"/>
        <v>5449.6790000000001</v>
      </c>
      <c r="L26" s="1916">
        <f t="shared" si="17"/>
        <v>9439.6400000000012</v>
      </c>
      <c r="M26" s="1916">
        <f t="shared" si="17"/>
        <v>13185.483</v>
      </c>
      <c r="N26" s="1916">
        <f t="shared" si="17"/>
        <v>6101.3669999999993</v>
      </c>
      <c r="O26" s="1916">
        <f t="shared" si="17"/>
        <v>2862.7919999999999</v>
      </c>
      <c r="P26" s="1916">
        <f t="shared" si="17"/>
        <v>8928.6209999999992</v>
      </c>
      <c r="Q26" s="1916">
        <f t="shared" si="17"/>
        <v>4606.643</v>
      </c>
      <c r="R26" s="1916">
        <f t="shared" si="17"/>
        <v>6360.2509999999984</v>
      </c>
      <c r="S26" s="1983">
        <f t="shared" si="15"/>
        <v>157435.23899999997</v>
      </c>
      <c r="T26" s="2169">
        <f>+[30]receitas2019!$BZ$19/1000</f>
        <v>157435.201</v>
      </c>
      <c r="U26" s="2178">
        <f t="shared" si="16"/>
        <v>3.7999999971361831E-2</v>
      </c>
      <c r="V26" s="1857"/>
      <c r="W26" s="2003">
        <f t="shared" si="5"/>
        <v>1.8924779300396679E-2</v>
      </c>
      <c r="Y26" s="2008">
        <f t="shared" si="6"/>
        <v>157.43523899999997</v>
      </c>
    </row>
    <row r="27" spans="1:26" s="1858" customFormat="1" ht="26.25">
      <c r="A27" s="1885"/>
      <c r="B27" s="1908" t="s">
        <v>3157</v>
      </c>
      <c r="C27" s="2059" t="str">
        <f>'Receitas (mensais)'!D33</f>
        <v xml:space="preserve">       Sisa</v>
      </c>
      <c r="D27" s="1915"/>
      <c r="E27" s="1916"/>
      <c r="F27" s="2073"/>
      <c r="G27" s="1916">
        <f>+'Receitas (mensais)'!E33</f>
        <v>39671.868999999999</v>
      </c>
      <c r="H27" s="1916">
        <f>+'Receitas (mensais)'!F33</f>
        <v>14623.688</v>
      </c>
      <c r="I27" s="1916">
        <f>+'Receitas (mensais)'!G33</f>
        <v>14221.947</v>
      </c>
      <c r="J27" s="1916">
        <f>+'Receitas (mensais)'!H33</f>
        <v>30055.625</v>
      </c>
      <c r="K27" s="1916">
        <f>+'Receitas (mensais)'!I33</f>
        <v>5449.6790000000001</v>
      </c>
      <c r="L27" s="1916">
        <f>+'Receitas (mensais)'!J33</f>
        <v>9439.6400000000012</v>
      </c>
      <c r="M27" s="1916">
        <f>+'Receitas (mensais)'!K33</f>
        <v>13185.483</v>
      </c>
      <c r="N27" s="1916">
        <f>+'Receitas (mensais)'!L33</f>
        <v>6101.3669999999993</v>
      </c>
      <c r="O27" s="1916">
        <f>+'Receitas (mensais)'!M33</f>
        <v>2862.7919999999999</v>
      </c>
      <c r="P27" s="1916">
        <f>+'Receitas (mensais)'!N33</f>
        <v>8928.6209999999992</v>
      </c>
      <c r="Q27" s="1916">
        <f>+'Receitas (mensais)'!O33</f>
        <v>4606.643</v>
      </c>
      <c r="R27" s="1916">
        <f>+'Receitas (mensais)'!P33</f>
        <v>6360.2509999999984</v>
      </c>
      <c r="S27" s="2182">
        <f t="shared" si="15"/>
        <v>155507.60500000001</v>
      </c>
      <c r="T27" s="2169"/>
      <c r="U27" s="2181"/>
      <c r="V27" s="1857"/>
      <c r="W27" s="2003">
        <f t="shared" si="5"/>
        <v>1.8693064671234525E-2</v>
      </c>
      <c r="Y27" s="2008">
        <f t="shared" si="6"/>
        <v>155.50760500000001</v>
      </c>
    </row>
    <row r="28" spans="1:26" s="1858" customFormat="1" ht="26.25">
      <c r="A28" s="1885"/>
      <c r="B28" s="1908" t="s">
        <v>3158</v>
      </c>
      <c r="C28" s="2059" t="str">
        <f>'Receitas (mensais)'!D34</f>
        <v xml:space="preserve">       Sucessões e Doações</v>
      </c>
      <c r="D28" s="1915"/>
      <c r="E28" s="1916"/>
      <c r="F28" s="2073">
        <v>375200</v>
      </c>
      <c r="G28" s="1916">
        <f>+'Receitas (mensais)'!E34</f>
        <v>15</v>
      </c>
      <c r="H28" s="1916">
        <f>+'Receitas (mensais)'!F34</f>
        <v>0</v>
      </c>
      <c r="I28" s="1916">
        <f>+'Receitas (mensais)'!G34</f>
        <v>0</v>
      </c>
      <c r="J28" s="1916">
        <f>+'Receitas (mensais)'!H34</f>
        <v>1912.634</v>
      </c>
      <c r="K28" s="1916">
        <f>+'Receitas (mensais)'!I34</f>
        <v>0</v>
      </c>
      <c r="L28" s="1916">
        <f>+'Receitas (mensais)'!J34</f>
        <v>0</v>
      </c>
      <c r="M28" s="1916">
        <f>+'Receitas (mensais)'!K34</f>
        <v>0</v>
      </c>
      <c r="N28" s="1916">
        <f>+'Receitas (mensais)'!L34</f>
        <v>0</v>
      </c>
      <c r="O28" s="1916">
        <f>+'Receitas (mensais)'!M34</f>
        <v>0</v>
      </c>
      <c r="P28" s="1916">
        <f>+'Receitas (mensais)'!N34</f>
        <v>0</v>
      </c>
      <c r="Q28" s="1916">
        <f>+'Receitas (mensais)'!O34</f>
        <v>0</v>
      </c>
      <c r="R28" s="1916">
        <f>+'Receitas (mensais)'!P34</f>
        <v>0</v>
      </c>
      <c r="S28" s="2182">
        <f t="shared" si="15"/>
        <v>1927.634</v>
      </c>
      <c r="T28" s="2169"/>
      <c r="U28" s="2181"/>
      <c r="V28" s="1857"/>
      <c r="W28" s="2003">
        <f t="shared" si="5"/>
        <v>2.3171462916215892E-4</v>
      </c>
      <c r="Y28" s="2008">
        <f t="shared" si="6"/>
        <v>1.9276340000000001</v>
      </c>
    </row>
    <row r="29" spans="1:26" s="1858" customFormat="1" ht="26.25">
      <c r="A29" s="1885"/>
      <c r="B29" s="1908" t="s">
        <v>3169</v>
      </c>
      <c r="C29" s="2059" t="str">
        <f>'Receitas (mensais)'!D35</f>
        <v xml:space="preserve">       Transações</v>
      </c>
      <c r="D29" s="1915"/>
      <c r="E29" s="1916"/>
      <c r="F29" s="2073"/>
      <c r="G29" s="1916">
        <f>+'Receitas (mensais)'!E35</f>
        <v>0</v>
      </c>
      <c r="H29" s="1916">
        <f>+'Receitas (mensais)'!F35</f>
        <v>0</v>
      </c>
      <c r="I29" s="1916">
        <f>+'Receitas (mensais)'!G35</f>
        <v>0</v>
      </c>
      <c r="J29" s="1916">
        <f>+'Receitas (mensais)'!H35</f>
        <v>0</v>
      </c>
      <c r="K29" s="1916">
        <f>+'Receitas (mensais)'!I35</f>
        <v>0</v>
      </c>
      <c r="L29" s="1916">
        <f>+'Receitas (mensais)'!J35</f>
        <v>0</v>
      </c>
      <c r="M29" s="1916">
        <f>+'Receitas (mensais)'!K35</f>
        <v>0</v>
      </c>
      <c r="N29" s="1916">
        <f>+'Receitas (mensais)'!L35</f>
        <v>0</v>
      </c>
      <c r="O29" s="1916">
        <f>+'Receitas (mensais)'!M35</f>
        <v>0</v>
      </c>
      <c r="P29" s="1916">
        <f>+'Receitas (mensais)'!N35</f>
        <v>0</v>
      </c>
      <c r="Q29" s="1916">
        <f>+'Receitas (mensais)'!O35</f>
        <v>0</v>
      </c>
      <c r="R29" s="1916">
        <f>+'Receitas (mensais)'!P35</f>
        <v>0</v>
      </c>
      <c r="S29" s="1983">
        <f t="shared" si="15"/>
        <v>0</v>
      </c>
      <c r="T29" s="2170"/>
      <c r="U29" s="2178"/>
      <c r="V29" s="1857"/>
      <c r="W29" s="2003">
        <f t="shared" si="5"/>
        <v>0</v>
      </c>
      <c r="Y29" s="2008">
        <f t="shared" si="6"/>
        <v>0</v>
      </c>
    </row>
    <row r="30" spans="1:26" s="1858" customFormat="1" ht="26.25">
      <c r="A30" s="1885"/>
      <c r="B30" s="1908" t="s">
        <v>3159</v>
      </c>
      <c r="C30" s="2032" t="str">
        <f>'Receitas (mensais)'!D36</f>
        <v>Diversos</v>
      </c>
      <c r="D30" s="1915"/>
      <c r="E30" s="1916">
        <f>SUM(E31:E35)</f>
        <v>0</v>
      </c>
      <c r="F30" s="2073">
        <f>SUM(F31:F35)</f>
        <v>0</v>
      </c>
      <c r="G30" s="1916">
        <f>SUM(G31:G35)</f>
        <v>0</v>
      </c>
      <c r="H30" s="1916">
        <f t="shared" ref="H30:R30" si="18">SUM(H31:H35)</f>
        <v>0</v>
      </c>
      <c r="I30" s="1916">
        <f t="shared" si="18"/>
        <v>0</v>
      </c>
      <c r="J30" s="1916">
        <f t="shared" si="18"/>
        <v>0</v>
      </c>
      <c r="K30" s="1916">
        <f t="shared" si="18"/>
        <v>0</v>
      </c>
      <c r="L30" s="1916">
        <f t="shared" si="18"/>
        <v>0</v>
      </c>
      <c r="M30" s="1916">
        <f t="shared" si="18"/>
        <v>0</v>
      </c>
      <c r="N30" s="1916">
        <f t="shared" si="18"/>
        <v>0</v>
      </c>
      <c r="O30" s="1916">
        <f t="shared" si="18"/>
        <v>0</v>
      </c>
      <c r="P30" s="1916">
        <f t="shared" si="18"/>
        <v>0</v>
      </c>
      <c r="Q30" s="1916">
        <f t="shared" si="18"/>
        <v>0</v>
      </c>
      <c r="R30" s="1916">
        <f t="shared" si="18"/>
        <v>0</v>
      </c>
      <c r="S30" s="1983">
        <f t="shared" si="15"/>
        <v>0</v>
      </c>
      <c r="T30" s="2170"/>
      <c r="U30" s="2178"/>
      <c r="V30" s="1857"/>
      <c r="W30" s="2003">
        <f t="shared" si="5"/>
        <v>0</v>
      </c>
      <c r="Y30" s="2008">
        <f t="shared" si="6"/>
        <v>0</v>
      </c>
    </row>
    <row r="31" spans="1:26" s="1858" customFormat="1" ht="26.25">
      <c r="A31" s="1885"/>
      <c r="B31" s="1908" t="s">
        <v>3161</v>
      </c>
      <c r="C31" s="2046" t="str">
        <f>'Receitas (mensais)'!D37</f>
        <v xml:space="preserve">              Imp./Hidroc /Produçao</v>
      </c>
      <c r="D31" s="1915"/>
      <c r="E31" s="1916" t="str">
        <f>'Receitas (mensais)'!C37</f>
        <v>01 02 99 A</v>
      </c>
      <c r="F31" s="2073" t="str">
        <f>'Receitas (mensais)'!D37</f>
        <v xml:space="preserve">              Imp./Hidroc /Produçao</v>
      </c>
      <c r="G31" s="1916">
        <f>'Receitas (mensais)'!E37</f>
        <v>0</v>
      </c>
      <c r="H31" s="1916">
        <f>'Receitas (mensais)'!F37</f>
        <v>0</v>
      </c>
      <c r="I31" s="1916">
        <f>'Receitas (mensais)'!G37</f>
        <v>0</v>
      </c>
      <c r="J31" s="1916">
        <f>'Receitas (mensais)'!H37</f>
        <v>0</v>
      </c>
      <c r="K31" s="1916">
        <f>'Receitas (mensais)'!I37</f>
        <v>0</v>
      </c>
      <c r="L31" s="1916">
        <f>'Receitas (mensais)'!J37</f>
        <v>0</v>
      </c>
      <c r="M31" s="1916">
        <f>'Receitas (mensais)'!K37</f>
        <v>0</v>
      </c>
      <c r="N31" s="1916">
        <f>'Receitas (mensais)'!L37</f>
        <v>0</v>
      </c>
      <c r="O31" s="1916">
        <f>'Receitas (mensais)'!M37</f>
        <v>0</v>
      </c>
      <c r="P31" s="1916">
        <f>'Receitas (mensais)'!N37</f>
        <v>0</v>
      </c>
      <c r="Q31" s="1916">
        <f>'Receitas (mensais)'!O37</f>
        <v>0</v>
      </c>
      <c r="R31" s="1916">
        <f>'Receitas (mensais)'!P37</f>
        <v>0</v>
      </c>
      <c r="S31" s="1983">
        <f t="shared" si="15"/>
        <v>0</v>
      </c>
      <c r="T31" s="2170"/>
      <c r="U31" s="2178"/>
      <c r="V31" s="1857"/>
      <c r="W31" s="2003">
        <f t="shared" si="5"/>
        <v>0</v>
      </c>
      <c r="Y31" s="2008">
        <f t="shared" si="6"/>
        <v>0</v>
      </c>
    </row>
    <row r="32" spans="1:26" s="1858" customFormat="1" ht="26.25">
      <c r="A32" s="1885"/>
      <c r="B32" s="1908" t="s">
        <v>3162</v>
      </c>
      <c r="C32" s="2046" t="str">
        <f>'Receitas (mensais)'!D38</f>
        <v xml:space="preserve">              Imp./Hidroc /Rendimento</v>
      </c>
      <c r="D32" s="1915"/>
      <c r="E32" s="1916" t="str">
        <f>'Receitas (mensais)'!C38</f>
        <v>01 02 99 B</v>
      </c>
      <c r="F32" s="2073" t="str">
        <f>'Receitas (mensais)'!D38</f>
        <v xml:space="preserve">              Imp./Hidroc /Rendimento</v>
      </c>
      <c r="G32" s="1916">
        <f>'Receitas (mensais)'!E38</f>
        <v>0</v>
      </c>
      <c r="H32" s="1916">
        <f>'Receitas (mensais)'!F38</f>
        <v>0</v>
      </c>
      <c r="I32" s="1916">
        <f>'Receitas (mensais)'!G38</f>
        <v>0</v>
      </c>
      <c r="J32" s="1916">
        <f>'Receitas (mensais)'!H38</f>
        <v>0</v>
      </c>
      <c r="K32" s="1916">
        <f>'Receitas (mensais)'!I38</f>
        <v>0</v>
      </c>
      <c r="L32" s="1916">
        <f>'Receitas (mensais)'!J38</f>
        <v>0</v>
      </c>
      <c r="M32" s="1916">
        <f>'Receitas (mensais)'!K38</f>
        <v>0</v>
      </c>
      <c r="N32" s="1916">
        <f>'Receitas (mensais)'!L38</f>
        <v>0</v>
      </c>
      <c r="O32" s="1916">
        <f>'Receitas (mensais)'!M38</f>
        <v>0</v>
      </c>
      <c r="P32" s="1916">
        <f>'Receitas (mensais)'!N38</f>
        <v>0</v>
      </c>
      <c r="Q32" s="1916">
        <f>'Receitas (mensais)'!O38</f>
        <v>0</v>
      </c>
      <c r="R32" s="1916">
        <f>'Receitas (mensais)'!P38</f>
        <v>0</v>
      </c>
      <c r="S32" s="1983">
        <f t="shared" si="15"/>
        <v>0</v>
      </c>
      <c r="T32" s="2170"/>
      <c r="U32" s="2178"/>
      <c r="V32" s="1857"/>
      <c r="W32" s="2003">
        <f t="shared" si="5"/>
        <v>0</v>
      </c>
      <c r="Y32" s="2008">
        <f t="shared" si="6"/>
        <v>0</v>
      </c>
    </row>
    <row r="33" spans="1:26" s="1858" customFormat="1" ht="26.25">
      <c r="A33" s="1885"/>
      <c r="B33" s="1908" t="s">
        <v>3245</v>
      </c>
      <c r="C33" s="2046" t="str">
        <f>'Receitas (mensais)'!D39</f>
        <v xml:space="preserve">              Imp./Hidroc. Suplementar</v>
      </c>
      <c r="D33" s="1915"/>
      <c r="E33" s="1916" t="str">
        <f>'Receitas (mensais)'!C39</f>
        <v>01 02 99 C</v>
      </c>
      <c r="F33" s="2073" t="str">
        <f>'Receitas (mensais)'!D39</f>
        <v xml:space="preserve">              Imp./Hidroc. Suplementar</v>
      </c>
      <c r="G33" s="1916">
        <f>'Receitas (mensais)'!E39</f>
        <v>0</v>
      </c>
      <c r="H33" s="1916">
        <f>'Receitas (mensais)'!F39</f>
        <v>0</v>
      </c>
      <c r="I33" s="1916">
        <f>'Receitas (mensais)'!G39</f>
        <v>0</v>
      </c>
      <c r="J33" s="1916">
        <f>'Receitas (mensais)'!H39</f>
        <v>0</v>
      </c>
      <c r="K33" s="1916">
        <f>'Receitas (mensais)'!I39</f>
        <v>0</v>
      </c>
      <c r="L33" s="1916">
        <f>'Receitas (mensais)'!J39</f>
        <v>0</v>
      </c>
      <c r="M33" s="1916">
        <f>'Receitas (mensais)'!K39</f>
        <v>0</v>
      </c>
      <c r="N33" s="1916">
        <f>'Receitas (mensais)'!L39</f>
        <v>0</v>
      </c>
      <c r="O33" s="1916">
        <f>'Receitas (mensais)'!M39</f>
        <v>0</v>
      </c>
      <c r="P33" s="1916">
        <f>'Receitas (mensais)'!N39</f>
        <v>0</v>
      </c>
      <c r="Q33" s="1916">
        <f>'Receitas (mensais)'!O39</f>
        <v>0</v>
      </c>
      <c r="R33" s="1916">
        <f>'Receitas (mensais)'!P39</f>
        <v>0</v>
      </c>
      <c r="S33" s="1983">
        <f t="shared" si="15"/>
        <v>0</v>
      </c>
      <c r="T33" s="2170"/>
      <c r="U33" s="2178"/>
      <c r="V33" s="1857"/>
      <c r="W33" s="2003">
        <f t="shared" si="5"/>
        <v>0</v>
      </c>
      <c r="Y33" s="2008">
        <f t="shared" si="6"/>
        <v>0</v>
      </c>
    </row>
    <row r="34" spans="1:26" s="1858" customFormat="1" ht="26.25">
      <c r="A34" s="1885"/>
      <c r="B34" s="1908" t="s">
        <v>3246</v>
      </c>
      <c r="C34" s="2046" t="str">
        <f>'Receitas (mensais)'!D40</f>
        <v xml:space="preserve">              Imp./circul veiculos auto</v>
      </c>
      <c r="D34" s="1915"/>
      <c r="E34" s="1916" t="str">
        <f>'Receitas (mensais)'!C40</f>
        <v>01 02 99 D</v>
      </c>
      <c r="F34" s="2073" t="str">
        <f>'Receitas (mensais)'!D40</f>
        <v xml:space="preserve">              Imp./circul veiculos auto</v>
      </c>
      <c r="G34" s="1916">
        <f>'Receitas (mensais)'!E40</f>
        <v>0</v>
      </c>
      <c r="H34" s="1916">
        <f>'Receitas (mensais)'!F40</f>
        <v>0</v>
      </c>
      <c r="I34" s="1916">
        <f>'Receitas (mensais)'!G40</f>
        <v>0</v>
      </c>
      <c r="J34" s="1916">
        <f>'Receitas (mensais)'!H40</f>
        <v>0</v>
      </c>
      <c r="K34" s="1916">
        <f>'Receitas (mensais)'!I40</f>
        <v>0</v>
      </c>
      <c r="L34" s="1916">
        <f>'Receitas (mensais)'!J40</f>
        <v>0</v>
      </c>
      <c r="M34" s="1916">
        <f>'Receitas (mensais)'!K40</f>
        <v>0</v>
      </c>
      <c r="N34" s="1916">
        <f>'Receitas (mensais)'!L40</f>
        <v>0</v>
      </c>
      <c r="O34" s="1916">
        <f>'Receitas (mensais)'!M40</f>
        <v>0</v>
      </c>
      <c r="P34" s="1916">
        <f>'Receitas (mensais)'!N40</f>
        <v>0</v>
      </c>
      <c r="Q34" s="1916">
        <f>'Receitas (mensais)'!O40</f>
        <v>0</v>
      </c>
      <c r="R34" s="1916">
        <f>'Receitas (mensais)'!P40</f>
        <v>0</v>
      </c>
      <c r="S34" s="1983">
        <f t="shared" si="15"/>
        <v>0</v>
      </c>
      <c r="T34" s="2170"/>
      <c r="U34" s="2178"/>
      <c r="V34" s="1857"/>
      <c r="W34" s="2003">
        <f t="shared" si="5"/>
        <v>0</v>
      </c>
      <c r="Y34" s="2008">
        <f t="shared" si="6"/>
        <v>0</v>
      </c>
    </row>
    <row r="35" spans="1:26" s="1858" customFormat="1" ht="26.25">
      <c r="A35" s="1885"/>
      <c r="B35" s="1908" t="s">
        <v>3247</v>
      </c>
      <c r="C35" s="2046" t="str">
        <f>'Receitas (mensais)'!D41</f>
        <v xml:space="preserve">              Imp. Directos Extintos</v>
      </c>
      <c r="D35" s="1915"/>
      <c r="E35" s="1916" t="str">
        <f>'Receitas (mensais)'!C41</f>
        <v>01 02 99 E</v>
      </c>
      <c r="F35" s="2073" t="str">
        <f>'Receitas (mensais)'!D41</f>
        <v xml:space="preserve">              Imp. Directos Extintos</v>
      </c>
      <c r="G35" s="1916">
        <f>'Receitas (mensais)'!E41</f>
        <v>0</v>
      </c>
      <c r="H35" s="1916">
        <f>'Receitas (mensais)'!F41</f>
        <v>0</v>
      </c>
      <c r="I35" s="1916">
        <f>'Receitas (mensais)'!G41</f>
        <v>0</v>
      </c>
      <c r="J35" s="1916">
        <f>'Receitas (mensais)'!H41</f>
        <v>0</v>
      </c>
      <c r="K35" s="1916">
        <f>'Receitas (mensais)'!I41</f>
        <v>0</v>
      </c>
      <c r="L35" s="1916">
        <f>'Receitas (mensais)'!J41</f>
        <v>0</v>
      </c>
      <c r="M35" s="1916">
        <f>'Receitas (mensais)'!K41</f>
        <v>0</v>
      </c>
      <c r="N35" s="1916">
        <f>'Receitas (mensais)'!L41</f>
        <v>0</v>
      </c>
      <c r="O35" s="1916">
        <f>'Receitas (mensais)'!M41</f>
        <v>0</v>
      </c>
      <c r="P35" s="1916">
        <f>'Receitas (mensais)'!N41</f>
        <v>0</v>
      </c>
      <c r="Q35" s="1916">
        <f>'Receitas (mensais)'!O41</f>
        <v>0</v>
      </c>
      <c r="R35" s="1916">
        <f>'Receitas (mensais)'!P41</f>
        <v>0</v>
      </c>
      <c r="S35" s="1983">
        <f t="shared" si="15"/>
        <v>0</v>
      </c>
      <c r="T35" s="2170"/>
      <c r="U35" s="2178"/>
      <c r="V35" s="1857"/>
      <c r="W35" s="2003">
        <f t="shared" si="5"/>
        <v>0</v>
      </c>
      <c r="Y35" s="2008">
        <f t="shared" si="6"/>
        <v>0</v>
      </c>
    </row>
    <row r="36" spans="1:26" s="2056" customFormat="1" ht="26.25">
      <c r="A36" s="2047"/>
      <c r="B36" s="2048" t="s">
        <v>414</v>
      </c>
      <c r="C36" s="2049" t="s">
        <v>3248</v>
      </c>
      <c r="D36" s="2050"/>
      <c r="E36" s="2051">
        <f>+'[28]Receitas (mensais)'!$Q$42</f>
        <v>54032306.854000002</v>
      </c>
      <c r="F36" s="2070">
        <f>+F37+F54+F64+F79</f>
        <v>67978851.693000004</v>
      </c>
      <c r="G36" s="2052">
        <f>+G37+G54+G64+G79</f>
        <v>3276604.077</v>
      </c>
      <c r="H36" s="2052">
        <f t="shared" ref="H36:R36" si="19">+H37+H54+H64+H79</f>
        <v>3930718.7149999999</v>
      </c>
      <c r="I36" s="2202">
        <f t="shared" si="19"/>
        <v>3683130.2589999996</v>
      </c>
      <c r="J36" s="2052">
        <f t="shared" si="19"/>
        <v>3341045.412</v>
      </c>
      <c r="K36" s="2052">
        <f t="shared" si="19"/>
        <v>4945356.3110000007</v>
      </c>
      <c r="L36" s="2052">
        <f t="shared" si="19"/>
        <v>6444056.3390000006</v>
      </c>
      <c r="M36" s="2052">
        <f t="shared" si="19"/>
        <v>6103873.2140000006</v>
      </c>
      <c r="N36" s="2052">
        <f t="shared" si="19"/>
        <v>4403614.2952400008</v>
      </c>
      <c r="O36" s="2052">
        <f t="shared" si="19"/>
        <v>3880838.3019999997</v>
      </c>
      <c r="P36" s="2052">
        <f t="shared" si="19"/>
        <v>4238373.9919999996</v>
      </c>
      <c r="Q36" s="2052">
        <f t="shared" si="19"/>
        <v>3153706.2319999998</v>
      </c>
      <c r="R36" s="2052">
        <f t="shared" si="19"/>
        <v>3638968.3030000003</v>
      </c>
      <c r="S36" s="2051">
        <f t="shared" si="15"/>
        <v>51040285.451240011</v>
      </c>
      <c r="T36" s="2167">
        <f>+[30]receitas2019!$BZ$22/1000</f>
        <v>51040287.391000003</v>
      </c>
      <c r="U36" s="2178">
        <f>+S36-T36</f>
        <v>-1.9397599920630455</v>
      </c>
      <c r="V36" s="2053"/>
      <c r="W36" s="2054"/>
      <c r="X36" s="2055"/>
      <c r="Y36" s="2056">
        <f t="shared" si="6"/>
        <v>51040.285451240008</v>
      </c>
      <c r="Z36" s="2057"/>
    </row>
    <row r="37" spans="1:26" s="2043" customFormat="1" ht="26.25">
      <c r="A37" s="2034"/>
      <c r="B37" s="2035" t="s">
        <v>3164</v>
      </c>
      <c r="C37" s="2036" t="str">
        <f>'Receitas (mensais)'!D43</f>
        <v>Impostos s/Transacçoes Intern.</v>
      </c>
      <c r="D37" s="2037"/>
      <c r="E37" s="2038"/>
      <c r="F37" s="2071">
        <f>+F38+F42+F43+F44+F49+F50</f>
        <v>26999378.606000002</v>
      </c>
      <c r="G37" s="2038">
        <f>+G38+G42+G43+G44+G49+G50</f>
        <v>934519.37199999997</v>
      </c>
      <c r="H37" s="2038">
        <f t="shared" ref="H37:R37" si="20">+H38+H42+H43+H44+H49+H50</f>
        <v>1263569.7320000001</v>
      </c>
      <c r="I37" s="2038">
        <f t="shared" si="20"/>
        <v>1156892.848</v>
      </c>
      <c r="J37" s="2038">
        <f t="shared" si="20"/>
        <v>926037.97600000002</v>
      </c>
      <c r="K37" s="2038">
        <f t="shared" si="20"/>
        <v>2159246.98</v>
      </c>
      <c r="L37" s="2038">
        <f t="shared" si="20"/>
        <v>3440013.4730000002</v>
      </c>
      <c r="M37" s="2038">
        <f t="shared" si="20"/>
        <v>3096572.8759999997</v>
      </c>
      <c r="N37" s="2038">
        <f t="shared" si="20"/>
        <v>1828954.9090000002</v>
      </c>
      <c r="O37" s="2038">
        <f t="shared" si="20"/>
        <v>1354387.5929999999</v>
      </c>
      <c r="P37" s="2038">
        <f t="shared" si="20"/>
        <v>1317474.9680000001</v>
      </c>
      <c r="Q37" s="2038">
        <f t="shared" si="20"/>
        <v>774397.25800000003</v>
      </c>
      <c r="R37" s="2038">
        <f t="shared" si="20"/>
        <v>1079708.5520000001</v>
      </c>
      <c r="S37" s="2039">
        <f t="shared" si="15"/>
        <v>19331776.537000004</v>
      </c>
      <c r="T37" s="2168">
        <f>+[30]receitas2019!$BZ$23/1000</f>
        <v>19331776.537</v>
      </c>
      <c r="U37" s="2178">
        <f>+S37-T37</f>
        <v>0</v>
      </c>
      <c r="V37" s="2040"/>
      <c r="W37" s="2041"/>
      <c r="X37" s="2042"/>
      <c r="Y37" s="2043">
        <f t="shared" si="6"/>
        <v>19331.776537000005</v>
      </c>
      <c r="Z37" s="2044"/>
    </row>
    <row r="38" spans="1:26" s="1858" customFormat="1" ht="26.25">
      <c r="A38" s="1885"/>
      <c r="B38" s="1908" t="s">
        <v>3171</v>
      </c>
      <c r="C38" s="2032" t="s">
        <v>3293</v>
      </c>
      <c r="D38" s="1915"/>
      <c r="E38" s="1916"/>
      <c r="F38" s="2073">
        <f>SUM(F39:F41)</f>
        <v>17052214.486000001</v>
      </c>
      <c r="G38" s="1916">
        <f>SUM(G39:G41)</f>
        <v>807120.74300000002</v>
      </c>
      <c r="H38" s="1916">
        <f t="shared" ref="H38:R38" si="21">SUM(H39:H41)</f>
        <v>1054923.3689999999</v>
      </c>
      <c r="I38" s="1916">
        <f t="shared" si="21"/>
        <v>970267.11399999994</v>
      </c>
      <c r="J38" s="1916">
        <f t="shared" si="21"/>
        <v>803018.07500000007</v>
      </c>
      <c r="K38" s="1916">
        <f t="shared" si="21"/>
        <v>1210067.142</v>
      </c>
      <c r="L38" s="1916">
        <f t="shared" si="21"/>
        <v>942069.34700000007</v>
      </c>
      <c r="M38" s="1916">
        <f t="shared" si="21"/>
        <v>961435.0689999999</v>
      </c>
      <c r="N38" s="1916">
        <f t="shared" si="21"/>
        <v>764205.14400000009</v>
      </c>
      <c r="O38" s="1916">
        <f t="shared" si="21"/>
        <v>873608.23699999996</v>
      </c>
      <c r="P38" s="1916">
        <f t="shared" si="21"/>
        <v>1042581.4680000001</v>
      </c>
      <c r="Q38" s="1916">
        <f t="shared" si="21"/>
        <v>677007.04300000006</v>
      </c>
      <c r="R38" s="1916">
        <f t="shared" si="21"/>
        <v>905389.10400000005</v>
      </c>
      <c r="S38" s="1980">
        <f t="shared" si="15"/>
        <v>11011691.855</v>
      </c>
      <c r="T38" s="2169">
        <f>+[30]receitas2019!$BZ$24/1000</f>
        <v>11011691.855</v>
      </c>
      <c r="U38" s="2178">
        <f t="shared" si="16"/>
        <v>0</v>
      </c>
      <c r="V38" s="1857"/>
      <c r="W38" s="2003"/>
      <c r="Y38" s="2008">
        <f t="shared" si="6"/>
        <v>11011.691855000001</v>
      </c>
    </row>
    <row r="39" spans="1:26" s="1858" customFormat="1" ht="26.25">
      <c r="A39" s="1885"/>
      <c r="B39" s="1908" t="s">
        <v>3173</v>
      </c>
      <c r="C39" s="2046" t="str">
        <f>'Receitas (mensais)'!D45</f>
        <v xml:space="preserve">             s/Combustivel</v>
      </c>
      <c r="D39" s="1915"/>
      <c r="E39" s="1916"/>
      <c r="F39" s="2073">
        <v>2017490.0260000001</v>
      </c>
      <c r="G39" s="1916">
        <f>'Receitas (mensais)'!E45</f>
        <v>103328.04700000001</v>
      </c>
      <c r="H39" s="1916">
        <f>'Receitas (mensais)'!F45</f>
        <v>66121.430999999997</v>
      </c>
      <c r="I39" s="1916">
        <f>'Receitas (mensais)'!G45</f>
        <v>76276.698999999993</v>
      </c>
      <c r="J39" s="1916">
        <f>'Receitas (mensais)'!H45</f>
        <v>85359.816999999995</v>
      </c>
      <c r="K39" s="1916">
        <f>'Receitas (mensais)'!I45</f>
        <v>109138.143</v>
      </c>
      <c r="L39" s="1916">
        <f>'Receitas (mensais)'!J45</f>
        <v>79478.796000000002</v>
      </c>
      <c r="M39" s="1916">
        <f>'Receitas (mensais)'!K45</f>
        <v>104706.045</v>
      </c>
      <c r="N39" s="1916">
        <f>'Receitas (mensais)'!L45</f>
        <v>93683.191999999995</v>
      </c>
      <c r="O39" s="1916">
        <f>'Receitas (mensais)'!M45</f>
        <v>107086.446</v>
      </c>
      <c r="P39" s="1916">
        <f>'Receitas (mensais)'!N45</f>
        <v>98082.49</v>
      </c>
      <c r="Q39" s="1916">
        <f>'Receitas (mensais)'!O45</f>
        <v>94958.611000000004</v>
      </c>
      <c r="R39" s="1916">
        <f>'Receitas (mensais)'!P45</f>
        <v>74038.801000000007</v>
      </c>
      <c r="S39" s="1980">
        <f t="shared" si="15"/>
        <v>1092258.5180000002</v>
      </c>
      <c r="T39" s="2169"/>
      <c r="U39" s="2178"/>
      <c r="V39" s="1857"/>
      <c r="W39" s="2003"/>
      <c r="Y39" s="2008">
        <f t="shared" si="6"/>
        <v>1092.2585180000001</v>
      </c>
    </row>
    <row r="40" spans="1:26" s="1858" customFormat="1" ht="26.25">
      <c r="A40" s="1885"/>
      <c r="B40" s="1908" t="s">
        <v>3174</v>
      </c>
      <c r="C40" s="2046" t="str">
        <f>'Receitas (mensais)'!D46</f>
        <v xml:space="preserve">             s/Arroz</v>
      </c>
      <c r="D40" s="1915"/>
      <c r="E40" s="1916"/>
      <c r="F40" s="2073">
        <v>2299448.2850000001</v>
      </c>
      <c r="G40" s="1916">
        <f>'Receitas (mensais)'!E46</f>
        <v>174630.39199999999</v>
      </c>
      <c r="H40" s="1916">
        <f>'Receitas (mensais)'!F46</f>
        <v>175065.84700000001</v>
      </c>
      <c r="I40" s="1916">
        <f>'Receitas (mensais)'!G46</f>
        <v>177459.10699999999</v>
      </c>
      <c r="J40" s="1916">
        <f>'Receitas (mensais)'!H46</f>
        <v>83532.997000000003</v>
      </c>
      <c r="K40" s="1916">
        <f>'Receitas (mensais)'!I46</f>
        <v>244559.45199999999</v>
      </c>
      <c r="L40" s="1916">
        <f>'Receitas (mensais)'!J46</f>
        <v>125811.65399999999</v>
      </c>
      <c r="M40" s="1916">
        <f>'Receitas (mensais)'!K46</f>
        <v>118612.28</v>
      </c>
      <c r="N40" s="1916">
        <f>'Receitas (mensais)'!L46</f>
        <v>154990.69200000001</v>
      </c>
      <c r="O40" s="1916">
        <f>'Receitas (mensais)'!M46</f>
        <v>105027.40399999999</v>
      </c>
      <c r="P40" s="1916">
        <f>'Receitas (mensais)'!N46</f>
        <v>177853.671</v>
      </c>
      <c r="Q40" s="1916">
        <f>'Receitas (mensais)'!O46</f>
        <v>58874.154000000002</v>
      </c>
      <c r="R40" s="1916">
        <f>'Receitas (mensais)'!P46</f>
        <v>74439.854000000007</v>
      </c>
      <c r="S40" s="1980">
        <f t="shared" si="15"/>
        <v>1670857.5040000002</v>
      </c>
      <c r="T40" s="2169"/>
      <c r="U40" s="2178"/>
      <c r="V40" s="1857"/>
      <c r="W40" s="2003"/>
      <c r="Y40" s="2008">
        <f t="shared" si="6"/>
        <v>1670.8575040000003</v>
      </c>
    </row>
    <row r="41" spans="1:26" s="1855" customFormat="1" ht="26.25">
      <c r="A41" s="1884" t="s">
        <v>667</v>
      </c>
      <c r="B41" s="1908" t="s">
        <v>3175</v>
      </c>
      <c r="C41" s="2046" t="str">
        <f>'Receitas (mensais)'!D47</f>
        <v xml:space="preserve">            s/Outras importaçoes</v>
      </c>
      <c r="D41" s="1910"/>
      <c r="E41" s="1916"/>
      <c r="F41" s="2073">
        <v>12735276.175000001</v>
      </c>
      <c r="G41" s="1916">
        <f>'Receitas (mensais)'!E47</f>
        <v>529162.304</v>
      </c>
      <c r="H41" s="1916">
        <f>'Receitas (mensais)'!F47</f>
        <v>813736.09100000001</v>
      </c>
      <c r="I41" s="1916">
        <f>'Receitas (mensais)'!G47</f>
        <v>716531.30799999996</v>
      </c>
      <c r="J41" s="1916">
        <f>'Receitas (mensais)'!H47</f>
        <v>634125.26100000006</v>
      </c>
      <c r="K41" s="1916">
        <f>'Receitas (mensais)'!I47</f>
        <v>856369.54700000002</v>
      </c>
      <c r="L41" s="1916">
        <f>'Receitas (mensais)'!J47</f>
        <v>736778.897</v>
      </c>
      <c r="M41" s="1916">
        <f>'Receitas (mensais)'!K47</f>
        <v>738116.74399999995</v>
      </c>
      <c r="N41" s="1916">
        <f>'Receitas (mensais)'!L47</f>
        <v>515531.26</v>
      </c>
      <c r="O41" s="1916">
        <f>'Receitas (mensais)'!M47</f>
        <v>661494.38699999999</v>
      </c>
      <c r="P41" s="1916">
        <f>'Receitas (mensais)'!N47</f>
        <v>766645.30700000003</v>
      </c>
      <c r="Q41" s="1916">
        <f>'Receitas (mensais)'!O47</f>
        <v>523174.27799999999</v>
      </c>
      <c r="R41" s="1916">
        <f>'Receitas (mensais)'!P47</f>
        <v>756910.44900000002</v>
      </c>
      <c r="S41" s="1980">
        <f t="shared" si="15"/>
        <v>8248575.8329999996</v>
      </c>
      <c r="T41" s="2169"/>
      <c r="U41" s="2178"/>
      <c r="V41" s="1854"/>
      <c r="W41" s="2003"/>
      <c r="Y41" s="2008">
        <f t="shared" si="6"/>
        <v>8248.575832999999</v>
      </c>
    </row>
    <row r="42" spans="1:26" s="1858" customFormat="1" ht="26.25">
      <c r="A42" s="1885"/>
      <c r="B42" s="1918" t="s">
        <v>3172</v>
      </c>
      <c r="C42" s="2032" t="str">
        <f>'Receitas (mensais)'!D49</f>
        <v>Direitos de exportaçao</v>
      </c>
      <c r="D42" s="1915"/>
      <c r="E42" s="1916"/>
      <c r="F42" s="2073"/>
      <c r="G42" s="1916">
        <f>'Receitas (mensais)'!E49</f>
        <v>0</v>
      </c>
      <c r="H42" s="1916">
        <f>'Receitas (mensais)'!F49</f>
        <v>0</v>
      </c>
      <c r="I42" s="1916">
        <f>'Receitas (mensais)'!G49</f>
        <v>0</v>
      </c>
      <c r="J42" s="1916">
        <f>'Receitas (mensais)'!H49</f>
        <v>0</v>
      </c>
      <c r="K42" s="1916">
        <f>'Receitas (mensais)'!I49</f>
        <v>0</v>
      </c>
      <c r="L42" s="1916">
        <f>'Receitas (mensais)'!J49</f>
        <v>0</v>
      </c>
      <c r="M42" s="1916">
        <f>'Receitas (mensais)'!K49</f>
        <v>0</v>
      </c>
      <c r="N42" s="1916">
        <f>'Receitas (mensais)'!L49</f>
        <v>0</v>
      </c>
      <c r="O42" s="1916">
        <f>'Receitas (mensais)'!M49</f>
        <v>0</v>
      </c>
      <c r="P42" s="1916">
        <f>'Receitas (mensais)'!N49</f>
        <v>0</v>
      </c>
      <c r="Q42" s="1916">
        <f>'Receitas (mensais)'!O49</f>
        <v>0</v>
      </c>
      <c r="R42" s="1916">
        <f>'Receitas (mensais)'!P49</f>
        <v>0</v>
      </c>
      <c r="S42" s="1980">
        <f t="shared" si="15"/>
        <v>0</v>
      </c>
      <c r="T42" s="2169"/>
      <c r="U42" s="2178">
        <f t="shared" si="16"/>
        <v>0</v>
      </c>
      <c r="V42" s="1857"/>
      <c r="W42" s="2003"/>
      <c r="Y42" s="2008">
        <f t="shared" si="6"/>
        <v>0</v>
      </c>
    </row>
    <row r="43" spans="1:26" s="1855" customFormat="1" ht="26.25">
      <c r="A43" s="1884"/>
      <c r="B43" s="1918" t="s">
        <v>3176</v>
      </c>
      <c r="C43" s="2032" t="str">
        <f>'Receitas (mensais)'!D50</f>
        <v>Imposto extraordinario/castanha caju</v>
      </c>
      <c r="D43" s="1910"/>
      <c r="E43" s="1916"/>
      <c r="F43" s="2073">
        <v>7820146.9730000002</v>
      </c>
      <c r="G43" s="1916">
        <f>'Receitas (mensais)'!E50</f>
        <v>0</v>
      </c>
      <c r="H43" s="1916">
        <f>'Receitas (mensais)'!F50</f>
        <v>21394.312999999998</v>
      </c>
      <c r="I43" s="1916">
        <f>'Receitas (mensais)'!G50</f>
        <v>0</v>
      </c>
      <c r="J43" s="1916">
        <f>'Receitas (mensais)'!H50</f>
        <v>1001.449</v>
      </c>
      <c r="K43" s="1916">
        <f>'Receitas (mensais)'!I50</f>
        <v>748753.99199999997</v>
      </c>
      <c r="L43" s="1916">
        <f>'Receitas (mensais)'!J50</f>
        <v>2358374.6260000002</v>
      </c>
      <c r="M43" s="1916">
        <f>'Receitas (mensais)'!K50</f>
        <v>1974911.254</v>
      </c>
      <c r="N43" s="1916">
        <f>'Receitas (mensais)'!L50</f>
        <v>947127.93099999998</v>
      </c>
      <c r="O43" s="1916">
        <f>'Receitas (mensais)'!M50</f>
        <v>317895.61099999998</v>
      </c>
      <c r="P43" s="1916">
        <f>'Receitas (mensais)'!N50</f>
        <v>107037.03599999999</v>
      </c>
      <c r="Q43" s="1916">
        <f>'Receitas (mensais)'!O50</f>
        <v>5403.5410000000002</v>
      </c>
      <c r="R43" s="1916">
        <f>'Receitas (mensais)'!P50</f>
        <v>33555.9</v>
      </c>
      <c r="S43" s="1980">
        <f t="shared" si="15"/>
        <v>6515455.6529999999</v>
      </c>
      <c r="T43" s="2169">
        <f>+[30]receitas2019!$BZ$28/1000</f>
        <v>6515455.6529999999</v>
      </c>
      <c r="U43" s="2178">
        <f t="shared" si="16"/>
        <v>0</v>
      </c>
      <c r="V43" s="1854"/>
      <c r="W43" s="2003"/>
      <c r="Y43" s="2008">
        <f t="shared" si="6"/>
        <v>6515.455653</v>
      </c>
    </row>
    <row r="44" spans="1:26" s="1855" customFormat="1" ht="26.25">
      <c r="A44" s="1884"/>
      <c r="B44" s="1918" t="s">
        <v>3177</v>
      </c>
      <c r="C44" s="2032" t="str">
        <f>'Receitas (mensais)'!D51</f>
        <v>Serviços aduaneiros</v>
      </c>
      <c r="D44" s="1910"/>
      <c r="E44" s="1912">
        <f>SUM(E45:E48)</f>
        <v>0</v>
      </c>
      <c r="F44" s="2072">
        <f>SUM(F45:F48)</f>
        <v>0</v>
      </c>
      <c r="G44" s="1912">
        <f>SUM(G45:G48)</f>
        <v>0</v>
      </c>
      <c r="H44" s="1912">
        <f t="shared" ref="H44:R44" si="22">SUM(H45:H48)</f>
        <v>0</v>
      </c>
      <c r="I44" s="1912">
        <f t="shared" si="22"/>
        <v>0</v>
      </c>
      <c r="J44" s="1912">
        <f t="shared" si="22"/>
        <v>0</v>
      </c>
      <c r="K44" s="1912">
        <f>SUM(K45:K48)</f>
        <v>0</v>
      </c>
      <c r="L44" s="1912">
        <f t="shared" si="22"/>
        <v>0</v>
      </c>
      <c r="M44" s="1912">
        <f t="shared" si="22"/>
        <v>220.40199999999999</v>
      </c>
      <c r="N44" s="1912">
        <f t="shared" si="22"/>
        <v>793.44600000000003</v>
      </c>
      <c r="O44" s="1912">
        <f t="shared" si="22"/>
        <v>0</v>
      </c>
      <c r="P44" s="1912">
        <f t="shared" si="22"/>
        <v>0</v>
      </c>
      <c r="Q44" s="1912">
        <f t="shared" si="22"/>
        <v>0</v>
      </c>
      <c r="R44" s="1912">
        <f t="shared" si="22"/>
        <v>0</v>
      </c>
      <c r="S44" s="1980">
        <f t="shared" si="15"/>
        <v>1013.848</v>
      </c>
      <c r="T44" s="2169">
        <f>+[30]receitas2019!$BZ$29/1000</f>
        <v>1013.848</v>
      </c>
      <c r="U44" s="2178">
        <f t="shared" si="16"/>
        <v>0</v>
      </c>
      <c r="V44" s="1854"/>
      <c r="W44" s="2003"/>
      <c r="Y44" s="2008">
        <f t="shared" si="6"/>
        <v>1.0138479999999999</v>
      </c>
    </row>
    <row r="45" spans="1:26" s="1855" customFormat="1" ht="26.25">
      <c r="A45" s="1884"/>
      <c r="B45" s="1918" t="s">
        <v>3179</v>
      </c>
      <c r="C45" s="2046" t="str">
        <f>'Receitas (mensais)'!D52</f>
        <v xml:space="preserve">           Arroz</v>
      </c>
      <c r="D45" s="1910"/>
      <c r="E45" s="1912"/>
      <c r="F45" s="2072"/>
      <c r="G45" s="1912">
        <f>'Receitas (mensais)'!E52</f>
        <v>0</v>
      </c>
      <c r="H45" s="1912">
        <f>'Receitas (mensais)'!F52</f>
        <v>0</v>
      </c>
      <c r="I45" s="1912">
        <f>'Receitas (mensais)'!G52</f>
        <v>0</v>
      </c>
      <c r="J45" s="1912">
        <f>'Receitas (mensais)'!H52</f>
        <v>0</v>
      </c>
      <c r="K45" s="1912">
        <f>'Receitas (mensais)'!I52</f>
        <v>0</v>
      </c>
      <c r="L45" s="1912">
        <f>'Receitas (mensais)'!J52</f>
        <v>0</v>
      </c>
      <c r="M45" s="1912">
        <f>'Receitas (mensais)'!K52</f>
        <v>0</v>
      </c>
      <c r="N45" s="1912">
        <f>'Receitas (mensais)'!L52</f>
        <v>0</v>
      </c>
      <c r="O45" s="1912">
        <f>'Receitas (mensais)'!M52</f>
        <v>0</v>
      </c>
      <c r="P45" s="1912">
        <f>'Receitas (mensais)'!N52</f>
        <v>0</v>
      </c>
      <c r="Q45" s="1912">
        <f>'Receitas (mensais)'!O52</f>
        <v>0</v>
      </c>
      <c r="R45" s="1912">
        <f>'Receitas (mensais)'!P52</f>
        <v>0</v>
      </c>
      <c r="S45" s="1980">
        <f t="shared" si="15"/>
        <v>0</v>
      </c>
      <c r="T45" s="2169"/>
      <c r="U45" s="2178">
        <f t="shared" si="16"/>
        <v>0</v>
      </c>
      <c r="V45" s="1854"/>
      <c r="W45" s="2003"/>
      <c r="Y45" s="2008">
        <f t="shared" si="6"/>
        <v>0</v>
      </c>
    </row>
    <row r="46" spans="1:26" s="1855" customFormat="1" ht="26.25">
      <c r="A46" s="1884"/>
      <c r="B46" s="1918" t="s">
        <v>3180</v>
      </c>
      <c r="C46" s="2046" t="str">
        <f>'Receitas (mensais)'!D53</f>
        <v xml:space="preserve">          Combustivel</v>
      </c>
      <c r="D46" s="1910"/>
      <c r="E46" s="1912"/>
      <c r="F46" s="2072"/>
      <c r="G46" s="1912">
        <f>'Receitas (mensais)'!E53</f>
        <v>0</v>
      </c>
      <c r="H46" s="1912">
        <f>'Receitas (mensais)'!F53</f>
        <v>0</v>
      </c>
      <c r="I46" s="1912">
        <f>'Receitas (mensais)'!G53</f>
        <v>0</v>
      </c>
      <c r="J46" s="1912">
        <f>'Receitas (mensais)'!H53</f>
        <v>0</v>
      </c>
      <c r="K46" s="1912">
        <f>'Receitas (mensais)'!I53</f>
        <v>0</v>
      </c>
      <c r="L46" s="1912">
        <f>'Receitas (mensais)'!J53</f>
        <v>0</v>
      </c>
      <c r="M46" s="1912">
        <f>'Receitas (mensais)'!K53</f>
        <v>0</v>
      </c>
      <c r="N46" s="1912">
        <f>'Receitas (mensais)'!L53</f>
        <v>0</v>
      </c>
      <c r="O46" s="1912">
        <f>'Receitas (mensais)'!M53</f>
        <v>0</v>
      </c>
      <c r="P46" s="1912">
        <f>'Receitas (mensais)'!N53</f>
        <v>0</v>
      </c>
      <c r="Q46" s="1912">
        <f>'Receitas (mensais)'!O53</f>
        <v>0</v>
      </c>
      <c r="R46" s="1912">
        <f>'Receitas (mensais)'!P53</f>
        <v>0</v>
      </c>
      <c r="S46" s="1980">
        <f t="shared" si="15"/>
        <v>0</v>
      </c>
      <c r="T46" s="2169"/>
      <c r="U46" s="2178">
        <f t="shared" si="16"/>
        <v>0</v>
      </c>
      <c r="V46" s="1854"/>
      <c r="W46" s="2003"/>
      <c r="Y46" s="2008">
        <f t="shared" si="6"/>
        <v>0</v>
      </c>
    </row>
    <row r="47" spans="1:26" s="1855" customFormat="1" ht="26.25">
      <c r="A47" s="1884"/>
      <c r="B47" s="1918" t="s">
        <v>3181</v>
      </c>
      <c r="C47" s="2046" t="str">
        <f>'Receitas (mensais)'!D54</f>
        <v xml:space="preserve">          Exportaçao</v>
      </c>
      <c r="D47" s="1910"/>
      <c r="E47" s="1912"/>
      <c r="F47" s="2072"/>
      <c r="G47" s="1912">
        <f>'Receitas (mensais)'!E54</f>
        <v>0</v>
      </c>
      <c r="H47" s="1912">
        <f>'Receitas (mensais)'!F54</f>
        <v>0</v>
      </c>
      <c r="I47" s="1912">
        <f>'Receitas (mensais)'!G54</f>
        <v>0</v>
      </c>
      <c r="J47" s="1912">
        <f>'Receitas (mensais)'!H54</f>
        <v>0</v>
      </c>
      <c r="K47" s="1912">
        <f>'Receitas (mensais)'!I54</f>
        <v>0</v>
      </c>
      <c r="L47" s="1912">
        <f>'Receitas (mensais)'!J54</f>
        <v>0</v>
      </c>
      <c r="M47" s="1912">
        <f>'Receitas (mensais)'!K54</f>
        <v>0</v>
      </c>
      <c r="N47" s="1912">
        <f>'Receitas (mensais)'!L54</f>
        <v>0</v>
      </c>
      <c r="O47" s="1912">
        <f>'Receitas (mensais)'!M54</f>
        <v>0</v>
      </c>
      <c r="P47" s="1912">
        <f>'Receitas (mensais)'!N54</f>
        <v>0</v>
      </c>
      <c r="Q47" s="1912">
        <f>'Receitas (mensais)'!O54</f>
        <v>0</v>
      </c>
      <c r="R47" s="1912">
        <f>'Receitas (mensais)'!P54</f>
        <v>0</v>
      </c>
      <c r="S47" s="1980">
        <f t="shared" si="15"/>
        <v>0</v>
      </c>
      <c r="T47" s="2169"/>
      <c r="U47" s="2178">
        <f t="shared" si="16"/>
        <v>0</v>
      </c>
      <c r="V47" s="1854"/>
      <c r="W47" s="2003"/>
      <c r="Y47" s="2008">
        <f t="shared" si="6"/>
        <v>0</v>
      </c>
    </row>
    <row r="48" spans="1:26" s="1855" customFormat="1" ht="26.25">
      <c r="A48" s="1884"/>
      <c r="B48" s="1918" t="s">
        <v>3182</v>
      </c>
      <c r="C48" s="2046" t="str">
        <f>'Receitas (mensais)'!D55</f>
        <v xml:space="preserve">         Outros impostos (madeira)</v>
      </c>
      <c r="D48" s="1910"/>
      <c r="E48" s="1912"/>
      <c r="F48" s="2072"/>
      <c r="G48" s="1912">
        <f>'Receitas (mensais)'!E55</f>
        <v>0</v>
      </c>
      <c r="H48" s="1912">
        <f>'Receitas (mensais)'!F55</f>
        <v>0</v>
      </c>
      <c r="I48" s="1912">
        <f>'Receitas (mensais)'!G55</f>
        <v>0</v>
      </c>
      <c r="J48" s="1912">
        <f>'Receitas (mensais)'!H55</f>
        <v>0</v>
      </c>
      <c r="K48" s="1912">
        <f>'Receitas (mensais)'!I55</f>
        <v>0</v>
      </c>
      <c r="L48" s="1912">
        <f>'Receitas (mensais)'!J55</f>
        <v>0</v>
      </c>
      <c r="M48" s="1912">
        <f>'Receitas (mensais)'!K55</f>
        <v>220.40199999999999</v>
      </c>
      <c r="N48" s="1912">
        <f>'Receitas (mensais)'!L55</f>
        <v>793.44600000000003</v>
      </c>
      <c r="O48" s="1912">
        <f>'Receitas (mensais)'!M55</f>
        <v>0</v>
      </c>
      <c r="P48" s="1912">
        <f>'Receitas (mensais)'!N55</f>
        <v>0</v>
      </c>
      <c r="Q48" s="1912">
        <f>'Receitas (mensais)'!O55</f>
        <v>0</v>
      </c>
      <c r="R48" s="1912">
        <f>'Receitas (mensais)'!P55</f>
        <v>0</v>
      </c>
      <c r="S48" s="1980">
        <f>SUM(G48:R48)</f>
        <v>1013.848</v>
      </c>
      <c r="T48" s="2169">
        <f>+S48</f>
        <v>1013.848</v>
      </c>
      <c r="U48" s="2178">
        <f t="shared" si="16"/>
        <v>0</v>
      </c>
      <c r="V48" s="1854"/>
      <c r="W48" s="2003"/>
      <c r="Y48" s="2008">
        <f t="shared" si="6"/>
        <v>1.0138479999999999</v>
      </c>
    </row>
    <row r="49" spans="1:26" s="1855" customFormat="1" ht="26.25">
      <c r="A49" s="1884"/>
      <c r="B49" s="1918" t="s">
        <v>3178</v>
      </c>
      <c r="C49" s="2032" t="str">
        <f>'Receitas (mensais)'!D56</f>
        <v>Isençoes aduaneiras</v>
      </c>
      <c r="D49" s="1910"/>
      <c r="E49" s="1912"/>
      <c r="F49" s="2072"/>
      <c r="G49" s="1912">
        <f>'Receitas (mensais)'!E56</f>
        <v>0</v>
      </c>
      <c r="H49" s="1912">
        <f>'Receitas (mensais)'!F56</f>
        <v>0</v>
      </c>
      <c r="I49" s="1912">
        <f>'Receitas (mensais)'!G56</f>
        <v>0</v>
      </c>
      <c r="J49" s="1912">
        <f>'Receitas (mensais)'!H56</f>
        <v>0</v>
      </c>
      <c r="K49" s="1912">
        <f>'Receitas (mensais)'!I56</f>
        <v>0</v>
      </c>
      <c r="L49" s="1912">
        <f>'Receitas (mensais)'!J56</f>
        <v>0</v>
      </c>
      <c r="M49" s="1912">
        <f>'Receitas (mensais)'!K56</f>
        <v>0</v>
      </c>
      <c r="N49" s="1912">
        <f>'Receitas (mensais)'!L56</f>
        <v>0</v>
      </c>
      <c r="O49" s="1912">
        <f>'Receitas (mensais)'!M56</f>
        <v>0</v>
      </c>
      <c r="P49" s="1912">
        <f>'Receitas (mensais)'!N56</f>
        <v>0</v>
      </c>
      <c r="Q49" s="1912">
        <f>'Receitas (mensais)'!O56</f>
        <v>0</v>
      </c>
      <c r="R49" s="1912">
        <f>'Receitas (mensais)'!P56</f>
        <v>0</v>
      </c>
      <c r="S49" s="1980">
        <f t="shared" si="15"/>
        <v>0</v>
      </c>
      <c r="T49" s="2169"/>
      <c r="U49" s="2178">
        <f t="shared" si="16"/>
        <v>0</v>
      </c>
      <c r="V49" s="1854"/>
      <c r="W49" s="2003"/>
      <c r="Y49" s="2008">
        <f t="shared" si="6"/>
        <v>0</v>
      </c>
    </row>
    <row r="50" spans="1:26" s="1855" customFormat="1" ht="26.25">
      <c r="A50" s="1884"/>
      <c r="B50" s="1918" t="s">
        <v>3183</v>
      </c>
      <c r="C50" s="2032" t="str">
        <f>'Receitas (mensais)'!D57</f>
        <v xml:space="preserve">Outros </v>
      </c>
      <c r="D50" s="1910"/>
      <c r="E50" s="1912"/>
      <c r="F50" s="2072">
        <f>SUM(F51:F53)</f>
        <v>2127017.1469999999</v>
      </c>
      <c r="G50" s="1912">
        <f>SUM(G51:G53)</f>
        <v>127398.62899999999</v>
      </c>
      <c r="H50" s="1912">
        <f t="shared" ref="H50:R50" si="23">SUM(H51:H53)</f>
        <v>187252.05</v>
      </c>
      <c r="I50" s="1912">
        <f t="shared" si="23"/>
        <v>186625.734</v>
      </c>
      <c r="J50" s="1912">
        <f t="shared" si="23"/>
        <v>122018.45199999999</v>
      </c>
      <c r="K50" s="1912">
        <f t="shared" si="23"/>
        <v>200425.84599999999</v>
      </c>
      <c r="L50" s="1912">
        <f t="shared" si="23"/>
        <v>139569.5</v>
      </c>
      <c r="M50" s="1912">
        <f t="shared" si="23"/>
        <v>160006.15100000001</v>
      </c>
      <c r="N50" s="1912">
        <f t="shared" si="23"/>
        <v>116828.38799999999</v>
      </c>
      <c r="O50" s="1912">
        <f t="shared" si="23"/>
        <v>162883.745</v>
      </c>
      <c r="P50" s="1912">
        <f t="shared" si="23"/>
        <v>167856.46400000001</v>
      </c>
      <c r="Q50" s="1912">
        <f t="shared" si="23"/>
        <v>91986.673999999999</v>
      </c>
      <c r="R50" s="1912">
        <f t="shared" si="23"/>
        <v>140763.54800000001</v>
      </c>
      <c r="S50" s="1980">
        <f t="shared" si="15"/>
        <v>1803615.1809999999</v>
      </c>
      <c r="T50" s="2169">
        <f>+[30]receitas2019!$BZ$30/1000</f>
        <v>1803615.1810000001</v>
      </c>
      <c r="U50" s="2178">
        <f>+S50-T50</f>
        <v>0</v>
      </c>
      <c r="V50" s="1854"/>
      <c r="W50" s="2003"/>
      <c r="Y50" s="2008">
        <f t="shared" si="6"/>
        <v>1803.6151809999999</v>
      </c>
    </row>
    <row r="51" spans="1:26" s="1855" customFormat="1" ht="26.25">
      <c r="A51" s="1884"/>
      <c r="B51" s="1918" t="s">
        <v>3184</v>
      </c>
      <c r="C51" s="1913" t="str">
        <f>'Receitas (mensais)'!D58</f>
        <v xml:space="preserve">                Imposto Comunitario de Solidariede (PCS)</v>
      </c>
      <c r="D51" s="1910"/>
      <c r="E51" s="1912"/>
      <c r="F51" s="2072">
        <v>830057.84</v>
      </c>
      <c r="G51" s="1912">
        <f>'Receitas (mensais)'!E58</f>
        <v>41812.332000000002</v>
      </c>
      <c r="H51" s="1912">
        <f>'Receitas (mensais)'!F58</f>
        <v>63043.622000000003</v>
      </c>
      <c r="I51" s="1912">
        <f>'Receitas (mensais)'!G58</f>
        <v>62540.23</v>
      </c>
      <c r="J51" s="1912">
        <f>'Receitas (mensais)'!H58</f>
        <v>39813.137000000002</v>
      </c>
      <c r="K51" s="1912">
        <f>'Receitas (mensais)'!I58</f>
        <v>65799.686000000002</v>
      </c>
      <c r="L51" s="1912">
        <f>'Receitas (mensais)'!J58</f>
        <v>45400.546000000002</v>
      </c>
      <c r="M51" s="1912">
        <f>'Receitas (mensais)'!K58</f>
        <v>52182.546000000002</v>
      </c>
      <c r="N51" s="1912">
        <f>'Receitas (mensais)'!L58</f>
        <v>38478.807000000001</v>
      </c>
      <c r="O51" s="1912">
        <f>'Receitas (mensais)'!M58</f>
        <v>53721.669000000002</v>
      </c>
      <c r="P51" s="1912">
        <f>'Receitas (mensais)'!N58</f>
        <v>56361.576999999997</v>
      </c>
      <c r="Q51" s="1912">
        <f>'Receitas (mensais)'!O58</f>
        <v>30033.223000000002</v>
      </c>
      <c r="R51" s="1912">
        <f>'Receitas (mensais)'!P58</f>
        <v>47016.337</v>
      </c>
      <c r="S51" s="1980">
        <f t="shared" si="15"/>
        <v>596203.71200000006</v>
      </c>
      <c r="T51" s="2169"/>
      <c r="U51" s="2181"/>
      <c r="V51" s="1854"/>
      <c r="W51" s="2003"/>
      <c r="Y51" s="2008">
        <f t="shared" si="6"/>
        <v>596.20371200000011</v>
      </c>
    </row>
    <row r="52" spans="1:26" s="1855" customFormat="1" ht="26.25">
      <c r="A52" s="1884"/>
      <c r="B52" s="1918" t="s">
        <v>3185</v>
      </c>
      <c r="C52" s="1913" t="str">
        <f>'Receitas (mensais)'!D59</f>
        <v xml:space="preserve">               Taxa Informatica (RS)</v>
      </c>
      <c r="D52" s="1910"/>
      <c r="E52" s="1912"/>
      <c r="F52" s="2072">
        <v>821253.12100000004</v>
      </c>
      <c r="G52" s="1912">
        <f>'Receitas (mensais)'!E59</f>
        <v>53311.127999999997</v>
      </c>
      <c r="H52" s="1912">
        <f>'Receitas (mensais)'!F59</f>
        <v>79942.725999999995</v>
      </c>
      <c r="I52" s="1912">
        <f>'Receitas (mensais)'!G59</f>
        <v>79912.448000000004</v>
      </c>
      <c r="J52" s="1912">
        <f>'Receitas (mensais)'!H59</f>
        <v>51608.436999999998</v>
      </c>
      <c r="K52" s="1912">
        <f>'Receitas (mensais)'!I59</f>
        <v>85085.702999999994</v>
      </c>
      <c r="L52" s="1912">
        <f>'Receitas (mensais)'!J59</f>
        <v>59147.451000000001</v>
      </c>
      <c r="M52" s="1912">
        <f>'Receitas (mensais)'!K59</f>
        <v>66730.91</v>
      </c>
      <c r="N52" s="1912">
        <f>'Receitas (mensais)'!L59</f>
        <v>48810.796999999999</v>
      </c>
      <c r="O52" s="1912">
        <f>'Receitas (mensais)'!M59</f>
        <v>67996.126999999993</v>
      </c>
      <c r="P52" s="1912">
        <f>'Receitas (mensais)'!N59</f>
        <v>70945.623999999996</v>
      </c>
      <c r="Q52" s="1912">
        <f>'Receitas (mensais)'!O59</f>
        <v>37876.623</v>
      </c>
      <c r="R52" s="1912">
        <f>'Receitas (mensais)'!P59</f>
        <v>59155.161</v>
      </c>
      <c r="S52" s="1980">
        <f t="shared" si="15"/>
        <v>760523.13499999989</v>
      </c>
      <c r="T52" s="2169"/>
      <c r="U52" s="2181"/>
      <c r="V52" s="1854"/>
      <c r="W52" s="2003"/>
      <c r="Y52" s="2008">
        <f t="shared" si="6"/>
        <v>760.52313499999991</v>
      </c>
    </row>
    <row r="53" spans="1:26" s="1855" customFormat="1" ht="26.25">
      <c r="A53" s="1884"/>
      <c r="B53" s="1918" t="s">
        <v>3186</v>
      </c>
      <c r="C53" s="1913" t="str">
        <f>'Receitas (mensais)'!D60</f>
        <v xml:space="preserve">               Imposto Comunitario (PC-CDEAO)</v>
      </c>
      <c r="D53" s="1910"/>
      <c r="E53" s="1912"/>
      <c r="F53" s="2072">
        <v>475706.18599999999</v>
      </c>
      <c r="G53" s="1912">
        <f>'Receitas (mensais)'!E60</f>
        <v>32275.169000000002</v>
      </c>
      <c r="H53" s="1912">
        <f>'Receitas (mensais)'!F60</f>
        <v>44265.701999999997</v>
      </c>
      <c r="I53" s="1912">
        <f>'Receitas (mensais)'!G60</f>
        <v>44173.055999999997</v>
      </c>
      <c r="J53" s="1912">
        <f>'Receitas (mensais)'!H60</f>
        <v>30596.878000000001</v>
      </c>
      <c r="K53" s="1912">
        <f>'Receitas (mensais)'!I60</f>
        <v>49540.457000000002</v>
      </c>
      <c r="L53" s="1912">
        <f>'Receitas (mensais)'!J60</f>
        <v>35021.502999999997</v>
      </c>
      <c r="M53" s="1912">
        <f>'Receitas (mensais)'!K60</f>
        <v>41092.695</v>
      </c>
      <c r="N53" s="1912">
        <f>'Receitas (mensais)'!L60</f>
        <v>29538.784</v>
      </c>
      <c r="O53" s="1912">
        <f>'Receitas (mensais)'!M60</f>
        <v>41165.949000000001</v>
      </c>
      <c r="P53" s="1912">
        <f>'Receitas (mensais)'!N60</f>
        <v>40549.262999999999</v>
      </c>
      <c r="Q53" s="1912">
        <f>'Receitas (mensais)'!O60</f>
        <v>24076.828000000001</v>
      </c>
      <c r="R53" s="1912">
        <f>'Receitas (mensais)'!P60</f>
        <v>34592.050000000003</v>
      </c>
      <c r="S53" s="1980">
        <f t="shared" si="15"/>
        <v>446888.33399999992</v>
      </c>
      <c r="T53" s="2169"/>
      <c r="U53" s="2181"/>
      <c r="V53" s="1854"/>
      <c r="W53" s="2003"/>
      <c r="Y53" s="2008">
        <f t="shared" si="6"/>
        <v>446.88833399999993</v>
      </c>
    </row>
    <row r="54" spans="1:26" s="2043" customFormat="1" ht="26.25">
      <c r="A54" s="2034"/>
      <c r="B54" s="2035" t="s">
        <v>3170</v>
      </c>
      <c r="C54" s="2036" t="str">
        <f>'Receitas (mensais)'!D62</f>
        <v>Impostos sobre o consumo (IEC)</v>
      </c>
      <c r="D54" s="2037"/>
      <c r="E54" s="2038"/>
      <c r="F54" s="2071">
        <f>+F55+F58</f>
        <v>4742852.9469999997</v>
      </c>
      <c r="G54" s="2038">
        <f>+G55+G58</f>
        <v>376623.674</v>
      </c>
      <c r="H54" s="2038">
        <f t="shared" ref="H54:R54" si="24">+H55+H58</f>
        <v>306134.59399999998</v>
      </c>
      <c r="I54" s="2038">
        <f t="shared" si="24"/>
        <v>382954.14600000001</v>
      </c>
      <c r="J54" s="2038">
        <f t="shared" si="24"/>
        <v>367704.02799999999</v>
      </c>
      <c r="K54" s="2038">
        <f t="shared" si="24"/>
        <v>408296.82400000002</v>
      </c>
      <c r="L54" s="2038">
        <f t="shared" si="24"/>
        <v>473008.29700000002</v>
      </c>
      <c r="M54" s="2038">
        <f t="shared" si="24"/>
        <v>470457.55499999999</v>
      </c>
      <c r="N54" s="2038">
        <f t="shared" si="24"/>
        <v>483241.38500000001</v>
      </c>
      <c r="O54" s="2038">
        <f t="shared" si="24"/>
        <v>391480.66000000003</v>
      </c>
      <c r="P54" s="2038">
        <f t="shared" si="24"/>
        <v>429872.212</v>
      </c>
      <c r="Q54" s="2038">
        <f t="shared" si="24"/>
        <v>354493.087</v>
      </c>
      <c r="R54" s="2038">
        <f t="shared" si="24"/>
        <v>479777.88099999994</v>
      </c>
      <c r="S54" s="2039">
        <f t="shared" si="15"/>
        <v>4924044.3430000003</v>
      </c>
      <c r="T54" s="2168">
        <f>+[30]receitas2019!$BZ$34/1000</f>
        <v>4924044.3430000003</v>
      </c>
      <c r="U54" s="2181">
        <f t="shared" si="16"/>
        <v>0</v>
      </c>
      <c r="V54" s="2040"/>
      <c r="W54" s="2041"/>
      <c r="X54" s="2042"/>
      <c r="Y54" s="2043">
        <f t="shared" si="6"/>
        <v>4924.0443430000005</v>
      </c>
      <c r="Z54" s="2044"/>
    </row>
    <row r="55" spans="1:26" s="1855" customFormat="1" ht="26.25">
      <c r="A55" s="1884"/>
      <c r="B55" s="1908" t="s">
        <v>3249</v>
      </c>
      <c r="C55" s="2032" t="str">
        <f>'Receitas (mensais)'!D63</f>
        <v>Bens importados</v>
      </c>
      <c r="D55" s="1910"/>
      <c r="E55" s="1912"/>
      <c r="F55" s="2072">
        <f>F56+F57</f>
        <v>4742852.9469999997</v>
      </c>
      <c r="G55" s="1912">
        <f>G56+G57</f>
        <v>376623.674</v>
      </c>
      <c r="H55" s="1912">
        <f t="shared" ref="H55:R55" si="25">H56+H57</f>
        <v>306134.59399999998</v>
      </c>
      <c r="I55" s="1912">
        <f t="shared" si="25"/>
        <v>382624.50599999999</v>
      </c>
      <c r="J55" s="1912">
        <f t="shared" si="25"/>
        <v>367451.158</v>
      </c>
      <c r="K55" s="1912">
        <f t="shared" si="25"/>
        <v>408296.82400000002</v>
      </c>
      <c r="L55" s="1912">
        <f t="shared" si="25"/>
        <v>473008.29700000002</v>
      </c>
      <c r="M55" s="1912">
        <f t="shared" si="25"/>
        <v>470457.55499999999</v>
      </c>
      <c r="N55" s="1912">
        <f t="shared" si="25"/>
        <v>483241.38500000001</v>
      </c>
      <c r="O55" s="1912">
        <f t="shared" si="25"/>
        <v>391480.66000000003</v>
      </c>
      <c r="P55" s="1912">
        <f t="shared" si="25"/>
        <v>429241.04200000002</v>
      </c>
      <c r="Q55" s="1912">
        <f t="shared" si="25"/>
        <v>354493.087</v>
      </c>
      <c r="R55" s="1912">
        <f t="shared" si="25"/>
        <v>479777.88099999994</v>
      </c>
      <c r="S55" s="1980">
        <f t="shared" si="15"/>
        <v>4922830.6630000006</v>
      </c>
      <c r="T55" s="2169">
        <f>+[30]receitas2019!$BZ$35/1000</f>
        <v>4922830.6629999997</v>
      </c>
      <c r="U55" s="2181">
        <f t="shared" si="16"/>
        <v>0</v>
      </c>
      <c r="V55" s="1854"/>
      <c r="W55" s="2003"/>
      <c r="Y55" s="2008">
        <f t="shared" si="6"/>
        <v>4922.8306630000006</v>
      </c>
    </row>
    <row r="56" spans="1:26" s="1855" customFormat="1" ht="26.25">
      <c r="A56" s="1884"/>
      <c r="B56" s="1908" t="s">
        <v>3251</v>
      </c>
      <c r="C56" s="2032" t="str">
        <f>'Receitas (mensais)'!D64</f>
        <v xml:space="preserve">       Combustivel</v>
      </c>
      <c r="D56" s="1910"/>
      <c r="E56" s="1912"/>
      <c r="F56" s="2072">
        <v>1891229.97</v>
      </c>
      <c r="G56" s="1912">
        <f>'Receitas (mensais)'!E64</f>
        <v>128274.428</v>
      </c>
      <c r="H56" s="1912">
        <f>'Receitas (mensais)'!F64</f>
        <v>66121.430999999997</v>
      </c>
      <c r="I56" s="1912">
        <f>'Receitas (mensais)'!G64</f>
        <v>95513.36</v>
      </c>
      <c r="J56" s="1912">
        <f>'Receitas (mensais)'!H64</f>
        <v>105093.598</v>
      </c>
      <c r="K56" s="1912">
        <f>'Receitas (mensais)'!I64</f>
        <v>134243.24799999999</v>
      </c>
      <c r="L56" s="1912">
        <f>'Receitas (mensais)'!J64</f>
        <v>100337.2</v>
      </c>
      <c r="M56" s="1912">
        <f>'Receitas (mensais)'!K64</f>
        <v>130967.898</v>
      </c>
      <c r="N56" s="1912">
        <f>'Receitas (mensais)'!L64</f>
        <v>114418.425</v>
      </c>
      <c r="O56" s="1912">
        <f>'Receitas (mensais)'!M64</f>
        <v>133874.43400000001</v>
      </c>
      <c r="P56" s="1912">
        <f>'Receitas (mensais)'!N64</f>
        <v>125725.588</v>
      </c>
      <c r="Q56" s="1912">
        <f>'Receitas (mensais)'!O64</f>
        <v>119190.27899999999</v>
      </c>
      <c r="R56" s="1912">
        <f>'Receitas (mensais)'!P64</f>
        <v>95583.361999999994</v>
      </c>
      <c r="S56" s="1980">
        <f t="shared" si="15"/>
        <v>1349343.2510000002</v>
      </c>
      <c r="T56" s="2169"/>
      <c r="U56" s="2181"/>
      <c r="V56" s="1854"/>
      <c r="W56" s="2003"/>
      <c r="Y56" s="2008">
        <f t="shared" si="6"/>
        <v>1349.3432510000002</v>
      </c>
    </row>
    <row r="57" spans="1:26" s="1855" customFormat="1" ht="26.25">
      <c r="A57" s="1884"/>
      <c r="B57" s="1908" t="s">
        <v>3252</v>
      </c>
      <c r="C57" s="2032" t="str">
        <f>'Receitas (mensais)'!D65</f>
        <v xml:space="preserve">       Outros  produtos</v>
      </c>
      <c r="D57" s="1910"/>
      <c r="E57" s="1912"/>
      <c r="F57" s="2072">
        <v>2851622.977</v>
      </c>
      <c r="G57" s="1912">
        <f>'Receitas (mensais)'!E65</f>
        <v>248349.24600000001</v>
      </c>
      <c r="H57" s="1912">
        <f>'Receitas (mensais)'!F65</f>
        <v>240013.163</v>
      </c>
      <c r="I57" s="1912">
        <f>'Receitas (mensais)'!G65</f>
        <v>287111.14600000001</v>
      </c>
      <c r="J57" s="1912">
        <f>'Receitas (mensais)'!H65</f>
        <v>262357.56</v>
      </c>
      <c r="K57" s="1912">
        <f>'Receitas (mensais)'!I65</f>
        <v>274053.576</v>
      </c>
      <c r="L57" s="1912">
        <f>'Receitas (mensais)'!J65</f>
        <v>372671.09700000001</v>
      </c>
      <c r="M57" s="1912">
        <f>'Receitas (mensais)'!K65</f>
        <v>339489.65700000001</v>
      </c>
      <c r="N57" s="1912">
        <f>'Receitas (mensais)'!L65</f>
        <v>368822.96</v>
      </c>
      <c r="O57" s="1912">
        <f>'Receitas (mensais)'!M65</f>
        <v>257606.226</v>
      </c>
      <c r="P57" s="1912">
        <f>'Receitas (mensais)'!N65</f>
        <v>303515.45400000003</v>
      </c>
      <c r="Q57" s="1912">
        <f>'Receitas (mensais)'!O65</f>
        <v>235302.80799999999</v>
      </c>
      <c r="R57" s="1912">
        <f>'Receitas (mensais)'!P65</f>
        <v>384194.51899999997</v>
      </c>
      <c r="S57" s="1980">
        <f>SUM(G57:R57)</f>
        <v>3573487.412</v>
      </c>
      <c r="T57" s="2169"/>
      <c r="U57" s="2181"/>
      <c r="V57" s="1854"/>
      <c r="W57" s="2003"/>
      <c r="Y57" s="2008">
        <f t="shared" si="6"/>
        <v>3573.4874119999999</v>
      </c>
    </row>
    <row r="58" spans="1:26" s="1855" customFormat="1" ht="26.25">
      <c r="A58" s="1884"/>
      <c r="B58" s="1920" t="s">
        <v>3250</v>
      </c>
      <c r="C58" s="2032" t="str">
        <f>'Receitas (mensais)'!D66</f>
        <v>Produçao local/DGCI</v>
      </c>
      <c r="D58" s="1910"/>
      <c r="E58" s="1912">
        <f>+SUM(E59:E63)</f>
        <v>0</v>
      </c>
      <c r="F58" s="2072">
        <f>+SUM(F59:F63)</f>
        <v>0</v>
      </c>
      <c r="G58" s="1912">
        <f>+SUM(G59:G63)</f>
        <v>0</v>
      </c>
      <c r="H58" s="1912">
        <f t="shared" ref="H58:R58" si="26">+SUM(H59:H63)</f>
        <v>0</v>
      </c>
      <c r="I58" s="1912">
        <f t="shared" si="26"/>
        <v>329.64</v>
      </c>
      <c r="J58" s="1912">
        <f t="shared" si="26"/>
        <v>252.87</v>
      </c>
      <c r="K58" s="1912">
        <f t="shared" si="26"/>
        <v>0</v>
      </c>
      <c r="L58" s="1912">
        <f t="shared" si="26"/>
        <v>0</v>
      </c>
      <c r="M58" s="1912">
        <f t="shared" si="26"/>
        <v>0</v>
      </c>
      <c r="N58" s="1912">
        <f t="shared" si="26"/>
        <v>0</v>
      </c>
      <c r="O58" s="1912">
        <f t="shared" si="26"/>
        <v>0</v>
      </c>
      <c r="P58" s="1912">
        <f t="shared" si="26"/>
        <v>631.16999999999996</v>
      </c>
      <c r="Q58" s="1912">
        <f t="shared" si="26"/>
        <v>0</v>
      </c>
      <c r="R58" s="1912">
        <f t="shared" si="26"/>
        <v>0</v>
      </c>
      <c r="S58" s="1980">
        <f t="shared" si="15"/>
        <v>1213.6799999999998</v>
      </c>
      <c r="T58" s="2169">
        <f>+[30]receitas2019!$BZ$38/1000</f>
        <v>1213.68</v>
      </c>
      <c r="U58" s="2181">
        <f t="shared" si="16"/>
        <v>0</v>
      </c>
      <c r="V58" s="1854"/>
      <c r="W58" s="2003"/>
      <c r="Y58" s="2008">
        <f t="shared" si="6"/>
        <v>1.2136799999999999</v>
      </c>
    </row>
    <row r="59" spans="1:26" s="1855" customFormat="1" ht="26.25">
      <c r="A59" s="1884"/>
      <c r="B59" s="1920" t="s">
        <v>3253</v>
      </c>
      <c r="C59" s="2058" t="str">
        <f>'Receitas (mensais)'!D67</f>
        <v xml:space="preserve">         Aguardente - Produçao local</v>
      </c>
      <c r="D59" s="1910"/>
      <c r="E59" s="1912"/>
      <c r="F59" s="2072"/>
      <c r="G59" s="1912">
        <f>+'Receitas (mensais)'!E67</f>
        <v>0</v>
      </c>
      <c r="H59" s="1912">
        <f>+'Receitas (mensais)'!F67</f>
        <v>0</v>
      </c>
      <c r="I59" s="1912">
        <f>+'Receitas (mensais)'!G67</f>
        <v>329.64</v>
      </c>
      <c r="J59" s="1912">
        <f>+'Receitas (mensais)'!H67</f>
        <v>252.87</v>
      </c>
      <c r="K59" s="1912">
        <f>+'Receitas (mensais)'!I67</f>
        <v>0</v>
      </c>
      <c r="L59" s="1912">
        <f>+'Receitas (mensais)'!J67</f>
        <v>0</v>
      </c>
      <c r="M59" s="1912">
        <f>+'Receitas (mensais)'!K67</f>
        <v>0</v>
      </c>
      <c r="N59" s="1912">
        <f>+'Receitas (mensais)'!L67</f>
        <v>0</v>
      </c>
      <c r="O59" s="1912">
        <f>+'Receitas (mensais)'!M67</f>
        <v>0</v>
      </c>
      <c r="P59" s="1912">
        <f>+'Receitas (mensais)'!N67</f>
        <v>631.16999999999996</v>
      </c>
      <c r="Q59" s="1912">
        <f>+'Receitas (mensais)'!O67</f>
        <v>0</v>
      </c>
      <c r="R59" s="1912">
        <f>+'Receitas (mensais)'!P67</f>
        <v>0</v>
      </c>
      <c r="S59" s="1980">
        <f t="shared" si="15"/>
        <v>1213.6799999999998</v>
      </c>
      <c r="T59" s="2169"/>
      <c r="U59" s="2181"/>
      <c r="V59" s="1854"/>
      <c r="W59" s="2003"/>
      <c r="Y59" s="2008">
        <f t="shared" si="6"/>
        <v>1.2136799999999999</v>
      </c>
    </row>
    <row r="60" spans="1:26" s="1855" customFormat="1" ht="26.25">
      <c r="A60" s="1884"/>
      <c r="B60" s="1920" t="s">
        <v>3254</v>
      </c>
      <c r="C60" s="2058" t="str">
        <f>'Receitas (mensais)'!D68</f>
        <v xml:space="preserve">         Cerveja e Refrig.- Produçao local</v>
      </c>
      <c r="D60" s="1910"/>
      <c r="E60" s="1912"/>
      <c r="F60" s="2072"/>
      <c r="G60" s="1912">
        <f>+'Receitas (mensais)'!E68</f>
        <v>0</v>
      </c>
      <c r="H60" s="1912">
        <f>+'Receitas (mensais)'!F68</f>
        <v>0</v>
      </c>
      <c r="I60" s="1912">
        <f>+'Receitas (mensais)'!G68</f>
        <v>0</v>
      </c>
      <c r="J60" s="1912">
        <f>+'Receitas (mensais)'!H68</f>
        <v>0</v>
      </c>
      <c r="K60" s="1912">
        <f>+'Receitas (mensais)'!I68</f>
        <v>0</v>
      </c>
      <c r="L60" s="1912">
        <f>+'Receitas (mensais)'!J68</f>
        <v>0</v>
      </c>
      <c r="M60" s="1912">
        <f>+'Receitas (mensais)'!K68</f>
        <v>0</v>
      </c>
      <c r="N60" s="1912">
        <f>+'Receitas (mensais)'!L68</f>
        <v>0</v>
      </c>
      <c r="O60" s="1912">
        <f>+'Receitas (mensais)'!M68</f>
        <v>0</v>
      </c>
      <c r="P60" s="1912">
        <f>+'Receitas (mensais)'!N68</f>
        <v>0</v>
      </c>
      <c r="Q60" s="1912">
        <f>+'Receitas (mensais)'!O68</f>
        <v>0</v>
      </c>
      <c r="R60" s="1912">
        <f>+'Receitas (mensais)'!P68</f>
        <v>0</v>
      </c>
      <c r="S60" s="1980">
        <f t="shared" si="15"/>
        <v>0</v>
      </c>
      <c r="T60" s="2169"/>
      <c r="U60" s="2181"/>
      <c r="V60" s="1854"/>
      <c r="W60" s="2003"/>
      <c r="Y60" s="2008">
        <f t="shared" si="6"/>
        <v>0</v>
      </c>
    </row>
    <row r="61" spans="1:26" s="1855" customFormat="1" ht="26.25">
      <c r="A61" s="1884"/>
      <c r="B61" s="1920" t="s">
        <v>3255</v>
      </c>
      <c r="C61" s="2058" t="str">
        <f>'Receitas (mensais)'!D69</f>
        <v xml:space="preserve">         Madeiras- Produçao local</v>
      </c>
      <c r="D61" s="1910"/>
      <c r="E61" s="1912"/>
      <c r="F61" s="2072"/>
      <c r="G61" s="1912">
        <f>+'Receitas (mensais)'!E69</f>
        <v>0</v>
      </c>
      <c r="H61" s="1912">
        <f>+'Receitas (mensais)'!F69</f>
        <v>0</v>
      </c>
      <c r="I61" s="1912">
        <f>+'Receitas (mensais)'!G69</f>
        <v>0</v>
      </c>
      <c r="J61" s="1912">
        <f>+'Receitas (mensais)'!H69</f>
        <v>0</v>
      </c>
      <c r="K61" s="1912">
        <f>+'Receitas (mensais)'!I69</f>
        <v>0</v>
      </c>
      <c r="L61" s="1912">
        <f>+'Receitas (mensais)'!J69</f>
        <v>0</v>
      </c>
      <c r="M61" s="1912">
        <f>+'Receitas (mensais)'!K69</f>
        <v>0</v>
      </c>
      <c r="N61" s="1912">
        <f>+'Receitas (mensais)'!L69</f>
        <v>0</v>
      </c>
      <c r="O61" s="1912">
        <f>+'Receitas (mensais)'!M69</f>
        <v>0</v>
      </c>
      <c r="P61" s="1912">
        <f>+'Receitas (mensais)'!N69</f>
        <v>0</v>
      </c>
      <c r="Q61" s="1912">
        <f>+'Receitas (mensais)'!O69</f>
        <v>0</v>
      </c>
      <c r="R61" s="1912">
        <f>+'Receitas (mensais)'!P69</f>
        <v>0</v>
      </c>
      <c r="S61" s="1980">
        <f t="shared" si="15"/>
        <v>0</v>
      </c>
      <c r="T61" s="2169"/>
      <c r="U61" s="2178"/>
      <c r="V61" s="1854"/>
      <c r="W61" s="2003"/>
      <c r="Y61" s="2008">
        <f t="shared" si="6"/>
        <v>0</v>
      </c>
    </row>
    <row r="62" spans="1:26" s="1855" customFormat="1" ht="26.25">
      <c r="A62" s="1884"/>
      <c r="B62" s="1920" t="s">
        <v>3256</v>
      </c>
      <c r="C62" s="2058" t="str">
        <f>'Receitas (mensais)'!D70</f>
        <v xml:space="preserve">        Cerâmica</v>
      </c>
      <c r="D62" s="1910"/>
      <c r="E62" s="1912"/>
      <c r="F62" s="2072"/>
      <c r="G62" s="1912">
        <f>+'Receitas (mensais)'!E70</f>
        <v>0</v>
      </c>
      <c r="H62" s="1912">
        <f>+'Receitas (mensais)'!F70</f>
        <v>0</v>
      </c>
      <c r="I62" s="1912">
        <f>+'Receitas (mensais)'!G70</f>
        <v>0</v>
      </c>
      <c r="J62" s="1912">
        <f>+'Receitas (mensais)'!H70</f>
        <v>0</v>
      </c>
      <c r="K62" s="1912">
        <f>+'Receitas (mensais)'!I70</f>
        <v>0</v>
      </c>
      <c r="L62" s="1912">
        <f>+'Receitas (mensais)'!J70</f>
        <v>0</v>
      </c>
      <c r="M62" s="1912">
        <f>+'Receitas (mensais)'!K70</f>
        <v>0</v>
      </c>
      <c r="N62" s="1912">
        <f>+'Receitas (mensais)'!L70</f>
        <v>0</v>
      </c>
      <c r="O62" s="1912">
        <f>+'Receitas (mensais)'!M70</f>
        <v>0</v>
      </c>
      <c r="P62" s="1912">
        <f>+'Receitas (mensais)'!N70</f>
        <v>0</v>
      </c>
      <c r="Q62" s="1912">
        <f>+'Receitas (mensais)'!O70</f>
        <v>0</v>
      </c>
      <c r="R62" s="1912">
        <f>+'Receitas (mensais)'!P70</f>
        <v>0</v>
      </c>
      <c r="S62" s="1980">
        <f t="shared" si="15"/>
        <v>0</v>
      </c>
      <c r="T62" s="2169"/>
      <c r="U62" s="2178"/>
      <c r="V62" s="1854"/>
      <c r="W62" s="2003"/>
      <c r="Y62" s="2008">
        <f t="shared" si="6"/>
        <v>0</v>
      </c>
    </row>
    <row r="63" spans="1:26" s="1855" customFormat="1" ht="26.25">
      <c r="A63" s="1884"/>
      <c r="B63" s="1920" t="s">
        <v>3257</v>
      </c>
      <c r="C63" s="2058" t="str">
        <f>'Receitas (mensais)'!D71</f>
        <v xml:space="preserve">         Outros</v>
      </c>
      <c r="D63" s="1910"/>
      <c r="E63" s="1912"/>
      <c r="F63" s="2072"/>
      <c r="G63" s="1912">
        <f>+'Receitas (mensais)'!E71</f>
        <v>0</v>
      </c>
      <c r="H63" s="1912">
        <f>+'Receitas (mensais)'!F71</f>
        <v>0</v>
      </c>
      <c r="I63" s="1912">
        <f>+'Receitas (mensais)'!G71</f>
        <v>0</v>
      </c>
      <c r="J63" s="1912">
        <f>+'Receitas (mensais)'!H71</f>
        <v>0</v>
      </c>
      <c r="K63" s="1912">
        <f>+'Receitas (mensais)'!I71</f>
        <v>0</v>
      </c>
      <c r="L63" s="1912">
        <f>+'Receitas (mensais)'!J71</f>
        <v>0</v>
      </c>
      <c r="M63" s="1912">
        <f>+'Receitas (mensais)'!K71</f>
        <v>0</v>
      </c>
      <c r="N63" s="1912">
        <f>+'Receitas (mensais)'!L71</f>
        <v>0</v>
      </c>
      <c r="O63" s="1912">
        <f>+'Receitas (mensais)'!M71</f>
        <v>0</v>
      </c>
      <c r="P63" s="1912">
        <f>+'Receitas (mensais)'!N71</f>
        <v>0</v>
      </c>
      <c r="Q63" s="1912">
        <f>+'Receitas (mensais)'!O71</f>
        <v>0</v>
      </c>
      <c r="R63" s="1912">
        <f>+'Receitas (mensais)'!P71</f>
        <v>0</v>
      </c>
      <c r="S63" s="1980">
        <f t="shared" si="15"/>
        <v>0</v>
      </c>
      <c r="T63" s="2169"/>
      <c r="U63" s="2178"/>
      <c r="V63" s="1854"/>
      <c r="W63" s="2003"/>
      <c r="Y63" s="2008">
        <f t="shared" si="6"/>
        <v>0</v>
      </c>
    </row>
    <row r="64" spans="1:26" s="2043" customFormat="1" ht="26.25">
      <c r="A64" s="2034" t="s">
        <v>424</v>
      </c>
      <c r="B64" s="2063" t="s">
        <v>3187</v>
      </c>
      <c r="C64" s="2036" t="str">
        <f>'Receitas (mensais)'!D72</f>
        <v>Imposto Geral s/Vendas</v>
      </c>
      <c r="D64" s="2037"/>
      <c r="E64" s="2038">
        <f>+E65+E69</f>
        <v>0</v>
      </c>
      <c r="F64" s="2071">
        <f>+F65+F69+F74+F77+F78</f>
        <v>34743277.670000002</v>
      </c>
      <c r="G64" s="2038">
        <f>+G65+G69+G74+G77+G78</f>
        <v>1899768.08</v>
      </c>
      <c r="H64" s="2038">
        <f t="shared" ref="H64:R64" si="27">+H65+H69+H74+H77+H78</f>
        <v>2072222.98</v>
      </c>
      <c r="I64" s="2038">
        <f t="shared" si="27"/>
        <v>2069960.0019999999</v>
      </c>
      <c r="J64" s="2038">
        <f t="shared" si="27"/>
        <v>1957998.4439999999</v>
      </c>
      <c r="K64" s="2038">
        <f t="shared" si="27"/>
        <v>2292865.3689999999</v>
      </c>
      <c r="L64" s="2038">
        <f t="shared" si="27"/>
        <v>2235598.054</v>
      </c>
      <c r="M64" s="2038">
        <f t="shared" si="27"/>
        <v>2432759.446</v>
      </c>
      <c r="N64" s="2038">
        <f t="shared" si="27"/>
        <v>1981277.1529999999</v>
      </c>
      <c r="O64" s="2038">
        <f t="shared" si="27"/>
        <v>1988413.8909999998</v>
      </c>
      <c r="P64" s="2038">
        <f t="shared" si="27"/>
        <v>2357186.0549999997</v>
      </c>
      <c r="Q64" s="2038">
        <f t="shared" si="27"/>
        <v>1894159.0629999998</v>
      </c>
      <c r="R64" s="2038">
        <f t="shared" si="27"/>
        <v>1944480.7209999999</v>
      </c>
      <c r="S64" s="2039">
        <f t="shared" si="15"/>
        <v>25126689.258000001</v>
      </c>
      <c r="T64" s="2168">
        <f>+[30]receitas2019!$BZ$40/1000</f>
        <v>25126687.702</v>
      </c>
      <c r="U64" s="2178">
        <f t="shared" si="16"/>
        <v>1.5560000017285347</v>
      </c>
      <c r="V64" s="2040"/>
      <c r="W64" s="2041"/>
      <c r="X64" s="2042"/>
      <c r="Y64" s="2043">
        <f t="shared" si="6"/>
        <v>25126.689258000002</v>
      </c>
      <c r="Z64" s="2044"/>
    </row>
    <row r="65" spans="1:26" s="1855" customFormat="1" ht="26.25">
      <c r="A65" s="1884"/>
      <c r="B65" s="1908" t="s">
        <v>3263</v>
      </c>
      <c r="C65" s="2032" t="str">
        <f>'Receitas (mensais)'!D73</f>
        <v>Bens Importados</v>
      </c>
      <c r="D65" s="1910"/>
      <c r="E65" s="1912">
        <f>+SUM(E66:E68)</f>
        <v>0</v>
      </c>
      <c r="F65" s="2072">
        <f>+SUM(F66:F68)</f>
        <v>21311967.741999999</v>
      </c>
      <c r="G65" s="1912">
        <f>+SUM(G66:G68)</f>
        <v>1109742.976</v>
      </c>
      <c r="H65" s="1912">
        <f t="shared" ref="H65:R65" si="28">+SUM(H66:H68)</f>
        <v>1307935.5020000001</v>
      </c>
      <c r="I65" s="1912">
        <f t="shared" si="28"/>
        <v>1238804.2379999999</v>
      </c>
      <c r="J65" s="1912">
        <f t="shared" si="28"/>
        <v>1073020.9779999999</v>
      </c>
      <c r="K65" s="1912">
        <f t="shared" si="28"/>
        <v>1538877.9100000001</v>
      </c>
      <c r="L65" s="1912">
        <f t="shared" si="28"/>
        <v>1266106.273</v>
      </c>
      <c r="M65" s="1912">
        <f t="shared" si="28"/>
        <v>1272964.125</v>
      </c>
      <c r="N65" s="1912">
        <f t="shared" si="28"/>
        <v>1028036.728</v>
      </c>
      <c r="O65" s="1912">
        <f t="shared" si="28"/>
        <v>1087622.5249999999</v>
      </c>
      <c r="P65" s="1912">
        <f t="shared" si="28"/>
        <v>1378781.111</v>
      </c>
      <c r="Q65" s="1912">
        <f t="shared" si="28"/>
        <v>959753.04999999993</v>
      </c>
      <c r="R65" s="1912">
        <f t="shared" si="28"/>
        <v>1134607.46</v>
      </c>
      <c r="S65" s="1980">
        <f t="shared" si="15"/>
        <v>14396252.876000002</v>
      </c>
      <c r="T65" s="2169">
        <f>+[30]receitas2019!$BZ$41/1000</f>
        <v>14396252.876</v>
      </c>
      <c r="U65" s="2178">
        <f t="shared" si="16"/>
        <v>0</v>
      </c>
      <c r="V65" s="1854"/>
      <c r="W65" s="2003"/>
      <c r="Y65" s="2008">
        <f t="shared" si="6"/>
        <v>14396.252876000002</v>
      </c>
    </row>
    <row r="66" spans="1:26" s="1855" customFormat="1" ht="26.25">
      <c r="A66" s="1886">
        <f>G67+G83+G84</f>
        <v>200293.93100000001</v>
      </c>
      <c r="B66" s="1908" t="s">
        <v>3265</v>
      </c>
      <c r="C66" s="2058" t="str">
        <f>'Receitas (mensais)'!D74</f>
        <v xml:space="preserve">          Combustivel</v>
      </c>
      <c r="D66" s="1910"/>
      <c r="E66" s="1912"/>
      <c r="F66" s="2072">
        <v>2917852.7439999999</v>
      </c>
      <c r="G66" s="1912">
        <f>+'Receitas (mensais)'!E74</f>
        <v>237210.24799999999</v>
      </c>
      <c r="H66" s="1912">
        <f>+'Receitas (mensais)'!F74</f>
        <v>154817.394</v>
      </c>
      <c r="I66" s="1912">
        <f>+'Receitas (mensais)'!G74</f>
        <v>178749.614</v>
      </c>
      <c r="J66" s="1912">
        <f>+'Receitas (mensais)'!H74</f>
        <v>105093.598</v>
      </c>
      <c r="K66" s="1912">
        <f>+'Receitas (mensais)'!I74</f>
        <v>255676.318</v>
      </c>
      <c r="L66" s="1912">
        <f>+'Receitas (mensais)'!J74</f>
        <v>186406.864</v>
      </c>
      <c r="M66" s="1912">
        <f>+'Receitas (mensais)'!K74</f>
        <v>244900.753</v>
      </c>
      <c r="N66" s="1912">
        <f>+'Receitas (mensais)'!L74</f>
        <v>219216.77799999999</v>
      </c>
      <c r="O66" s="1912">
        <f>+'Receitas (mensais)'!M74</f>
        <v>251102.497</v>
      </c>
      <c r="P66" s="1912">
        <f>+'Receitas (mensais)'!N74</f>
        <v>230162.82500000001</v>
      </c>
      <c r="Q66" s="1912">
        <f>+'Receitas (mensais)'!O74</f>
        <v>222832.212</v>
      </c>
      <c r="R66" s="1912">
        <f>+'Receitas (mensais)'!P74</f>
        <v>174175.78700000001</v>
      </c>
      <c r="S66" s="1980">
        <f t="shared" si="15"/>
        <v>2460344.8879999998</v>
      </c>
      <c r="T66" s="2169"/>
      <c r="U66" s="2178"/>
      <c r="V66" s="1854"/>
      <c r="W66" s="2003"/>
      <c r="Y66" s="2008">
        <f t="shared" si="6"/>
        <v>2460.3448879999996</v>
      </c>
    </row>
    <row r="67" spans="1:26" s="1860" customFormat="1" ht="26.25">
      <c r="A67" s="1887"/>
      <c r="B67" s="1908" t="s">
        <v>3266</v>
      </c>
      <c r="C67" s="2058" t="str">
        <f>'Receitas (mensais)'!D75</f>
        <v xml:space="preserve">          Arroz</v>
      </c>
      <c r="D67" s="1921"/>
      <c r="E67" s="1912"/>
      <c r="F67" s="2072">
        <v>2601425.3390000002</v>
      </c>
      <c r="G67" s="1912">
        <f>+'Receitas (mensais)'!E75</f>
        <v>196109.93100000001</v>
      </c>
      <c r="H67" s="1912">
        <f>+'Receitas (mensais)'!F75</f>
        <v>196598.948</v>
      </c>
      <c r="I67" s="1912">
        <f>+'Receitas (mensais)'!G75</f>
        <v>199286.57699999999</v>
      </c>
      <c r="J67" s="1912">
        <f>+'Receitas (mensais)'!H75</f>
        <v>93807.554999999993</v>
      </c>
      <c r="K67" s="1912">
        <f>+'Receitas (mensais)'!I75</f>
        <v>274640.266</v>
      </c>
      <c r="L67" s="1912">
        <f>+'Receitas (mensais)'!J75</f>
        <v>141286.48800000001</v>
      </c>
      <c r="M67" s="1912">
        <f>+'Receitas (mensais)'!K75</f>
        <v>133201.59299999999</v>
      </c>
      <c r="N67" s="1912">
        <f>+'Receitas (mensais)'!L75</f>
        <v>174054.54800000001</v>
      </c>
      <c r="O67" s="1912">
        <f>+'Receitas (mensais)'!M75</f>
        <v>117945.776</v>
      </c>
      <c r="P67" s="1912">
        <f>+'Receitas (mensais)'!N75</f>
        <v>199729.67499999999</v>
      </c>
      <c r="Q67" s="1912">
        <f>+'Receitas (mensais)'!O75</f>
        <v>66115.675000000003</v>
      </c>
      <c r="R67" s="1912">
        <f>+'Receitas (mensais)'!P75</f>
        <v>83595.956999999995</v>
      </c>
      <c r="S67" s="1980">
        <f t="shared" si="15"/>
        <v>1876372.9890000001</v>
      </c>
      <c r="T67" s="2169"/>
      <c r="U67" s="2178"/>
      <c r="V67" s="1859"/>
      <c r="W67" s="2003"/>
      <c r="Y67" s="2008">
        <f t="shared" si="6"/>
        <v>1876.372989</v>
      </c>
    </row>
    <row r="68" spans="1:26" s="1855" customFormat="1" ht="26.25">
      <c r="A68" s="1884"/>
      <c r="B68" s="1908" t="s">
        <v>3267</v>
      </c>
      <c r="C68" s="2058" t="str">
        <f>'Receitas (mensais)'!D76</f>
        <v xml:space="preserve">          Outros</v>
      </c>
      <c r="D68" s="1910"/>
      <c r="E68" s="1912"/>
      <c r="F68" s="2072">
        <v>15792689.659</v>
      </c>
      <c r="G68" s="1912">
        <f>+'Receitas (mensais)'!E76</f>
        <v>676422.79700000002</v>
      </c>
      <c r="H68" s="1912">
        <f>+'Receitas (mensais)'!F76</f>
        <v>956519.16</v>
      </c>
      <c r="I68" s="1912">
        <f>+'Receitas (mensais)'!G76</f>
        <v>860768.04700000002</v>
      </c>
      <c r="J68" s="1912">
        <f>+'Receitas (mensais)'!H76</f>
        <v>874119.82499999995</v>
      </c>
      <c r="K68" s="1912">
        <f>+'Receitas (mensais)'!I76</f>
        <v>1008561.326</v>
      </c>
      <c r="L68" s="1912">
        <f>+'Receitas (mensais)'!J76</f>
        <v>938412.92099999997</v>
      </c>
      <c r="M68" s="1912">
        <f>+'Receitas (mensais)'!K76</f>
        <v>894861.77899999998</v>
      </c>
      <c r="N68" s="1912">
        <f>+'Receitas (mensais)'!L76</f>
        <v>634765.402</v>
      </c>
      <c r="O68" s="1912">
        <f>+'Receitas (mensais)'!M76</f>
        <v>718574.25199999998</v>
      </c>
      <c r="P68" s="1912">
        <f>+'Receitas (mensais)'!N76</f>
        <v>948888.61100000003</v>
      </c>
      <c r="Q68" s="1912">
        <f>+'Receitas (mensais)'!O76</f>
        <v>670805.16299999994</v>
      </c>
      <c r="R68" s="1912">
        <f>+'Receitas (mensais)'!P76</f>
        <v>876835.71600000001</v>
      </c>
      <c r="S68" s="1980">
        <f t="shared" si="15"/>
        <v>10059534.999000002</v>
      </c>
      <c r="T68" s="2169"/>
      <c r="U68" s="2178"/>
      <c r="V68" s="1854"/>
      <c r="W68" s="2003"/>
      <c r="Y68" s="2008">
        <f t="shared" si="6"/>
        <v>10059.534999000001</v>
      </c>
    </row>
    <row r="69" spans="1:26" s="1855" customFormat="1" ht="26.25">
      <c r="A69" s="1884"/>
      <c r="B69" s="1920" t="s">
        <v>3264</v>
      </c>
      <c r="C69" s="2032" t="str">
        <f>'Receitas (mensais)'!D77</f>
        <v>Produção Local e Vendas/DGCI</v>
      </c>
      <c r="D69" s="1910"/>
      <c r="E69" s="1912"/>
      <c r="F69" s="2072">
        <f>SUM(F70:F73)</f>
        <v>13431309.927999999</v>
      </c>
      <c r="G69" s="1912">
        <f>SUM(G70:G73)</f>
        <v>790025.10399999993</v>
      </c>
      <c r="H69" s="1912">
        <f t="shared" ref="H69:R69" si="29">SUM(H70:H73)</f>
        <v>764287.478</v>
      </c>
      <c r="I69" s="1912">
        <f t="shared" si="29"/>
        <v>830990.55900000001</v>
      </c>
      <c r="J69" s="1912">
        <f t="shared" si="29"/>
        <v>884977.46600000001</v>
      </c>
      <c r="K69" s="1912">
        <f t="shared" si="29"/>
        <v>753987.45899999992</v>
      </c>
      <c r="L69" s="1912">
        <f t="shared" si="29"/>
        <v>969491.78099999996</v>
      </c>
      <c r="M69" s="1912">
        <f t="shared" si="29"/>
        <v>1159795.321</v>
      </c>
      <c r="N69" s="1912">
        <f t="shared" si="29"/>
        <v>953240.42499999993</v>
      </c>
      <c r="O69" s="1912">
        <f t="shared" si="29"/>
        <v>900791.36600000004</v>
      </c>
      <c r="P69" s="1912">
        <f t="shared" si="29"/>
        <v>978404.9439999999</v>
      </c>
      <c r="Q69" s="1912">
        <f t="shared" si="29"/>
        <v>934406.01299999992</v>
      </c>
      <c r="R69" s="1912">
        <f t="shared" si="29"/>
        <v>809795.34100000013</v>
      </c>
      <c r="S69" s="1980">
        <f t="shared" si="15"/>
        <v>10730193.256999999</v>
      </c>
      <c r="T69" s="2169">
        <f>+[30]receitas2019!$BZ$45/1000</f>
        <v>10730434.825999999</v>
      </c>
      <c r="U69" s="2204">
        <f>+S69-T69</f>
        <v>-241.56900000013411</v>
      </c>
      <c r="V69" s="1854"/>
      <c r="W69" s="2003"/>
      <c r="Y69" s="2008">
        <f t="shared" si="6"/>
        <v>10730.193256999999</v>
      </c>
    </row>
    <row r="70" spans="1:26" s="1855" customFormat="1" ht="26.25">
      <c r="A70" s="1884"/>
      <c r="B70" s="1920" t="s">
        <v>3268</v>
      </c>
      <c r="C70" s="2058" t="str">
        <f>'Receitas (mensais)'!D78</f>
        <v xml:space="preserve">         Cerveja e Refrigerante-Produção Local</v>
      </c>
      <c r="D70" s="1910"/>
      <c r="E70" s="1912"/>
      <c r="F70" s="2072"/>
      <c r="G70" s="1912">
        <f>+'Receitas (mensais)'!E78</f>
        <v>0</v>
      </c>
      <c r="H70" s="1912">
        <f>+'Receitas (mensais)'!F78</f>
        <v>0</v>
      </c>
      <c r="I70" s="1912">
        <f>+'Receitas (mensais)'!G78</f>
        <v>0</v>
      </c>
      <c r="J70" s="1912">
        <f>+'Receitas (mensais)'!H78</f>
        <v>0</v>
      </c>
      <c r="K70" s="1912">
        <f>+'Receitas (mensais)'!I78</f>
        <v>0</v>
      </c>
      <c r="L70" s="1912">
        <f>+'Receitas (mensais)'!J78</f>
        <v>0</v>
      </c>
      <c r="M70" s="1912">
        <f>+'Receitas (mensais)'!K78</f>
        <v>0</v>
      </c>
      <c r="N70" s="1912">
        <f>+'Receitas (mensais)'!L78</f>
        <v>0</v>
      </c>
      <c r="O70" s="1912">
        <f>+'Receitas (mensais)'!M78</f>
        <v>0</v>
      </c>
      <c r="P70" s="1912">
        <f>+'Receitas (mensais)'!N78</f>
        <v>0</v>
      </c>
      <c r="Q70" s="1912">
        <f>+'Receitas (mensais)'!O78</f>
        <v>0</v>
      </c>
      <c r="R70" s="1912">
        <f>+'Receitas (mensais)'!P78</f>
        <v>0</v>
      </c>
      <c r="S70" s="1980">
        <f t="shared" si="15"/>
        <v>0</v>
      </c>
      <c r="T70" s="2169"/>
      <c r="U70" s="2178">
        <f t="shared" si="16"/>
        <v>0</v>
      </c>
      <c r="V70" s="1854"/>
      <c r="W70" s="2003"/>
      <c r="Y70" s="2008">
        <f t="shared" si="6"/>
        <v>0</v>
      </c>
    </row>
    <row r="71" spans="1:26" s="1855" customFormat="1" ht="26.25">
      <c r="A71" s="1884"/>
      <c r="B71" s="1920" t="s">
        <v>3269</v>
      </c>
      <c r="C71" s="2058" t="str">
        <f>'Receitas (mensais)'!D79</f>
        <v xml:space="preserve">        Aguardente</v>
      </c>
      <c r="D71" s="1910"/>
      <c r="E71" s="1912"/>
      <c r="F71" s="2072"/>
      <c r="G71" s="1912">
        <f>+'Receitas (mensais)'!E79</f>
        <v>0</v>
      </c>
      <c r="H71" s="1912">
        <f>+'Receitas (mensais)'!F79</f>
        <v>0</v>
      </c>
      <c r="I71" s="1912">
        <f>+'Receitas (mensais)'!G79</f>
        <v>0</v>
      </c>
      <c r="J71" s="1912">
        <f>+'Receitas (mensais)'!H79</f>
        <v>0</v>
      </c>
      <c r="K71" s="1912">
        <f>+'Receitas (mensais)'!I79</f>
        <v>0</v>
      </c>
      <c r="L71" s="1912">
        <f>+'Receitas (mensais)'!J79</f>
        <v>0</v>
      </c>
      <c r="M71" s="1912">
        <f>+'Receitas (mensais)'!K79</f>
        <v>715.41</v>
      </c>
      <c r="N71" s="1912">
        <f>+'Receitas (mensais)'!L79</f>
        <v>0</v>
      </c>
      <c r="O71" s="1912">
        <f>+'Receitas (mensais)'!M79</f>
        <v>0</v>
      </c>
      <c r="P71" s="1912">
        <f>+'Receitas (mensais)'!N79</f>
        <v>0</v>
      </c>
      <c r="Q71" s="1912">
        <f>+'Receitas (mensais)'!O79</f>
        <v>480.75</v>
      </c>
      <c r="R71" s="1912">
        <f>+'Receitas (mensais)'!P79</f>
        <v>0</v>
      </c>
      <c r="S71" s="1980">
        <f t="shared" si="15"/>
        <v>1196.1599999999999</v>
      </c>
      <c r="T71" s="2169"/>
      <c r="U71" s="2180"/>
      <c r="V71" s="1854"/>
      <c r="W71" s="2003"/>
      <c r="Y71" s="2008">
        <f t="shared" ref="Y71:Y310" si="30">S71/1000</f>
        <v>1.1961599999999999</v>
      </c>
    </row>
    <row r="72" spans="1:26" s="1855" customFormat="1" ht="26.25">
      <c r="A72" s="1884"/>
      <c r="B72" s="1920" t="s">
        <v>3270</v>
      </c>
      <c r="C72" s="2045" t="s">
        <v>3258</v>
      </c>
      <c r="D72" s="1910"/>
      <c r="E72" s="1912"/>
      <c r="F72" s="2072"/>
      <c r="G72" s="1912">
        <f>+'Receitas (mensais)'!E80</f>
        <v>0</v>
      </c>
      <c r="H72" s="1912">
        <f>+'Receitas (mensais)'!F80</f>
        <v>0</v>
      </c>
      <c r="I72" s="1912">
        <f>+'Receitas (mensais)'!G80</f>
        <v>0</v>
      </c>
      <c r="J72" s="1912">
        <f>+'Receitas (mensais)'!H80</f>
        <v>0</v>
      </c>
      <c r="K72" s="1912">
        <f>+'Receitas (mensais)'!I80</f>
        <v>0</v>
      </c>
      <c r="L72" s="1912">
        <f>+'Receitas (mensais)'!J80</f>
        <v>0</v>
      </c>
      <c r="M72" s="1912">
        <f>+'Receitas (mensais)'!K80</f>
        <v>0</v>
      </c>
      <c r="N72" s="1912">
        <f>+'Receitas (mensais)'!L80</f>
        <v>0</v>
      </c>
      <c r="O72" s="1912">
        <f>+'Receitas (mensais)'!M80</f>
        <v>0</v>
      </c>
      <c r="P72" s="1912">
        <f>+'Receitas (mensais)'!N80</f>
        <v>0</v>
      </c>
      <c r="Q72" s="1912">
        <f>+'Receitas (mensais)'!O80</f>
        <v>0</v>
      </c>
      <c r="R72" s="1912">
        <f>+'Receitas (mensais)'!P80</f>
        <v>0</v>
      </c>
      <c r="S72" s="1980">
        <f t="shared" si="15"/>
        <v>0</v>
      </c>
      <c r="T72" s="2169"/>
      <c r="U72" s="2178">
        <f t="shared" si="16"/>
        <v>0</v>
      </c>
      <c r="V72" s="1854"/>
      <c r="W72" s="2003"/>
      <c r="Y72" s="2008"/>
    </row>
    <row r="73" spans="1:26" s="1855" customFormat="1" ht="26.25">
      <c r="A73" s="1884"/>
      <c r="B73" s="1920" t="s">
        <v>3271</v>
      </c>
      <c r="C73" s="2045" t="s">
        <v>790</v>
      </c>
      <c r="D73" s="1910"/>
      <c r="E73" s="1912"/>
      <c r="F73" s="2072">
        <v>13431309.927999999</v>
      </c>
      <c r="G73" s="1912">
        <f>+'Receitas (mensais)'!E81</f>
        <v>790025.10399999993</v>
      </c>
      <c r="H73" s="1912">
        <f>+'Receitas (mensais)'!F81</f>
        <v>764287.478</v>
      </c>
      <c r="I73" s="1912">
        <f>+'Receitas (mensais)'!G81</f>
        <v>830990.55900000001</v>
      </c>
      <c r="J73" s="1912">
        <f>+'Receitas (mensais)'!H81</f>
        <v>884977.46600000001</v>
      </c>
      <c r="K73" s="1912">
        <f>+'Receitas (mensais)'!I81</f>
        <v>753987.45899999992</v>
      </c>
      <c r="L73" s="1912">
        <f>+'Receitas (mensais)'!J81</f>
        <v>969491.78099999996</v>
      </c>
      <c r="M73" s="1912">
        <f>+'Receitas (mensais)'!K81</f>
        <v>1159079.9110000001</v>
      </c>
      <c r="N73" s="1912">
        <f>+'Receitas (mensais)'!L81</f>
        <v>953240.42499999993</v>
      </c>
      <c r="O73" s="1912">
        <f>+'Receitas (mensais)'!M81</f>
        <v>900791.36600000004</v>
      </c>
      <c r="P73" s="1912">
        <f>+'Receitas (mensais)'!N81</f>
        <v>978404.9439999999</v>
      </c>
      <c r="Q73" s="1912">
        <f>+'Receitas (mensais)'!O81</f>
        <v>933925.26299999992</v>
      </c>
      <c r="R73" s="1912">
        <f>+'Receitas (mensais)'!P81</f>
        <v>809795.34100000013</v>
      </c>
      <c r="S73" s="1980">
        <f t="shared" si="15"/>
        <v>10728997.096999999</v>
      </c>
      <c r="T73" s="2169"/>
      <c r="U73" s="2180"/>
      <c r="V73" s="1854">
        <f>+U71+U78</f>
        <v>243.125</v>
      </c>
      <c r="W73" s="2003"/>
      <c r="Y73" s="2008"/>
    </row>
    <row r="74" spans="1:26" s="1855" customFormat="1" ht="26.25">
      <c r="A74" s="1884"/>
      <c r="B74" s="1920" t="s">
        <v>3272</v>
      </c>
      <c r="C74" s="2032" t="s">
        <v>3262</v>
      </c>
      <c r="D74" s="1910"/>
      <c r="E74" s="1912"/>
      <c r="F74" s="2072"/>
      <c r="G74" s="1912">
        <f>+G75+G76</f>
        <v>0</v>
      </c>
      <c r="H74" s="1912">
        <f t="shared" ref="H74:R74" si="31">+H75+H76</f>
        <v>0</v>
      </c>
      <c r="I74" s="1912">
        <f>+I75+I76</f>
        <v>0</v>
      </c>
      <c r="J74" s="1912">
        <f t="shared" si="31"/>
        <v>0</v>
      </c>
      <c r="K74" s="1912">
        <f t="shared" si="31"/>
        <v>0</v>
      </c>
      <c r="L74" s="1912">
        <f t="shared" si="31"/>
        <v>0</v>
      </c>
      <c r="M74" s="1912">
        <f t="shared" si="31"/>
        <v>0</v>
      </c>
      <c r="N74" s="1912">
        <f t="shared" si="31"/>
        <v>0</v>
      </c>
      <c r="O74" s="1912">
        <f t="shared" si="31"/>
        <v>0</v>
      </c>
      <c r="P74" s="1912">
        <f t="shared" si="31"/>
        <v>0</v>
      </c>
      <c r="Q74" s="1912">
        <f t="shared" si="31"/>
        <v>0</v>
      </c>
      <c r="R74" s="1912">
        <f t="shared" si="31"/>
        <v>0</v>
      </c>
      <c r="S74" s="1980">
        <f t="shared" si="15"/>
        <v>0</v>
      </c>
      <c r="T74" s="2169"/>
      <c r="U74" s="2178">
        <f t="shared" ref="U74:U136" si="32">+S74-T74</f>
        <v>0</v>
      </c>
      <c r="V74" s="1854"/>
      <c r="W74" s="2003"/>
      <c r="Y74" s="2008">
        <f t="shared" si="30"/>
        <v>0</v>
      </c>
    </row>
    <row r="75" spans="1:26" s="1855" customFormat="1" ht="26.25">
      <c r="A75" s="1884"/>
      <c r="B75" s="1920" t="s">
        <v>3274</v>
      </c>
      <c r="C75" s="2060" t="s">
        <v>3260</v>
      </c>
      <c r="D75" s="1910"/>
      <c r="E75" s="1912"/>
      <c r="F75" s="2072"/>
      <c r="G75" s="1912">
        <f>'Receitas (mensais)'!E83</f>
        <v>0</v>
      </c>
      <c r="H75" s="1912">
        <f>'Receitas (mensais)'!F83</f>
        <v>0</v>
      </c>
      <c r="I75" s="1912">
        <f>'Receitas (mensais)'!G83</f>
        <v>0</v>
      </c>
      <c r="J75" s="1912">
        <f>'Receitas (mensais)'!H83</f>
        <v>0</v>
      </c>
      <c r="K75" s="1912">
        <f>'Receitas (mensais)'!I83</f>
        <v>0</v>
      </c>
      <c r="L75" s="1912">
        <f>'Receitas (mensais)'!J83</f>
        <v>0</v>
      </c>
      <c r="M75" s="1912">
        <f>'Receitas (mensais)'!K83</f>
        <v>0</v>
      </c>
      <c r="N75" s="1912">
        <f>'Receitas (mensais)'!L83</f>
        <v>0</v>
      </c>
      <c r="O75" s="1912">
        <f>'Receitas (mensais)'!M83</f>
        <v>0</v>
      </c>
      <c r="P75" s="1912">
        <f>'Receitas (mensais)'!N83</f>
        <v>0</v>
      </c>
      <c r="Q75" s="1912">
        <f>'Receitas (mensais)'!O83</f>
        <v>0</v>
      </c>
      <c r="R75" s="1912">
        <f>'Receitas (mensais)'!P83</f>
        <v>0</v>
      </c>
      <c r="S75" s="1980"/>
      <c r="T75" s="2169"/>
      <c r="U75" s="2178">
        <f t="shared" si="32"/>
        <v>0</v>
      </c>
      <c r="V75" s="1854"/>
      <c r="W75" s="2003"/>
      <c r="Y75" s="2008"/>
    </row>
    <row r="76" spans="1:26" s="1855" customFormat="1" ht="26.25">
      <c r="A76" s="1884"/>
      <c r="B76" s="1920" t="s">
        <v>3275</v>
      </c>
      <c r="C76" s="2060" t="s">
        <v>3261</v>
      </c>
      <c r="D76" s="1910"/>
      <c r="E76" s="1912"/>
      <c r="F76" s="2072"/>
      <c r="G76" s="1912">
        <f>'Receitas (mensais)'!E84</f>
        <v>0</v>
      </c>
      <c r="H76" s="1912">
        <f>'Receitas (mensais)'!F84</f>
        <v>0</v>
      </c>
      <c r="I76" s="1912">
        <f>'Receitas (mensais)'!G84</f>
        <v>0</v>
      </c>
      <c r="J76" s="1912">
        <f>'Receitas (mensais)'!H84</f>
        <v>0</v>
      </c>
      <c r="K76" s="1912">
        <f>'Receitas (mensais)'!I84</f>
        <v>0</v>
      </c>
      <c r="L76" s="1912">
        <f>'Receitas (mensais)'!J84</f>
        <v>0</v>
      </c>
      <c r="M76" s="1912">
        <f>'Receitas (mensais)'!K84</f>
        <v>0</v>
      </c>
      <c r="N76" s="1912">
        <f>'Receitas (mensais)'!L84</f>
        <v>0</v>
      </c>
      <c r="O76" s="1912">
        <f>'Receitas (mensais)'!M84</f>
        <v>0</v>
      </c>
      <c r="P76" s="1912">
        <f>'Receitas (mensais)'!N84</f>
        <v>0</v>
      </c>
      <c r="Q76" s="1912">
        <f>'Receitas (mensais)'!O84</f>
        <v>0</v>
      </c>
      <c r="R76" s="1912">
        <f>'Receitas (mensais)'!P84</f>
        <v>0</v>
      </c>
      <c r="S76" s="1980"/>
      <c r="T76" s="2169"/>
      <c r="U76" s="2178">
        <f t="shared" si="32"/>
        <v>0</v>
      </c>
      <c r="V76" s="1854"/>
      <c r="W76" s="2003"/>
      <c r="Y76" s="2008"/>
    </row>
    <row r="77" spans="1:26" s="1855" customFormat="1" ht="26.25">
      <c r="A77" s="1884"/>
      <c r="B77" s="1920" t="s">
        <v>3273</v>
      </c>
      <c r="C77" s="2032" t="str">
        <f>'Receitas (mensais)'!D85</f>
        <v>Arroz</v>
      </c>
      <c r="D77" s="1910"/>
      <c r="E77" s="1912"/>
      <c r="F77" s="2072"/>
      <c r="G77" s="1912">
        <f>'Receitas (mensais)'!E85</f>
        <v>0</v>
      </c>
      <c r="H77" s="1912">
        <f>'Receitas (mensais)'!F85</f>
        <v>0</v>
      </c>
      <c r="I77" s="1912">
        <f>'Receitas (mensais)'!G85</f>
        <v>0</v>
      </c>
      <c r="J77" s="1912">
        <f>'Receitas (mensais)'!H85</f>
        <v>0</v>
      </c>
      <c r="K77" s="1912">
        <f>'Receitas (mensais)'!I85</f>
        <v>0</v>
      </c>
      <c r="L77" s="1912">
        <f>'Receitas (mensais)'!J85</f>
        <v>0</v>
      </c>
      <c r="M77" s="1912">
        <f>'Receitas (mensais)'!K85</f>
        <v>0</v>
      </c>
      <c r="N77" s="1912">
        <f>'Receitas (mensais)'!L85</f>
        <v>0</v>
      </c>
      <c r="O77" s="1912">
        <f>'Receitas (mensais)'!M85</f>
        <v>0</v>
      </c>
      <c r="P77" s="1912">
        <f>'Receitas (mensais)'!N85</f>
        <v>0</v>
      </c>
      <c r="Q77" s="1912">
        <f>'Receitas (mensais)'!O85</f>
        <v>0</v>
      </c>
      <c r="R77" s="1912">
        <f>'Receitas (mensais)'!P85</f>
        <v>0</v>
      </c>
      <c r="S77" s="1980">
        <f t="shared" si="15"/>
        <v>0</v>
      </c>
      <c r="T77" s="2169"/>
      <c r="U77" s="2178">
        <f t="shared" si="32"/>
        <v>0</v>
      </c>
      <c r="V77" s="1854"/>
      <c r="W77" s="2003"/>
      <c r="Y77" s="2008">
        <f t="shared" si="30"/>
        <v>0</v>
      </c>
    </row>
    <row r="78" spans="1:26" s="1855" customFormat="1" ht="26.25">
      <c r="A78" s="1884"/>
      <c r="B78" s="1920" t="s">
        <v>3276</v>
      </c>
      <c r="C78" s="2032" t="str">
        <f>'Receitas (mensais)'!D86</f>
        <v>Outros</v>
      </c>
      <c r="D78" s="1910"/>
      <c r="E78" s="1912"/>
      <c r="F78" s="2072"/>
      <c r="G78" s="1912">
        <f>'Receitas (mensais)'!E86</f>
        <v>0</v>
      </c>
      <c r="H78" s="1912">
        <f>'Receitas (mensais)'!F86</f>
        <v>0</v>
      </c>
      <c r="I78" s="1912">
        <f>'Receitas (mensais)'!G86</f>
        <v>165.20500000000001</v>
      </c>
      <c r="J78" s="1912">
        <f>'Receitas (mensais)'!H86</f>
        <v>0</v>
      </c>
      <c r="K78" s="1912">
        <f>'Receitas (mensais)'!I86</f>
        <v>0</v>
      </c>
      <c r="L78" s="1912">
        <f>'Receitas (mensais)'!J86</f>
        <v>0</v>
      </c>
      <c r="M78" s="1912">
        <f>'Receitas (mensais)'!K86</f>
        <v>0</v>
      </c>
      <c r="N78" s="1912">
        <f>'Receitas (mensais)'!L86</f>
        <v>0</v>
      </c>
      <c r="O78" s="1912">
        <f>'Receitas (mensais)'!M86</f>
        <v>0</v>
      </c>
      <c r="P78" s="1912">
        <f>'Receitas (mensais)'!N86</f>
        <v>0</v>
      </c>
      <c r="Q78" s="1912">
        <f>'Receitas (mensais)'!O86</f>
        <v>0</v>
      </c>
      <c r="R78" s="1912">
        <f>'Receitas (mensais)'!P86</f>
        <v>77.92</v>
      </c>
      <c r="S78" s="1980">
        <f t="shared" si="15"/>
        <v>243.125</v>
      </c>
      <c r="T78" s="2169"/>
      <c r="U78" s="2204">
        <f t="shared" si="32"/>
        <v>243.125</v>
      </c>
      <c r="V78" s="1854"/>
      <c r="W78" s="2003"/>
      <c r="Y78" s="2008">
        <f t="shared" si="30"/>
        <v>0.24312500000000001</v>
      </c>
    </row>
    <row r="79" spans="1:26" s="2043" customFormat="1" ht="26.25">
      <c r="A79" s="2034"/>
      <c r="B79" s="2035" t="s">
        <v>3188</v>
      </c>
      <c r="C79" s="2036" t="str">
        <f>'Receitas (mensais)'!D87</f>
        <v>Outros impostos indirectos</v>
      </c>
      <c r="D79" s="2037"/>
      <c r="E79" s="2038"/>
      <c r="F79" s="2071">
        <f>+F80+F92+F93</f>
        <v>1493342.4699999995</v>
      </c>
      <c r="G79" s="2038">
        <f>+G80+G92+G93</f>
        <v>65692.951000000001</v>
      </c>
      <c r="H79" s="2038">
        <f t="shared" ref="H79:R79" si="33">+H80+H92+H93</f>
        <v>288791.40899999999</v>
      </c>
      <c r="I79" s="2038">
        <f t="shared" si="33"/>
        <v>73323.263000000006</v>
      </c>
      <c r="J79" s="2038">
        <f t="shared" si="33"/>
        <v>89304.963999999993</v>
      </c>
      <c r="K79" s="2038">
        <f t="shared" si="33"/>
        <v>84947.137999999992</v>
      </c>
      <c r="L79" s="2038">
        <f t="shared" si="33"/>
        <v>295436.51499999996</v>
      </c>
      <c r="M79" s="2038">
        <f t="shared" si="33"/>
        <v>104083.337</v>
      </c>
      <c r="N79" s="2038">
        <f t="shared" si="33"/>
        <v>110140.84823999999</v>
      </c>
      <c r="O79" s="2038">
        <f t="shared" si="33"/>
        <v>146556.158</v>
      </c>
      <c r="P79" s="2038">
        <f t="shared" si="33"/>
        <v>133840.75699999998</v>
      </c>
      <c r="Q79" s="2038">
        <f t="shared" si="33"/>
        <v>130656.82399999999</v>
      </c>
      <c r="R79" s="2038">
        <f t="shared" si="33"/>
        <v>135001.14899999998</v>
      </c>
      <c r="S79" s="2039">
        <f t="shared" si="15"/>
        <v>1657775.31324</v>
      </c>
      <c r="T79" s="2168">
        <f>+[30]receitas2019!$BZ$48/1000</f>
        <v>1657778.8089999999</v>
      </c>
      <c r="U79" s="2178">
        <f t="shared" si="32"/>
        <v>-3.4957599998451769</v>
      </c>
      <c r="V79" s="2040"/>
      <c r="W79" s="2041"/>
      <c r="X79" s="2042"/>
      <c r="Y79" s="2043">
        <f t="shared" si="30"/>
        <v>1657.7753132400001</v>
      </c>
      <c r="Z79" s="2044"/>
    </row>
    <row r="80" spans="1:26" s="1855" customFormat="1" ht="26.25">
      <c r="A80" s="1884"/>
      <c r="B80" s="1918" t="s">
        <v>3277</v>
      </c>
      <c r="C80" s="2032" t="str">
        <f>'Receitas (mensais)'!D88</f>
        <v>Impostos de selo e estampilhas</v>
      </c>
      <c r="D80" s="1910"/>
      <c r="E80" s="1912">
        <f>SUM(E81:E91)</f>
        <v>0</v>
      </c>
      <c r="F80" s="2072">
        <f>SUM(F81:F91)</f>
        <v>1493342.4699999995</v>
      </c>
      <c r="G80" s="1912">
        <f>SUM(G81:G91)</f>
        <v>65692.951000000001</v>
      </c>
      <c r="H80" s="1912">
        <f t="shared" ref="H80:R80" si="34">SUM(H81:H91)</f>
        <v>288791.40899999999</v>
      </c>
      <c r="I80" s="1912">
        <f t="shared" si="34"/>
        <v>73323.263000000006</v>
      </c>
      <c r="J80" s="1912">
        <f t="shared" si="34"/>
        <v>89304.963999999993</v>
      </c>
      <c r="K80" s="1912">
        <f t="shared" si="34"/>
        <v>84947.137999999992</v>
      </c>
      <c r="L80" s="1912">
        <f t="shared" si="34"/>
        <v>295436.51499999996</v>
      </c>
      <c r="M80" s="1912">
        <f t="shared" si="34"/>
        <v>104083.337</v>
      </c>
      <c r="N80" s="1912">
        <f t="shared" si="34"/>
        <v>110140.84823999999</v>
      </c>
      <c r="O80" s="1912">
        <f t="shared" si="34"/>
        <v>146556.158</v>
      </c>
      <c r="P80" s="1912">
        <f t="shared" si="34"/>
        <v>133840.75699999998</v>
      </c>
      <c r="Q80" s="1912">
        <f t="shared" si="34"/>
        <v>130656.82399999999</v>
      </c>
      <c r="R80" s="1912">
        <f t="shared" si="34"/>
        <v>135001.14899999998</v>
      </c>
      <c r="S80" s="1980">
        <f t="shared" si="15"/>
        <v>1657775.31324</v>
      </c>
      <c r="T80" s="2169">
        <f>+[30]receitas2019!$BZ$49/1000</f>
        <v>1657778.8089999999</v>
      </c>
      <c r="U80" s="2178">
        <f t="shared" si="32"/>
        <v>-3.4957599998451769</v>
      </c>
      <c r="V80" s="1854"/>
      <c r="W80" s="2003"/>
      <c r="Y80" s="2008">
        <f t="shared" si="30"/>
        <v>1657.7753132400001</v>
      </c>
    </row>
    <row r="81" spans="1:27" s="1855" customFormat="1" ht="26.25">
      <c r="A81" s="1884"/>
      <c r="B81" s="1918" t="s">
        <v>3279</v>
      </c>
      <c r="C81" s="2032" t="str">
        <f>'Receitas (mensais)'!D89</f>
        <v xml:space="preserve">         Selo de assistência</v>
      </c>
      <c r="D81" s="1910"/>
      <c r="E81" s="1912"/>
      <c r="F81" s="2072">
        <v>16258.546</v>
      </c>
      <c r="G81" s="1912">
        <f>'Receitas (mensais)'!E89</f>
        <v>4197.7610000000004</v>
      </c>
      <c r="H81" s="1912">
        <f>'Receitas (mensais)'!F89</f>
        <v>8907.5380000000005</v>
      </c>
      <c r="I81" s="1912">
        <f>'Receitas (mensais)'!G89</f>
        <v>6423.8969999999999</v>
      </c>
      <c r="J81" s="1912">
        <f>'Receitas (mensais)'!H89</f>
        <v>7680.4040000000005</v>
      </c>
      <c r="K81" s="1912">
        <f>'Receitas (mensais)'!I89</f>
        <v>581</v>
      </c>
      <c r="L81" s="1912">
        <f>'Receitas (mensais)'!J89</f>
        <v>6859.0730000000003</v>
      </c>
      <c r="M81" s="1912">
        <f>'Receitas (mensais)'!K89</f>
        <v>9318.7109999999993</v>
      </c>
      <c r="N81" s="1912">
        <f>'Receitas (mensais)'!L89</f>
        <v>8937.23</v>
      </c>
      <c r="O81" s="1912">
        <f>'Receitas (mensais)'!M89</f>
        <v>11786.793</v>
      </c>
      <c r="P81" s="1912">
        <f>'Receitas (mensais)'!N89</f>
        <v>11358.724</v>
      </c>
      <c r="Q81" s="1912">
        <f>'Receitas (mensais)'!O89</f>
        <v>6233.9259999999995</v>
      </c>
      <c r="R81" s="1912">
        <f>'Receitas (mensais)'!P89</f>
        <v>5724.277</v>
      </c>
      <c r="S81" s="1980">
        <f t="shared" si="15"/>
        <v>88009.333999999973</v>
      </c>
      <c r="T81" s="2169">
        <f>+[30]receitas2019!$BZ$50/1000</f>
        <v>88009.782000000007</v>
      </c>
      <c r="U81" s="2178">
        <f t="shared" si="32"/>
        <v>-0.44800000003306195</v>
      </c>
      <c r="V81" s="1854"/>
      <c r="W81" s="2003"/>
      <c r="Y81" s="2008">
        <f t="shared" si="30"/>
        <v>88.009333999999967</v>
      </c>
    </row>
    <row r="82" spans="1:27" s="1855" customFormat="1" ht="26.25">
      <c r="A82" s="1884"/>
      <c r="B82" s="1918" t="s">
        <v>3280</v>
      </c>
      <c r="C82" s="2032" t="str">
        <f>'Receitas (mensais)'!D90</f>
        <v xml:space="preserve">          Papel Selado</v>
      </c>
      <c r="D82" s="1910"/>
      <c r="E82" s="1912"/>
      <c r="F82" s="2072">
        <v>270420.03700000001</v>
      </c>
      <c r="G82" s="1912">
        <f>'Receitas (mensais)'!E90</f>
        <v>3497</v>
      </c>
      <c r="H82" s="1912">
        <f>'Receitas (mensais)'!F90</f>
        <v>2210</v>
      </c>
      <c r="I82" s="1912">
        <f>'Receitas (mensais)'!G90</f>
        <v>3744</v>
      </c>
      <c r="J82" s="1912">
        <f>'Receitas (mensais)'!H90</f>
        <v>12694.184999999999</v>
      </c>
      <c r="K82" s="1912">
        <f>'Receitas (mensais)'!I90</f>
        <v>2519.5</v>
      </c>
      <c r="L82" s="1912">
        <f>'Receitas (mensais)'!J90</f>
        <v>5269</v>
      </c>
      <c r="M82" s="1912">
        <f>'Receitas (mensais)'!K90</f>
        <v>10009</v>
      </c>
      <c r="N82" s="1912">
        <f>'Receitas (mensais)'!L90</f>
        <v>19271</v>
      </c>
      <c r="O82" s="1912">
        <f>'Receitas (mensais)'!M90</f>
        <v>12830</v>
      </c>
      <c r="P82" s="1912">
        <f>'Receitas (mensais)'!N90</f>
        <v>8592.5</v>
      </c>
      <c r="Q82" s="1912">
        <f>'Receitas (mensais)'!O90</f>
        <v>6085</v>
      </c>
      <c r="R82" s="1912">
        <f>'Receitas (mensais)'!P90</f>
        <v>23788.666000000001</v>
      </c>
      <c r="S82" s="1980">
        <f t="shared" si="15"/>
        <v>110509.851</v>
      </c>
      <c r="T82" s="2169">
        <f>+[30]receitas2019!$BZ$51/1000</f>
        <v>110510.351</v>
      </c>
      <c r="U82" s="2183">
        <f t="shared" si="32"/>
        <v>-0.5</v>
      </c>
      <c r="V82" s="1854"/>
      <c r="W82" s="2003"/>
      <c r="Y82" s="2008">
        <f t="shared" si="30"/>
        <v>110.509851</v>
      </c>
    </row>
    <row r="83" spans="1:27" s="1860" customFormat="1" ht="26.25">
      <c r="A83" s="1887"/>
      <c r="B83" s="1918" t="s">
        <v>3281</v>
      </c>
      <c r="C83" s="2032" t="str">
        <f>'Receitas (mensais)'!D91</f>
        <v xml:space="preserve">          Estampilhas fiscais</v>
      </c>
      <c r="D83" s="1921"/>
      <c r="E83" s="1912"/>
      <c r="F83" s="2072">
        <v>144719.69699999999</v>
      </c>
      <c r="G83" s="1912">
        <f>'Receitas (mensais)'!E91</f>
        <v>4184</v>
      </c>
      <c r="H83" s="1912">
        <f>'Receitas (mensais)'!F91</f>
        <v>5196</v>
      </c>
      <c r="I83" s="1912">
        <f>'Receitas (mensais)'!G91</f>
        <v>5077</v>
      </c>
      <c r="J83" s="1912">
        <f>'Receitas (mensais)'!H91</f>
        <v>8239</v>
      </c>
      <c r="K83" s="1912">
        <f>'Receitas (mensais)'!I91</f>
        <v>1582</v>
      </c>
      <c r="L83" s="1912">
        <f>'Receitas (mensais)'!J91</f>
        <v>5532.5</v>
      </c>
      <c r="M83" s="1912">
        <f>'Receitas (mensais)'!K91</f>
        <v>12996.5</v>
      </c>
      <c r="N83" s="1912">
        <f>'Receitas (mensais)'!L91</f>
        <v>10409.5</v>
      </c>
      <c r="O83" s="1912">
        <f>'Receitas (mensais)'!M91</f>
        <v>17167</v>
      </c>
      <c r="P83" s="1912">
        <f>'Receitas (mensais)'!N91</f>
        <v>11799.45</v>
      </c>
      <c r="Q83" s="1912">
        <f>'Receitas (mensais)'!O91</f>
        <v>3529.5</v>
      </c>
      <c r="R83" s="1912">
        <f>'Receitas (mensais)'!P91</f>
        <v>3432</v>
      </c>
      <c r="S83" s="1980">
        <f t="shared" si="15"/>
        <v>89144.45</v>
      </c>
      <c r="T83" s="2169">
        <f>+[30]receitas2019!$BZ$52/1000</f>
        <v>89144.95</v>
      </c>
      <c r="U83" s="2183">
        <f t="shared" si="32"/>
        <v>-0.5</v>
      </c>
      <c r="V83" s="1859"/>
      <c r="W83" s="2003"/>
      <c r="Y83" s="2008">
        <f t="shared" si="30"/>
        <v>89.144449999999992</v>
      </c>
    </row>
    <row r="84" spans="1:27" s="1860" customFormat="1" ht="26.25">
      <c r="A84" s="1887"/>
      <c r="B84" s="1918" t="s">
        <v>3282</v>
      </c>
      <c r="C84" s="2032" t="str">
        <f>'Receitas (mensais)'!D92</f>
        <v xml:space="preserve">          Letras Seladas e Impress</v>
      </c>
      <c r="D84" s="1921"/>
      <c r="E84" s="1912"/>
      <c r="F84" s="2072">
        <v>120.59099999999999</v>
      </c>
      <c r="G84" s="1912">
        <f>'Receitas (mensais)'!E92</f>
        <v>0</v>
      </c>
      <c r="H84" s="1912">
        <f>'Receitas (mensais)'!F92</f>
        <v>0</v>
      </c>
      <c r="I84" s="1912">
        <f>'Receitas (mensais)'!G92</f>
        <v>0</v>
      </c>
      <c r="J84" s="1912">
        <f>'Receitas (mensais)'!H92</f>
        <v>0</v>
      </c>
      <c r="K84" s="1912">
        <f>'Receitas (mensais)'!I92</f>
        <v>0</v>
      </c>
      <c r="L84" s="1912">
        <f>'Receitas (mensais)'!J92</f>
        <v>0</v>
      </c>
      <c r="M84" s="1912">
        <f>'Receitas (mensais)'!K92</f>
        <v>0</v>
      </c>
      <c r="N84" s="1912">
        <f>'Receitas (mensais)'!L92</f>
        <v>0</v>
      </c>
      <c r="O84" s="1912">
        <f>'Receitas (mensais)'!M92</f>
        <v>0</v>
      </c>
      <c r="P84" s="1912">
        <f>'Receitas (mensais)'!N92</f>
        <v>250</v>
      </c>
      <c r="Q84" s="1912">
        <f>'Receitas (mensais)'!O92</f>
        <v>0</v>
      </c>
      <c r="R84" s="1912">
        <f>'Receitas (mensais)'!P92</f>
        <v>0</v>
      </c>
      <c r="S84" s="1980">
        <f t="shared" si="15"/>
        <v>250</v>
      </c>
      <c r="T84" s="2169">
        <f>+[30]receitas2019!$BZ$53/1000</f>
        <v>250</v>
      </c>
      <c r="U84" s="2178">
        <f t="shared" si="32"/>
        <v>0</v>
      </c>
      <c r="V84" s="1859"/>
      <c r="W84" s="2003"/>
      <c r="Y84" s="2008">
        <f t="shared" si="30"/>
        <v>0.25</v>
      </c>
    </row>
    <row r="85" spans="1:27" s="1855" customFormat="1" ht="26.25">
      <c r="A85" s="1884"/>
      <c r="B85" s="1918" t="s">
        <v>3283</v>
      </c>
      <c r="C85" s="2032" t="str">
        <f>'Receitas (mensais)'!D93</f>
        <v xml:space="preserve">          Selo de Verba</v>
      </c>
      <c r="D85" s="1910"/>
      <c r="E85" s="1912"/>
      <c r="F85" s="2072">
        <v>819222.34600000002</v>
      </c>
      <c r="G85" s="1912">
        <f>'Receitas (mensais)'!E93</f>
        <v>35324.822</v>
      </c>
      <c r="H85" s="1912">
        <f>'Receitas (mensais)'!F93</f>
        <v>243720.984</v>
      </c>
      <c r="I85" s="1912">
        <f>'Receitas (mensais)'!G93</f>
        <v>23504.639000000003</v>
      </c>
      <c r="J85" s="1912">
        <f>'Receitas (mensais)'!H93</f>
        <v>16564.047999999999</v>
      </c>
      <c r="K85" s="1912">
        <f>'Receitas (mensais)'!I93</f>
        <v>58632.567999999992</v>
      </c>
      <c r="L85" s="1912">
        <f>'Receitas (mensais)'!J93</f>
        <v>244777.50299999997</v>
      </c>
      <c r="M85" s="1912">
        <f>'Receitas (mensais)'!K93</f>
        <v>38585.161999999997</v>
      </c>
      <c r="N85" s="1912">
        <f>'Receitas (mensais)'!L93</f>
        <v>27024.537240000001</v>
      </c>
      <c r="O85" s="1912">
        <f>'Receitas (mensais)'!M93</f>
        <v>86828.707999999984</v>
      </c>
      <c r="P85" s="1912">
        <f>'Receitas (mensais)'!N93</f>
        <v>61188.309000000008</v>
      </c>
      <c r="Q85" s="1912">
        <f>'Receitas (mensais)'!O93</f>
        <v>100198.59999999998</v>
      </c>
      <c r="R85" s="1912">
        <f>'Receitas (mensais)'!P93</f>
        <v>91241.536999999982</v>
      </c>
      <c r="S85" s="1980">
        <f t="shared" si="15"/>
        <v>1027591.41724</v>
      </c>
      <c r="T85" s="2169">
        <f>+[30]receitas2019!$BZ$54/1000</f>
        <v>1027592.841</v>
      </c>
      <c r="U85" s="2203">
        <f t="shared" si="32"/>
        <v>-1.4237600000342354</v>
      </c>
      <c r="V85" s="1854"/>
      <c r="W85" s="2003"/>
      <c r="Y85" s="2008">
        <f t="shared" si="30"/>
        <v>1027.5914172400001</v>
      </c>
    </row>
    <row r="86" spans="1:27" s="1855" customFormat="1" ht="26.25">
      <c r="A86" s="1884"/>
      <c r="B86" s="1918" t="s">
        <v>3284</v>
      </c>
      <c r="C86" s="2032" t="str">
        <f>'Receitas (mensais)'!D94</f>
        <v xml:space="preserve">          Selo Conhec. de Cobrança</v>
      </c>
      <c r="D86" s="1910"/>
      <c r="E86" s="1912"/>
      <c r="F86" s="2072">
        <v>3521.8119999999999</v>
      </c>
      <c r="G86" s="1912">
        <f>'Receitas (mensais)'!E94</f>
        <v>0</v>
      </c>
      <c r="H86" s="1912">
        <f>'Receitas (mensais)'!F94</f>
        <v>657.65</v>
      </c>
      <c r="I86" s="1912">
        <f>'Receitas (mensais)'!G94</f>
        <v>0</v>
      </c>
      <c r="J86" s="1912">
        <f>'Receitas (mensais)'!H94</f>
        <v>0</v>
      </c>
      <c r="K86" s="1912">
        <f>'Receitas (mensais)'!I94</f>
        <v>0</v>
      </c>
      <c r="L86" s="1912">
        <f>'Receitas (mensais)'!J94</f>
        <v>0</v>
      </c>
      <c r="M86" s="1912">
        <f>'Receitas (mensais)'!K94</f>
        <v>0</v>
      </c>
      <c r="N86" s="1912">
        <f>'Receitas (mensais)'!L94</f>
        <v>0</v>
      </c>
      <c r="O86" s="1912">
        <f>'Receitas (mensais)'!M94</f>
        <v>0</v>
      </c>
      <c r="P86" s="1912">
        <f>'Receitas (mensais)'!N94</f>
        <v>8.1310000000000002</v>
      </c>
      <c r="Q86" s="1912">
        <f>'Receitas (mensais)'!O94</f>
        <v>4149.4059999999999</v>
      </c>
      <c r="R86" s="1912">
        <f>'Receitas (mensais)'!P94</f>
        <v>0</v>
      </c>
      <c r="S86" s="1980">
        <f t="shared" si="15"/>
        <v>4815.1869999999999</v>
      </c>
      <c r="T86" s="2169">
        <f>+[30]receitas2019!$BZ$56/1000</f>
        <v>4815.1869999999999</v>
      </c>
      <c r="U86" s="2178">
        <f t="shared" si="32"/>
        <v>0</v>
      </c>
      <c r="V86" s="1854"/>
      <c r="W86" s="2003"/>
      <c r="Y86" s="2008">
        <f t="shared" si="30"/>
        <v>4.8151869999999999</v>
      </c>
    </row>
    <row r="87" spans="1:27" s="1855" customFormat="1" ht="26.25">
      <c r="A87" s="1884"/>
      <c r="B87" s="1918" t="s">
        <v>3285</v>
      </c>
      <c r="C87" s="2032" t="str">
        <f>'Receitas (mensais)'!D95</f>
        <v xml:space="preserve">          Selos diversos</v>
      </c>
      <c r="D87" s="1910"/>
      <c r="E87" s="1912"/>
      <c r="F87" s="2072">
        <v>3940.7849999999999</v>
      </c>
      <c r="G87" s="1912">
        <f>'Receitas (mensais)'!E95</f>
        <v>5978.8559999999998</v>
      </c>
      <c r="H87" s="1912">
        <f>'Receitas (mensais)'!F95</f>
        <v>5885.3590000000004</v>
      </c>
      <c r="I87" s="1912">
        <f>'Receitas (mensais)'!G95</f>
        <v>18133.923999999999</v>
      </c>
      <c r="J87" s="1912">
        <f>'Receitas (mensais)'!H95</f>
        <v>21216.547999999999</v>
      </c>
      <c r="K87" s="1912">
        <f>'Receitas (mensais)'!I95</f>
        <v>0</v>
      </c>
      <c r="L87" s="1912">
        <f>'Receitas (mensais)'!J95</f>
        <v>19432.7</v>
      </c>
      <c r="M87" s="1912">
        <f>'Receitas (mensais)'!K95</f>
        <v>19218.488000000001</v>
      </c>
      <c r="N87" s="1912">
        <f>'Receitas (mensais)'!L95</f>
        <v>23431.727999999999</v>
      </c>
      <c r="O87" s="1912">
        <f>'Receitas (mensais)'!M95</f>
        <v>0</v>
      </c>
      <c r="P87" s="1912">
        <f>'Receitas (mensais)'!N95</f>
        <v>0</v>
      </c>
      <c r="Q87" s="1912">
        <f>'Receitas (mensais)'!O95</f>
        <v>20.395</v>
      </c>
      <c r="R87" s="1912">
        <f>'Receitas (mensais)'!P95</f>
        <v>0</v>
      </c>
      <c r="S87" s="1980">
        <f t="shared" si="15"/>
        <v>113317.99800000001</v>
      </c>
      <c r="T87" s="2169">
        <f>+[30]receitas2019!$BZ$57/1000</f>
        <v>113318.08199999999</v>
      </c>
      <c r="U87" s="2178">
        <f t="shared" si="32"/>
        <v>-8.3999999988009222E-2</v>
      </c>
      <c r="V87" s="1854"/>
      <c r="W87" s="2003"/>
      <c r="Y87" s="2008">
        <f t="shared" si="30"/>
        <v>113.317998</v>
      </c>
    </row>
    <row r="88" spans="1:27" s="1855" customFormat="1" ht="26.25">
      <c r="A88" s="1883" t="s">
        <v>668</v>
      </c>
      <c r="B88" s="1918" t="s">
        <v>3286</v>
      </c>
      <c r="C88" s="2032" t="str">
        <f>'Receitas (mensais)'!D96</f>
        <v xml:space="preserve">          Selo de Cheques</v>
      </c>
      <c r="D88" s="1906" t="e">
        <f>D89+D90+D93+#REF!+#REF!</f>
        <v>#REF!</v>
      </c>
      <c r="E88" s="1912"/>
      <c r="F88" s="2072">
        <v>1.1839999999999999</v>
      </c>
      <c r="G88" s="1912">
        <f>'Receitas (mensais)'!E96</f>
        <v>0</v>
      </c>
      <c r="H88" s="1912">
        <f>'Receitas (mensais)'!F96</f>
        <v>0</v>
      </c>
      <c r="I88" s="1912">
        <f>'Receitas (mensais)'!G96</f>
        <v>0</v>
      </c>
      <c r="J88" s="1912">
        <f>'Receitas (mensais)'!H96</f>
        <v>0</v>
      </c>
      <c r="K88" s="1912">
        <f>'Receitas (mensais)'!I96</f>
        <v>0</v>
      </c>
      <c r="L88" s="1912">
        <f>'Receitas (mensais)'!J96</f>
        <v>0</v>
      </c>
      <c r="M88" s="1912">
        <f>'Receitas (mensais)'!K96</f>
        <v>0</v>
      </c>
      <c r="N88" s="1912">
        <f>'Receitas (mensais)'!L96</f>
        <v>0</v>
      </c>
      <c r="O88" s="1912">
        <f>'Receitas (mensais)'!M96</f>
        <v>0</v>
      </c>
      <c r="P88" s="1912">
        <f>'Receitas (mensais)'!N96</f>
        <v>0</v>
      </c>
      <c r="Q88" s="1912">
        <f>'Receitas (mensais)'!O96</f>
        <v>0</v>
      </c>
      <c r="R88" s="1912">
        <f>'Receitas (mensais)'!P96</f>
        <v>0</v>
      </c>
      <c r="S88" s="1980">
        <f t="shared" si="15"/>
        <v>0</v>
      </c>
      <c r="T88" s="2165"/>
      <c r="U88" s="2178">
        <f t="shared" si="32"/>
        <v>0</v>
      </c>
      <c r="V88" s="1854"/>
      <c r="W88" s="2003"/>
      <c r="Y88" s="2008">
        <f t="shared" si="30"/>
        <v>0</v>
      </c>
    </row>
    <row r="89" spans="1:27" s="1855" customFormat="1" ht="26.25">
      <c r="A89" s="1884" t="s">
        <v>430</v>
      </c>
      <c r="B89" s="1918" t="s">
        <v>3287</v>
      </c>
      <c r="C89" s="2032" t="str">
        <f>'Receitas (mensais)'!D97</f>
        <v xml:space="preserve">          Selo Reconstr. Nacional</v>
      </c>
      <c r="D89" s="1911">
        <v>0</v>
      </c>
      <c r="E89" s="1912"/>
      <c r="F89" s="2072">
        <v>132436.29500000001</v>
      </c>
      <c r="G89" s="1912">
        <f>'Receitas (mensais)'!E97</f>
        <v>4197.7610000000004</v>
      </c>
      <c r="H89" s="1912">
        <f>'Receitas (mensais)'!F97</f>
        <v>8899.5709999999999</v>
      </c>
      <c r="I89" s="1912">
        <f>'Receitas (mensais)'!G97</f>
        <v>5317.2510000000002</v>
      </c>
      <c r="J89" s="1912">
        <f>'Receitas (mensais)'!H97</f>
        <v>7599.4040000000005</v>
      </c>
      <c r="K89" s="1912">
        <f>'Receitas (mensais)'!I97</f>
        <v>4169.5820000000003</v>
      </c>
      <c r="L89" s="1912">
        <f>'Receitas (mensais)'!J97</f>
        <v>6595.0969999999998</v>
      </c>
      <c r="M89" s="1912">
        <f>'Receitas (mensais)'!K97</f>
        <v>9304.1490000000013</v>
      </c>
      <c r="N89" s="1912">
        <f>'Receitas (mensais)'!L97</f>
        <v>13465.196</v>
      </c>
      <c r="O89" s="1912">
        <f>'Receitas (mensais)'!M97</f>
        <v>12442.093000000001</v>
      </c>
      <c r="P89" s="1912">
        <f>'Receitas (mensais)'!N97</f>
        <v>30350.23</v>
      </c>
      <c r="Q89" s="1912">
        <f>'Receitas (mensais)'!O97</f>
        <v>5835.326</v>
      </c>
      <c r="R89" s="1912">
        <f>'Receitas (mensais)'!P97</f>
        <v>5624.1319999999996</v>
      </c>
      <c r="S89" s="1980">
        <f>SUM(G89:R89)</f>
        <v>113799.79199999999</v>
      </c>
      <c r="T89" s="2169">
        <f>+[30]receitas2019!$BZ$59/1000</f>
        <v>113800.197</v>
      </c>
      <c r="U89" s="2178">
        <f t="shared" si="32"/>
        <v>-0.40500000001338776</v>
      </c>
      <c r="V89" s="1854"/>
      <c r="W89" s="2003"/>
      <c r="Y89" s="2008">
        <f t="shared" si="30"/>
        <v>113.79979199999998</v>
      </c>
    </row>
    <row r="90" spans="1:27" s="1855" customFormat="1" ht="26.25">
      <c r="A90" s="1884" t="s">
        <v>433</v>
      </c>
      <c r="B90" s="1918" t="s">
        <v>3288</v>
      </c>
      <c r="C90" s="2032" t="str">
        <f>'Receitas (mensais)'!D98</f>
        <v xml:space="preserve">           Estamp. Espec. Farmac.</v>
      </c>
      <c r="D90" s="1906">
        <f>+D91+D92</f>
        <v>0</v>
      </c>
      <c r="E90" s="1912"/>
      <c r="F90" s="2072"/>
      <c r="G90" s="1912">
        <f>'Receitas (mensais)'!E98</f>
        <v>0</v>
      </c>
      <c r="H90" s="1912">
        <f>'Receitas (mensais)'!F98</f>
        <v>0</v>
      </c>
      <c r="I90" s="1912">
        <f>'Receitas (mensais)'!G98</f>
        <v>0</v>
      </c>
      <c r="J90" s="1912">
        <f>'Receitas (mensais)'!H98</f>
        <v>0</v>
      </c>
      <c r="K90" s="1912">
        <f>'Receitas (mensais)'!I98</f>
        <v>0</v>
      </c>
      <c r="L90" s="1912">
        <f>'Receitas (mensais)'!J98</f>
        <v>0</v>
      </c>
      <c r="M90" s="1912">
        <f>'Receitas (mensais)'!K98</f>
        <v>0</v>
      </c>
      <c r="N90" s="1912">
        <f>'Receitas (mensais)'!L98</f>
        <v>0</v>
      </c>
      <c r="O90" s="1912">
        <f>'Receitas (mensais)'!M98</f>
        <v>0</v>
      </c>
      <c r="P90" s="1912">
        <f>'Receitas (mensais)'!N98</f>
        <v>0</v>
      </c>
      <c r="Q90" s="1912">
        <f>'Receitas (mensais)'!O98</f>
        <v>0</v>
      </c>
      <c r="R90" s="1912">
        <f>'Receitas (mensais)'!P98</f>
        <v>0</v>
      </c>
      <c r="S90" s="1980">
        <f t="shared" si="15"/>
        <v>0</v>
      </c>
      <c r="T90" s="2169"/>
      <c r="U90" s="2178">
        <f t="shared" si="32"/>
        <v>0</v>
      </c>
      <c r="V90" s="1854"/>
      <c r="W90" s="2003"/>
      <c r="Y90" s="2008">
        <f t="shared" si="30"/>
        <v>0</v>
      </c>
    </row>
    <row r="91" spans="1:27" s="1855" customFormat="1" ht="26.25">
      <c r="A91" s="1884" t="s">
        <v>435</v>
      </c>
      <c r="B91" s="1918" t="s">
        <v>3289</v>
      </c>
      <c r="C91" s="2032" t="str">
        <f>'Receitas (mensais)'!D99</f>
        <v xml:space="preserve">           Selo de Recibo</v>
      </c>
      <c r="D91" s="1911"/>
      <c r="E91" s="1912"/>
      <c r="F91" s="2072">
        <v>102701.177</v>
      </c>
      <c r="G91" s="1912">
        <f>'Receitas (mensais)'!E99</f>
        <v>8312.7510000000002</v>
      </c>
      <c r="H91" s="1912">
        <f>'Receitas (mensais)'!F99</f>
        <v>13314.307000000001</v>
      </c>
      <c r="I91" s="1912">
        <f>'Receitas (mensais)'!G99</f>
        <v>11122.551999999998</v>
      </c>
      <c r="J91" s="1912">
        <f>'Receitas (mensais)'!H99</f>
        <v>15311.375</v>
      </c>
      <c r="K91" s="1912">
        <f>'Receitas (mensais)'!I99</f>
        <v>17462.488000000001</v>
      </c>
      <c r="L91" s="1912">
        <f>'Receitas (mensais)'!J99</f>
        <v>6970.6419999999998</v>
      </c>
      <c r="M91" s="1912">
        <f>'Receitas (mensais)'!K99</f>
        <v>4651.3269999999993</v>
      </c>
      <c r="N91" s="1912">
        <f>'Receitas (mensais)'!L99</f>
        <v>7601.6569999999992</v>
      </c>
      <c r="O91" s="1912">
        <f>'Receitas (mensais)'!M99</f>
        <v>5501.5640000000003</v>
      </c>
      <c r="P91" s="1912">
        <f>'Receitas (mensais)'!N99</f>
        <v>10293.412999999999</v>
      </c>
      <c r="Q91" s="1912">
        <f>'Receitas (mensais)'!O99</f>
        <v>4604.6710000000003</v>
      </c>
      <c r="R91" s="1912">
        <f>'Receitas (mensais)'!P99</f>
        <v>5190.5369999999994</v>
      </c>
      <c r="S91" s="1980">
        <f t="shared" si="15"/>
        <v>110337.28399999999</v>
      </c>
      <c r="T91" s="2169">
        <f>+[30]receitas2019!$BZ$61/1000</f>
        <v>110337.41899999999</v>
      </c>
      <c r="U91" s="2178">
        <f t="shared" si="32"/>
        <v>-0.13500000000931323</v>
      </c>
      <c r="V91" s="1854"/>
      <c r="W91" s="2003"/>
      <c r="Y91" s="2008">
        <f t="shared" si="30"/>
        <v>110.33728399999998</v>
      </c>
    </row>
    <row r="92" spans="1:27" s="1855" customFormat="1" ht="26.25">
      <c r="A92" s="1884" t="s">
        <v>437</v>
      </c>
      <c r="B92" s="1918" t="s">
        <v>3278</v>
      </c>
      <c r="C92" s="2058" t="str">
        <f>'Receitas (mensais)'!D100</f>
        <v>Imposto para a democracia</v>
      </c>
      <c r="D92" s="1910"/>
      <c r="E92" s="1912"/>
      <c r="F92" s="2072"/>
      <c r="G92" s="1912">
        <f>'Receitas (mensais)'!E100</f>
        <v>0</v>
      </c>
      <c r="H92" s="1912">
        <f>'Receitas (mensais)'!F100</f>
        <v>0</v>
      </c>
      <c r="I92" s="1912">
        <f>'Receitas (mensais)'!G100</f>
        <v>0</v>
      </c>
      <c r="J92" s="1912">
        <f>'Receitas (mensais)'!H100</f>
        <v>0</v>
      </c>
      <c r="K92" s="1912">
        <f>'Receitas (mensais)'!I100</f>
        <v>0</v>
      </c>
      <c r="L92" s="1912">
        <f>'Receitas (mensais)'!J100</f>
        <v>0</v>
      </c>
      <c r="M92" s="1912">
        <f>'Receitas (mensais)'!K100</f>
        <v>0</v>
      </c>
      <c r="N92" s="1912">
        <f>'Receitas (mensais)'!L100</f>
        <v>0</v>
      </c>
      <c r="O92" s="1912">
        <f>'Receitas (mensais)'!M100</f>
        <v>0</v>
      </c>
      <c r="P92" s="1912">
        <f>'Receitas (mensais)'!N100</f>
        <v>0</v>
      </c>
      <c r="Q92" s="1912">
        <f>'Receitas (mensais)'!O100</f>
        <v>0</v>
      </c>
      <c r="R92" s="1912">
        <f>'Receitas (mensais)'!P100</f>
        <v>0</v>
      </c>
      <c r="S92" s="1980">
        <f t="shared" si="15"/>
        <v>0</v>
      </c>
      <c r="T92" s="2169"/>
      <c r="U92" s="2178">
        <f t="shared" si="32"/>
        <v>0</v>
      </c>
      <c r="V92" s="1854"/>
      <c r="W92" s="2003"/>
      <c r="Y92" s="2008">
        <f t="shared" si="30"/>
        <v>0</v>
      </c>
    </row>
    <row r="93" spans="1:27" s="1866" customFormat="1" ht="26.25">
      <c r="A93" s="1889" t="s">
        <v>440</v>
      </c>
      <c r="B93" s="1918" t="s">
        <v>3290</v>
      </c>
      <c r="C93" s="2032" t="str">
        <f>'Receitas (mensais)'!D101</f>
        <v>Outros</v>
      </c>
      <c r="D93" s="1911"/>
      <c r="E93" s="1984"/>
      <c r="F93" s="2072"/>
      <c r="G93" s="1984">
        <f>G94+G95</f>
        <v>0</v>
      </c>
      <c r="H93" s="1984">
        <f t="shared" ref="H93:R93" si="35">H94+H95</f>
        <v>0</v>
      </c>
      <c r="I93" s="1984">
        <f t="shared" si="35"/>
        <v>0</v>
      </c>
      <c r="J93" s="1984">
        <f t="shared" si="35"/>
        <v>0</v>
      </c>
      <c r="K93" s="1984">
        <f t="shared" si="35"/>
        <v>0</v>
      </c>
      <c r="L93" s="1984">
        <f t="shared" si="35"/>
        <v>0</v>
      </c>
      <c r="M93" s="1984">
        <f t="shared" si="35"/>
        <v>0</v>
      </c>
      <c r="N93" s="1984">
        <f t="shared" si="35"/>
        <v>0</v>
      </c>
      <c r="O93" s="1984">
        <f t="shared" si="35"/>
        <v>0</v>
      </c>
      <c r="P93" s="1984">
        <f t="shared" si="35"/>
        <v>0</v>
      </c>
      <c r="Q93" s="1984">
        <f t="shared" si="35"/>
        <v>0</v>
      </c>
      <c r="R93" s="1984">
        <f t="shared" si="35"/>
        <v>0</v>
      </c>
      <c r="S93" s="1980">
        <f t="shared" si="15"/>
        <v>0</v>
      </c>
      <c r="T93" s="2169"/>
      <c r="U93" s="2178">
        <f t="shared" si="32"/>
        <v>0</v>
      </c>
      <c r="V93" s="1854"/>
      <c r="W93" s="2003"/>
      <c r="Y93" s="2008">
        <f t="shared" si="30"/>
        <v>0</v>
      </c>
    </row>
    <row r="94" spans="1:27" s="1866" customFormat="1" ht="26.25">
      <c r="A94" s="1889"/>
      <c r="B94" s="1918" t="s">
        <v>3291</v>
      </c>
      <c r="C94" s="2032" t="str">
        <f>'Receitas (mensais)'!D102</f>
        <v xml:space="preserve">           Imposto Tonelagem</v>
      </c>
      <c r="D94" s="1911"/>
      <c r="E94" s="1984"/>
      <c r="F94" s="2072"/>
      <c r="G94" s="1984">
        <f>+'Receitas (mensais)'!E102</f>
        <v>0</v>
      </c>
      <c r="H94" s="1984">
        <f>+'Receitas (mensais)'!F102</f>
        <v>0</v>
      </c>
      <c r="I94" s="1984">
        <f>+'Receitas (mensais)'!G102</f>
        <v>0</v>
      </c>
      <c r="J94" s="1984">
        <f>+'Receitas (mensais)'!H102</f>
        <v>0</v>
      </c>
      <c r="K94" s="1984">
        <f>+'Receitas (mensais)'!I102</f>
        <v>0</v>
      </c>
      <c r="L94" s="1984">
        <f>+'Receitas (mensais)'!J102</f>
        <v>0</v>
      </c>
      <c r="M94" s="1984">
        <f>+'Receitas (mensais)'!K102</f>
        <v>0</v>
      </c>
      <c r="N94" s="1984">
        <f>+'Receitas (mensais)'!L102</f>
        <v>0</v>
      </c>
      <c r="O94" s="1984">
        <f>+'Receitas (mensais)'!M102</f>
        <v>0</v>
      </c>
      <c r="P94" s="1984">
        <f>+'Receitas (mensais)'!N102</f>
        <v>0</v>
      </c>
      <c r="Q94" s="1984">
        <f>+'Receitas (mensais)'!O102</f>
        <v>0</v>
      </c>
      <c r="R94" s="1984">
        <f>+'Receitas (mensais)'!P102</f>
        <v>0</v>
      </c>
      <c r="S94" s="1980">
        <f t="shared" si="15"/>
        <v>0</v>
      </c>
      <c r="T94" s="2169"/>
      <c r="U94" s="2178">
        <f t="shared" si="32"/>
        <v>0</v>
      </c>
      <c r="V94" s="1854"/>
      <c r="W94" s="2003"/>
      <c r="Y94" s="2008">
        <f t="shared" si="30"/>
        <v>0</v>
      </c>
    </row>
    <row r="95" spans="1:27" s="1866" customFormat="1" ht="26.25">
      <c r="A95" s="1889"/>
      <c r="B95" s="1918" t="s">
        <v>3292</v>
      </c>
      <c r="C95" s="2032" t="str">
        <f>'Receitas (mensais)'!D103</f>
        <v xml:space="preserve">           Imposto comercio maritim</v>
      </c>
      <c r="D95" s="1911"/>
      <c r="E95" s="1984"/>
      <c r="F95" s="2072"/>
      <c r="G95" s="1984">
        <f>+'Receitas (mensais)'!E103</f>
        <v>0</v>
      </c>
      <c r="H95" s="1984">
        <f>+'Receitas (mensais)'!F103</f>
        <v>0</v>
      </c>
      <c r="I95" s="1984">
        <f>+'Receitas (mensais)'!G103</f>
        <v>0</v>
      </c>
      <c r="J95" s="1984">
        <f>+'Receitas (mensais)'!H103</f>
        <v>0</v>
      </c>
      <c r="K95" s="1984">
        <f>+'Receitas (mensais)'!I103</f>
        <v>0</v>
      </c>
      <c r="L95" s="1984">
        <f>+'Receitas (mensais)'!J103</f>
        <v>0</v>
      </c>
      <c r="M95" s="1984">
        <f>+'Receitas (mensais)'!K103</f>
        <v>0</v>
      </c>
      <c r="N95" s="1984">
        <f>+'Receitas (mensais)'!L103</f>
        <v>0</v>
      </c>
      <c r="O95" s="1984">
        <f>+'Receitas (mensais)'!M103</f>
        <v>0</v>
      </c>
      <c r="P95" s="1984">
        <f>+'Receitas (mensais)'!N103</f>
        <v>0</v>
      </c>
      <c r="Q95" s="1984">
        <f>+'Receitas (mensais)'!O103</f>
        <v>0</v>
      </c>
      <c r="R95" s="1984">
        <f>+'Receitas (mensais)'!P103</f>
        <v>0</v>
      </c>
      <c r="S95" s="1980">
        <f t="shared" si="15"/>
        <v>0</v>
      </c>
      <c r="T95" s="2169"/>
      <c r="U95" s="2178">
        <f t="shared" si="32"/>
        <v>0</v>
      </c>
      <c r="V95" s="1854"/>
      <c r="W95" s="2003"/>
      <c r="Y95" s="2008">
        <f t="shared" si="30"/>
        <v>0</v>
      </c>
    </row>
    <row r="96" spans="1:27" s="2029" customFormat="1" ht="26.25">
      <c r="A96" s="2023"/>
      <c r="B96" s="2024" t="s">
        <v>407</v>
      </c>
      <c r="C96" s="2025" t="s">
        <v>3206</v>
      </c>
      <c r="D96" s="1934"/>
      <c r="E96" s="1988">
        <f t="shared" ref="E96:R96" si="36">E97+E154+E182+E232</f>
        <v>20708136.212000001</v>
      </c>
      <c r="F96" s="2069">
        <f>F97+F154+F182+F232</f>
        <v>130637185.35000001</v>
      </c>
      <c r="G96" s="1988">
        <f t="shared" si="36"/>
        <v>887384.79400000023</v>
      </c>
      <c r="H96" s="1988">
        <f t="shared" si="36"/>
        <v>764726.9040000001</v>
      </c>
      <c r="I96" s="1988">
        <f t="shared" si="36"/>
        <v>6069792.5599999996</v>
      </c>
      <c r="J96" s="1988">
        <f t="shared" si="36"/>
        <v>540812.50200000009</v>
      </c>
      <c r="K96" s="2207">
        <f t="shared" si="36"/>
        <v>906597.27399999998</v>
      </c>
      <c r="L96" s="1988">
        <f t="shared" si="36"/>
        <v>1541425.8230000001</v>
      </c>
      <c r="M96" s="1988">
        <f t="shared" si="36"/>
        <v>1616550.1090000002</v>
      </c>
      <c r="N96" s="1988">
        <f t="shared" si="36"/>
        <v>824271.31200000015</v>
      </c>
      <c r="O96" s="1988">
        <f t="shared" si="36"/>
        <v>712703.60900000005</v>
      </c>
      <c r="P96" s="1988">
        <f t="shared" si="36"/>
        <v>8093930.0870000003</v>
      </c>
      <c r="Q96" s="1988">
        <f t="shared" si="36"/>
        <v>2205274.483</v>
      </c>
      <c r="R96" s="1988">
        <f t="shared" si="36"/>
        <v>2316573.983</v>
      </c>
      <c r="S96" s="1993">
        <f t="shared" si="15"/>
        <v>26480043.440000001</v>
      </c>
      <c r="T96" s="2166">
        <f>+[30]receitas2019!$BZ$62/1000</f>
        <v>26472337.201000001</v>
      </c>
      <c r="U96" s="2178">
        <f t="shared" si="32"/>
        <v>7706.2390000000596</v>
      </c>
      <c r="V96" s="2026"/>
      <c r="W96" s="2027"/>
      <c r="X96" s="2028"/>
      <c r="Y96" s="2029">
        <f t="shared" si="30"/>
        <v>26480.043440000001</v>
      </c>
      <c r="Z96" s="2030">
        <f>'[27]QUADRO 19 (2019)'!$AD$8</f>
        <v>10276.878642</v>
      </c>
      <c r="AA96" s="2031"/>
    </row>
    <row r="97" spans="1:26" s="2056" customFormat="1" ht="26.25">
      <c r="A97" s="2047"/>
      <c r="B97" s="2048" t="s">
        <v>410</v>
      </c>
      <c r="C97" s="2049" t="s">
        <v>3294</v>
      </c>
      <c r="D97" s="2050"/>
      <c r="E97" s="2051">
        <f>+[28]Tofe!$Q$15</f>
        <v>5107779.8740000008</v>
      </c>
      <c r="F97" s="2070">
        <f>+F98+F146</f>
        <v>7045990.8169999998</v>
      </c>
      <c r="G97" s="2052">
        <f>+G98+G146</f>
        <v>614078.45600000024</v>
      </c>
      <c r="H97" s="2052">
        <f>+H98+H146</f>
        <v>288901.59900000005</v>
      </c>
      <c r="I97" s="2052">
        <f t="shared" ref="I97:R97" si="37">+I98+I146</f>
        <v>121622.715</v>
      </c>
      <c r="J97" s="2052">
        <f t="shared" si="37"/>
        <v>214670.75700000001</v>
      </c>
      <c r="K97" s="2052">
        <f t="shared" si="37"/>
        <v>433196.45699999999</v>
      </c>
      <c r="L97" s="2052">
        <f t="shared" si="37"/>
        <v>764263.96000000008</v>
      </c>
      <c r="M97" s="2052">
        <f t="shared" si="37"/>
        <v>897054.06</v>
      </c>
      <c r="N97" s="2052">
        <f t="shared" si="37"/>
        <v>354020.78400000004</v>
      </c>
      <c r="O97" s="2052">
        <f t="shared" si="37"/>
        <v>354333.66800000001</v>
      </c>
      <c r="P97" s="2052">
        <f t="shared" si="37"/>
        <v>147993.98499999999</v>
      </c>
      <c r="Q97" s="2052">
        <f t="shared" si="37"/>
        <v>653962.81999999983</v>
      </c>
      <c r="R97" s="2052">
        <f t="shared" si="37"/>
        <v>1964245.9920000001</v>
      </c>
      <c r="S97" s="2051">
        <f t="shared" si="15"/>
        <v>6808345.2530000005</v>
      </c>
      <c r="T97" s="2167">
        <f>+[30]receitas2019!$BZ$63/1000</f>
        <v>6813859.0389999999</v>
      </c>
      <c r="U97" s="2178">
        <f t="shared" si="32"/>
        <v>-5513.7859999993816</v>
      </c>
      <c r="V97" s="2053"/>
      <c r="W97" s="2054"/>
      <c r="X97" s="2055"/>
      <c r="Y97" s="2056">
        <f t="shared" si="30"/>
        <v>6808.3452530000004</v>
      </c>
      <c r="Z97" s="2057"/>
    </row>
    <row r="98" spans="1:26" s="2043" customFormat="1" ht="26.25">
      <c r="A98" s="2034"/>
      <c r="B98" s="2063" t="s">
        <v>3050</v>
      </c>
      <c r="C98" s="2036" t="str">
        <f>'Receitas (mensais)'!D106</f>
        <v>Taxas</v>
      </c>
      <c r="D98" s="2037"/>
      <c r="E98" s="2038"/>
      <c r="F98" s="2071">
        <f>F99+SUM(F103:F115)+F118</f>
        <v>6718062.8059999999</v>
      </c>
      <c r="G98" s="2038">
        <f>G99+SUM(G103:G115)+G118</f>
        <v>610415.11900000018</v>
      </c>
      <c r="H98" s="2038">
        <f t="shared" ref="H98:R98" si="38">H99+SUM(H103:H115)+H118</f>
        <v>211834.14800000002</v>
      </c>
      <c r="I98" s="2038">
        <f t="shared" si="38"/>
        <v>120138.715</v>
      </c>
      <c r="J98" s="2038">
        <f t="shared" si="38"/>
        <v>207202.55100000001</v>
      </c>
      <c r="K98" s="2038">
        <f t="shared" si="38"/>
        <v>240890.81599999999</v>
      </c>
      <c r="L98" s="2038">
        <f t="shared" si="38"/>
        <v>631991.21000000008</v>
      </c>
      <c r="M98" s="2038">
        <f t="shared" si="38"/>
        <v>888979.59000000008</v>
      </c>
      <c r="N98" s="2038">
        <f t="shared" si="38"/>
        <v>228082.74300000005</v>
      </c>
      <c r="O98" s="2038">
        <f t="shared" si="38"/>
        <v>351491.79</v>
      </c>
      <c r="P98" s="2038">
        <f t="shared" si="38"/>
        <v>141813.136</v>
      </c>
      <c r="Q98" s="2038">
        <f t="shared" si="38"/>
        <v>651325.66899999988</v>
      </c>
      <c r="R98" s="2038">
        <f t="shared" si="38"/>
        <v>1958525.5720000002</v>
      </c>
      <c r="S98" s="2038">
        <f t="shared" si="15"/>
        <v>6242691.0590000004</v>
      </c>
      <c r="T98" s="2168">
        <f>+[30]receitas2019!$BZ$64/1000</f>
        <v>6249333.6629999997</v>
      </c>
      <c r="U98" s="2178">
        <f t="shared" si="32"/>
        <v>-6642.6039999993518</v>
      </c>
      <c r="V98" s="2053"/>
      <c r="W98" s="2041"/>
      <c r="X98" s="2042"/>
      <c r="Z98" s="2044"/>
    </row>
    <row r="99" spans="1:26" s="1866" customFormat="1" ht="26.25">
      <c r="A99" s="1889"/>
      <c r="B99" s="1908" t="s">
        <v>3156</v>
      </c>
      <c r="C99" s="2032" t="str">
        <f>'Receitas (mensais)'!D107</f>
        <v>Licenças de Pesca</v>
      </c>
      <c r="D99" s="1911"/>
      <c r="E99" s="1984"/>
      <c r="F99" s="2072">
        <f>SUM(F100:F102)</f>
        <v>6444844.1529999999</v>
      </c>
      <c r="G99" s="1984">
        <f>SUM(G100:G102)</f>
        <v>578775.67100000009</v>
      </c>
      <c r="H99" s="1984">
        <f t="shared" ref="H99:R99" si="39">SUM(H100:H102)</f>
        <v>185593.59100000001</v>
      </c>
      <c r="I99" s="1984">
        <f t="shared" si="39"/>
        <v>100326.673</v>
      </c>
      <c r="J99" s="1984">
        <f t="shared" si="39"/>
        <v>185384.72</v>
      </c>
      <c r="K99" s="1984">
        <f>SUM(K100:K102)</f>
        <v>113225.68800000001</v>
      </c>
      <c r="L99" s="1984">
        <f t="shared" si="39"/>
        <v>619371.52000000002</v>
      </c>
      <c r="M99" s="1984">
        <f t="shared" si="39"/>
        <v>873402.69300000009</v>
      </c>
      <c r="N99" s="1984">
        <f t="shared" si="39"/>
        <v>212923.19300000003</v>
      </c>
      <c r="O99" s="1984">
        <f t="shared" si="39"/>
        <v>326352.16200000001</v>
      </c>
      <c r="P99" s="1984">
        <f t="shared" si="39"/>
        <v>106354.931</v>
      </c>
      <c r="Q99" s="1984">
        <f t="shared" si="39"/>
        <v>627786.37399999995</v>
      </c>
      <c r="R99" s="1984">
        <f t="shared" si="39"/>
        <v>1940049.8730000001</v>
      </c>
      <c r="S99" s="1981">
        <f t="shared" si="15"/>
        <v>5869547.0889999997</v>
      </c>
      <c r="T99" s="2169">
        <f>+[30]receitas2019!$BZ$65/1000</f>
        <v>5869547.0889999997</v>
      </c>
      <c r="U99" s="2178">
        <f t="shared" si="32"/>
        <v>0</v>
      </c>
      <c r="V99" s="1854"/>
      <c r="W99" s="2003"/>
      <c r="Y99" s="2008"/>
    </row>
    <row r="100" spans="1:26" s="1866" customFormat="1" ht="26.25">
      <c r="A100" s="1889"/>
      <c r="B100" s="1908" t="s">
        <v>3296</v>
      </c>
      <c r="C100" s="2032" t="str">
        <f>'Receitas (mensais)'!D108</f>
        <v xml:space="preserve">          Licenças de Pesca</v>
      </c>
      <c r="D100" s="1911"/>
      <c r="E100" s="1984"/>
      <c r="F100" s="2072">
        <v>5385637.9160000002</v>
      </c>
      <c r="G100" s="1984">
        <f>'Receitas (mensais)'!E108</f>
        <v>473402.79000000004</v>
      </c>
      <c r="H100" s="1984">
        <f>'Receitas (mensais)'!F108</f>
        <v>147354.19700000001</v>
      </c>
      <c r="I100" s="1984">
        <f>'Receitas (mensais)'!G108</f>
        <v>80580.875</v>
      </c>
      <c r="J100" s="1984">
        <f>'Receitas (mensais)'!H108</f>
        <v>122922.818</v>
      </c>
      <c r="K100" s="1984">
        <f>'Receitas (mensais)'!I108</f>
        <v>99724.524000000005</v>
      </c>
      <c r="L100" s="1984">
        <f>'Receitas (mensais)'!J108</f>
        <v>526486.63300000003</v>
      </c>
      <c r="M100" s="1984">
        <f>'Receitas (mensais)'!K108</f>
        <v>567585.60700000008</v>
      </c>
      <c r="N100" s="1984">
        <f>'Receitas (mensais)'!L108</f>
        <v>179294.03700000001</v>
      </c>
      <c r="O100" s="1984">
        <f>'Receitas (mensais)'!M108</f>
        <v>222609.59600000002</v>
      </c>
      <c r="P100" s="1984">
        <f>'Receitas (mensais)'!N108</f>
        <v>90955.221999999994</v>
      </c>
      <c r="Q100" s="1984">
        <f>'Receitas (mensais)'!O108</f>
        <v>437940.83199999999</v>
      </c>
      <c r="R100" s="1984">
        <f>'Receitas (mensais)'!P108</f>
        <v>1383005.969</v>
      </c>
      <c r="S100" s="1981">
        <f t="shared" si="15"/>
        <v>4331863.0999999996</v>
      </c>
      <c r="T100" s="2169"/>
      <c r="U100" s="2178"/>
      <c r="V100" s="1854"/>
      <c r="W100" s="2003"/>
      <c r="Y100" s="2008"/>
    </row>
    <row r="101" spans="1:26" s="1866" customFormat="1" ht="26.25">
      <c r="A101" s="1889"/>
      <c r="B101" s="1908" t="s">
        <v>3297</v>
      </c>
      <c r="C101" s="2032" t="str">
        <f>'Receitas (mensais)'!D109</f>
        <v xml:space="preserve">         Transbordo de Pescado</v>
      </c>
      <c r="D101" s="1911"/>
      <c r="E101" s="1984"/>
      <c r="F101" s="2072"/>
      <c r="G101" s="1984">
        <f>'Receitas (mensais)'!E109</f>
        <v>0</v>
      </c>
      <c r="H101" s="1984">
        <f>'Receitas (mensais)'!F109</f>
        <v>0</v>
      </c>
      <c r="I101" s="1984">
        <f>'Receitas (mensais)'!G109</f>
        <v>0</v>
      </c>
      <c r="J101" s="1984">
        <f>'Receitas (mensais)'!H109</f>
        <v>0</v>
      </c>
      <c r="K101" s="1984">
        <f>'Receitas (mensais)'!I109</f>
        <v>0</v>
      </c>
      <c r="L101" s="1984">
        <f>'Receitas (mensais)'!J109</f>
        <v>0</v>
      </c>
      <c r="M101" s="1984">
        <f>'Receitas (mensais)'!K109</f>
        <v>0</v>
      </c>
      <c r="N101" s="1984">
        <f>'Receitas (mensais)'!L109</f>
        <v>0</v>
      </c>
      <c r="O101" s="1984">
        <f>'Receitas (mensais)'!M109</f>
        <v>0</v>
      </c>
      <c r="P101" s="1984">
        <f>'Receitas (mensais)'!N109</f>
        <v>0</v>
      </c>
      <c r="Q101" s="1984">
        <f>'Receitas (mensais)'!O109</f>
        <v>0</v>
      </c>
      <c r="R101" s="1984">
        <f>'Receitas (mensais)'!P109</f>
        <v>0</v>
      </c>
      <c r="S101" s="1981">
        <f t="shared" si="15"/>
        <v>0</v>
      </c>
      <c r="T101" s="2169"/>
      <c r="U101" s="2178"/>
      <c r="V101" s="1854"/>
      <c r="W101" s="2003"/>
      <c r="Y101" s="2008"/>
    </row>
    <row r="102" spans="1:26" s="1866" customFormat="1" ht="26.25">
      <c r="A102" s="1889"/>
      <c r="B102" s="1908" t="s">
        <v>3298</v>
      </c>
      <c r="C102" s="2032" t="str">
        <f>'Receitas (mensais)'!D110</f>
        <v xml:space="preserve">         Fundo de Gestão de Rec. Halieuticos</v>
      </c>
      <c r="D102" s="1911"/>
      <c r="E102" s="1984"/>
      <c r="F102" s="2072">
        <v>1059206.237</v>
      </c>
      <c r="G102" s="1984">
        <f>'Receitas (mensais)'!E110</f>
        <v>105372.88099999999</v>
      </c>
      <c r="H102" s="1984">
        <f>'Receitas (mensais)'!F110</f>
        <v>38239.394</v>
      </c>
      <c r="I102" s="1984">
        <f>'Receitas (mensais)'!G110</f>
        <v>19745.797999999999</v>
      </c>
      <c r="J102" s="1984">
        <f>'Receitas (mensais)'!H110</f>
        <v>62461.902000000002</v>
      </c>
      <c r="K102" s="1984">
        <f>'Receitas (mensais)'!I110</f>
        <v>13501.164000000001</v>
      </c>
      <c r="L102" s="1984">
        <f>'Receitas (mensais)'!J110</f>
        <v>92884.887000000002</v>
      </c>
      <c r="M102" s="1984">
        <f>'Receitas (mensais)'!K110</f>
        <v>305817.08600000001</v>
      </c>
      <c r="N102" s="1984">
        <f>'Receitas (mensais)'!L110</f>
        <v>33629.156000000003</v>
      </c>
      <c r="O102" s="1984">
        <f>'Receitas (mensais)'!M110</f>
        <v>103742.56600000001</v>
      </c>
      <c r="P102" s="1984">
        <f>'Receitas (mensais)'!N110</f>
        <v>15399.709000000001</v>
      </c>
      <c r="Q102" s="1984">
        <f>'Receitas (mensais)'!O110</f>
        <v>189845.54199999999</v>
      </c>
      <c r="R102" s="1984">
        <f>'Receitas (mensais)'!P110</f>
        <v>557043.90399999998</v>
      </c>
      <c r="S102" s="1981">
        <f t="shared" si="15"/>
        <v>1537683.9890000001</v>
      </c>
      <c r="T102" s="2169"/>
      <c r="U102" s="2178"/>
      <c r="V102" s="1854"/>
      <c r="W102" s="2003"/>
      <c r="Y102" s="2008"/>
    </row>
    <row r="103" spans="1:26" s="1866" customFormat="1" ht="26.25">
      <c r="A103" s="1889"/>
      <c r="B103" s="1908" t="s">
        <v>3295</v>
      </c>
      <c r="C103" s="2032" t="str">
        <f>'Receitas (mensais)'!D111</f>
        <v xml:space="preserve">Abonos das actividades petroliferas </v>
      </c>
      <c r="D103" s="1911"/>
      <c r="E103" s="1984"/>
      <c r="F103" s="2072"/>
      <c r="G103" s="1984">
        <f>+'Receitas (mensais)'!E111</f>
        <v>0</v>
      </c>
      <c r="H103" s="1984">
        <f>+'Receitas (mensais)'!F111</f>
        <v>0</v>
      </c>
      <c r="I103" s="1984">
        <f>+'Receitas (mensais)'!G111</f>
        <v>0</v>
      </c>
      <c r="J103" s="1984">
        <f>+'Receitas (mensais)'!H111</f>
        <v>0</v>
      </c>
      <c r="K103" s="1984">
        <f>+'Receitas (mensais)'!I111</f>
        <v>0</v>
      </c>
      <c r="L103" s="1984">
        <f>+'Receitas (mensais)'!J111</f>
        <v>0</v>
      </c>
      <c r="M103" s="1984">
        <f>+'Receitas (mensais)'!K111</f>
        <v>0</v>
      </c>
      <c r="N103" s="1984">
        <f>+'Receitas (mensais)'!L111</f>
        <v>0</v>
      </c>
      <c r="O103" s="1984">
        <f>+'Receitas (mensais)'!M111</f>
        <v>0</v>
      </c>
      <c r="P103" s="1984">
        <f>+'Receitas (mensais)'!N111</f>
        <v>0</v>
      </c>
      <c r="Q103" s="1984">
        <f>+'Receitas (mensais)'!O111</f>
        <v>0</v>
      </c>
      <c r="R103" s="1984">
        <f>+'Receitas (mensais)'!P111</f>
        <v>0</v>
      </c>
      <c r="S103" s="1981">
        <f t="shared" si="15"/>
        <v>0</v>
      </c>
      <c r="T103" s="2169"/>
      <c r="U103" s="2178">
        <f t="shared" si="32"/>
        <v>0</v>
      </c>
      <c r="V103" s="1854"/>
      <c r="W103" s="2003"/>
      <c r="Y103" s="2008"/>
    </row>
    <row r="104" spans="1:26" s="1866" customFormat="1" ht="26.25">
      <c r="A104" s="1889"/>
      <c r="B104" s="1908" t="s">
        <v>3299</v>
      </c>
      <c r="C104" s="2032" t="str">
        <f>'Receitas (mensais)'!D112</f>
        <v>Licenças de Telecomunicações e outras</v>
      </c>
      <c r="D104" s="1911"/>
      <c r="E104" s="1984"/>
      <c r="F104" s="2072"/>
      <c r="G104" s="1984">
        <f>+'Receitas (mensais)'!E112</f>
        <v>0</v>
      </c>
      <c r="H104" s="1984">
        <f>+'Receitas (mensais)'!F112</f>
        <v>0</v>
      </c>
      <c r="I104" s="1984">
        <f>+'Receitas (mensais)'!G112</f>
        <v>0</v>
      </c>
      <c r="J104" s="1984">
        <f>+'Receitas (mensais)'!H112</f>
        <v>0</v>
      </c>
      <c r="K104" s="1984">
        <f>+'Receitas (mensais)'!I112</f>
        <v>0</v>
      </c>
      <c r="L104" s="1984">
        <f>+'Receitas (mensais)'!J112</f>
        <v>0</v>
      </c>
      <c r="M104" s="1984">
        <f>+'Receitas (mensais)'!K112</f>
        <v>0</v>
      </c>
      <c r="N104" s="1984">
        <f>+'Receitas (mensais)'!L112</f>
        <v>0</v>
      </c>
      <c r="O104" s="1984">
        <f>+'Receitas (mensais)'!M112</f>
        <v>0</v>
      </c>
      <c r="P104" s="1984">
        <f>+'Receitas (mensais)'!N112</f>
        <v>0</v>
      </c>
      <c r="Q104" s="1984">
        <f>+'Receitas (mensais)'!O112</f>
        <v>0</v>
      </c>
      <c r="R104" s="1984">
        <f>+'Receitas (mensais)'!P112</f>
        <v>0</v>
      </c>
      <c r="S104" s="1981">
        <f t="shared" si="15"/>
        <v>0</v>
      </c>
      <c r="T104" s="2169"/>
      <c r="U104" s="2178">
        <f t="shared" si="32"/>
        <v>0</v>
      </c>
      <c r="V104" s="1854"/>
      <c r="W104" s="2003"/>
      <c r="Y104" s="2008"/>
    </row>
    <row r="105" spans="1:26" s="1866" customFormat="1" ht="26.25">
      <c r="A105" s="1889"/>
      <c r="B105" s="1908" t="s">
        <v>3300</v>
      </c>
      <c r="C105" s="2032" t="str">
        <f>'Receitas (mensais)'!D113</f>
        <v>Taxa fundiaria</v>
      </c>
      <c r="D105" s="1911"/>
      <c r="E105" s="1984"/>
      <c r="F105" s="2072"/>
      <c r="G105" s="1984">
        <f>+'Receitas (mensais)'!E113</f>
        <v>0</v>
      </c>
      <c r="H105" s="1984">
        <f>+'Receitas (mensais)'!F113</f>
        <v>0</v>
      </c>
      <c r="I105" s="1984">
        <f>+'Receitas (mensais)'!G113</f>
        <v>0</v>
      </c>
      <c r="J105" s="1984">
        <f>+'Receitas (mensais)'!H113</f>
        <v>0</v>
      </c>
      <c r="K105" s="1984">
        <f>+'Receitas (mensais)'!I113</f>
        <v>0</v>
      </c>
      <c r="L105" s="1984">
        <f>+'Receitas (mensais)'!J113</f>
        <v>0</v>
      </c>
      <c r="M105" s="1984">
        <f>+'Receitas (mensais)'!K113</f>
        <v>0</v>
      </c>
      <c r="N105" s="1984">
        <f>+'Receitas (mensais)'!L113</f>
        <v>0</v>
      </c>
      <c r="O105" s="1984">
        <f>+'Receitas (mensais)'!M113</f>
        <v>0</v>
      </c>
      <c r="P105" s="1984">
        <f>+'Receitas (mensais)'!N113</f>
        <v>0</v>
      </c>
      <c r="Q105" s="1984">
        <f>+'Receitas (mensais)'!O113</f>
        <v>0</v>
      </c>
      <c r="R105" s="1984">
        <f>+'Receitas (mensais)'!P113</f>
        <v>0</v>
      </c>
      <c r="S105" s="1981">
        <f t="shared" si="15"/>
        <v>0</v>
      </c>
      <c r="T105" s="2169"/>
      <c r="U105" s="2178">
        <f t="shared" si="32"/>
        <v>0</v>
      </c>
      <c r="V105" s="1854"/>
      <c r="W105" s="2003"/>
      <c r="Y105" s="2008"/>
    </row>
    <row r="106" spans="1:26" s="1866" customFormat="1" ht="26.25">
      <c r="A106" s="1889"/>
      <c r="B106" s="1908" t="s">
        <v>3301</v>
      </c>
      <c r="C106" s="2032" t="str">
        <f>'Receitas (mensais)'!D114</f>
        <v>Emolumentos do Tribunal de Contas</v>
      </c>
      <c r="D106" s="1911"/>
      <c r="E106" s="1984"/>
      <c r="F106" s="2072"/>
      <c r="G106" s="1984">
        <f>+'Receitas (mensais)'!E114</f>
        <v>0</v>
      </c>
      <c r="H106" s="1984">
        <f>+'Receitas (mensais)'!F114</f>
        <v>0</v>
      </c>
      <c r="I106" s="1984">
        <f>+'Receitas (mensais)'!G114</f>
        <v>0</v>
      </c>
      <c r="J106" s="1984">
        <f>+'Receitas (mensais)'!H114</f>
        <v>0</v>
      </c>
      <c r="K106" s="1984">
        <f>+'Receitas (mensais)'!I114</f>
        <v>0</v>
      </c>
      <c r="L106" s="1984">
        <f>+'Receitas (mensais)'!J114</f>
        <v>0</v>
      </c>
      <c r="M106" s="1984">
        <f>+'Receitas (mensais)'!K114</f>
        <v>0</v>
      </c>
      <c r="N106" s="1984">
        <f>+'Receitas (mensais)'!L114</f>
        <v>0</v>
      </c>
      <c r="O106" s="1984">
        <f>+'Receitas (mensais)'!M114</f>
        <v>0</v>
      </c>
      <c r="P106" s="1984">
        <f>+'Receitas (mensais)'!N114</f>
        <v>0</v>
      </c>
      <c r="Q106" s="1984">
        <f>+'Receitas (mensais)'!O114</f>
        <v>0</v>
      </c>
      <c r="R106" s="1984">
        <f>+'Receitas (mensais)'!P114</f>
        <v>0</v>
      </c>
      <c r="S106" s="1981">
        <f t="shared" si="15"/>
        <v>0</v>
      </c>
      <c r="T106" s="2169"/>
      <c r="U106" s="2178">
        <f t="shared" si="32"/>
        <v>0</v>
      </c>
      <c r="V106" s="1854"/>
      <c r="W106" s="2003"/>
      <c r="Y106" s="2008"/>
    </row>
    <row r="107" spans="1:26" s="1866" customFormat="1" ht="26.25">
      <c r="A107" s="1889"/>
      <c r="B107" s="1908" t="s">
        <v>3302</v>
      </c>
      <c r="C107" s="2032" t="str">
        <f>'Receitas (mensais)'!D115</f>
        <v>Serviços florestais</v>
      </c>
      <c r="D107" s="1911"/>
      <c r="E107" s="1984"/>
      <c r="F107" s="2072"/>
      <c r="G107" s="1984">
        <f>+'Receitas (mensais)'!E115</f>
        <v>0</v>
      </c>
      <c r="H107" s="1984">
        <f>+'Receitas (mensais)'!F115</f>
        <v>0</v>
      </c>
      <c r="I107" s="1984">
        <f>+'Receitas (mensais)'!G115</f>
        <v>0</v>
      </c>
      <c r="J107" s="1984">
        <f>+'Receitas (mensais)'!H115</f>
        <v>0</v>
      </c>
      <c r="K107" s="1984">
        <f>+'Receitas (mensais)'!I115</f>
        <v>0</v>
      </c>
      <c r="L107" s="1984">
        <f>+'Receitas (mensais)'!J115</f>
        <v>0</v>
      </c>
      <c r="M107" s="1984">
        <f>+'Receitas (mensais)'!K115</f>
        <v>0</v>
      </c>
      <c r="N107" s="1984">
        <f>+'Receitas (mensais)'!L115</f>
        <v>0</v>
      </c>
      <c r="O107" s="1984">
        <f>+'Receitas (mensais)'!M115</f>
        <v>0</v>
      </c>
      <c r="P107" s="1984">
        <f>+'Receitas (mensais)'!N115</f>
        <v>0</v>
      </c>
      <c r="Q107" s="1984">
        <f>+'Receitas (mensais)'!O115</f>
        <v>0</v>
      </c>
      <c r="R107" s="1984">
        <f>+'Receitas (mensais)'!P115</f>
        <v>0</v>
      </c>
      <c r="S107" s="1981">
        <f t="shared" si="15"/>
        <v>0</v>
      </c>
      <c r="T107" s="2169"/>
      <c r="U107" s="2178">
        <f t="shared" si="32"/>
        <v>0</v>
      </c>
      <c r="V107" s="1854"/>
      <c r="W107" s="2003"/>
      <c r="Y107" s="2008"/>
    </row>
    <row r="108" spans="1:26" s="1866" customFormat="1" ht="26.25">
      <c r="A108" s="1889"/>
      <c r="B108" s="1908" t="s">
        <v>3303</v>
      </c>
      <c r="C108" s="2032" t="str">
        <f>'Receitas (mensais)'!D116</f>
        <v>Serviços de turismo</v>
      </c>
      <c r="D108" s="1911"/>
      <c r="E108" s="1984"/>
      <c r="F108" s="2072"/>
      <c r="G108" s="1984">
        <f>+'Receitas (mensais)'!E116</f>
        <v>0</v>
      </c>
      <c r="H108" s="1984">
        <f>+'Receitas (mensais)'!F116</f>
        <v>0</v>
      </c>
      <c r="I108" s="1984">
        <f>+'Receitas (mensais)'!G116</f>
        <v>0</v>
      </c>
      <c r="J108" s="1984">
        <f>+'Receitas (mensais)'!H116</f>
        <v>0</v>
      </c>
      <c r="K108" s="1984">
        <f>+'Receitas (mensais)'!I116</f>
        <v>0</v>
      </c>
      <c r="L108" s="1984">
        <f>+'Receitas (mensais)'!J116</f>
        <v>0</v>
      </c>
      <c r="M108" s="1984">
        <f>+'Receitas (mensais)'!K116</f>
        <v>0</v>
      </c>
      <c r="N108" s="1984">
        <f>+'Receitas (mensais)'!L116</f>
        <v>0</v>
      </c>
      <c r="O108" s="1984">
        <f>+'Receitas (mensais)'!M116</f>
        <v>0</v>
      </c>
      <c r="P108" s="1984">
        <f>+'Receitas (mensais)'!N116</f>
        <v>0</v>
      </c>
      <c r="Q108" s="1984">
        <f>+'Receitas (mensais)'!O116</f>
        <v>0</v>
      </c>
      <c r="R108" s="1984">
        <f>+'Receitas (mensais)'!P116</f>
        <v>0</v>
      </c>
      <c r="S108" s="1981">
        <f t="shared" si="15"/>
        <v>0</v>
      </c>
      <c r="T108" s="2169"/>
      <c r="U108" s="2178">
        <f t="shared" si="32"/>
        <v>0</v>
      </c>
      <c r="V108" s="1854"/>
      <c r="W108" s="2003"/>
      <c r="Y108" s="2008"/>
    </row>
    <row r="109" spans="1:26" s="1866" customFormat="1" ht="26.25">
      <c r="A109" s="1889"/>
      <c r="B109" s="1908" t="s">
        <v>3304</v>
      </c>
      <c r="C109" s="2032" t="str">
        <f>'Receitas (mensais)'!D117</f>
        <v>Serviços rodoviarios</v>
      </c>
      <c r="D109" s="1911"/>
      <c r="E109" s="1984"/>
      <c r="F109" s="2072"/>
      <c r="G109" s="1984">
        <f>+'Receitas (mensais)'!E117</f>
        <v>0</v>
      </c>
      <c r="H109" s="1984">
        <f>+'Receitas (mensais)'!F117</f>
        <v>0</v>
      </c>
      <c r="I109" s="1984">
        <f>+'Receitas (mensais)'!G117</f>
        <v>0</v>
      </c>
      <c r="J109" s="1984">
        <f>+'Receitas (mensais)'!H117</f>
        <v>0</v>
      </c>
      <c r="K109" s="1984">
        <f>+'Receitas (mensais)'!I117</f>
        <v>0</v>
      </c>
      <c r="L109" s="1984">
        <f>+'Receitas (mensais)'!J117</f>
        <v>0</v>
      </c>
      <c r="M109" s="1984">
        <f>+'Receitas (mensais)'!K117</f>
        <v>0</v>
      </c>
      <c r="N109" s="1984">
        <f>+'Receitas (mensais)'!L117</f>
        <v>0</v>
      </c>
      <c r="O109" s="1984">
        <f>+'Receitas (mensais)'!M117</f>
        <v>0</v>
      </c>
      <c r="P109" s="1984">
        <f>+'Receitas (mensais)'!N117</f>
        <v>0</v>
      </c>
      <c r="Q109" s="1984">
        <f>+'Receitas (mensais)'!O117</f>
        <v>0</v>
      </c>
      <c r="R109" s="1984">
        <f>+'Receitas (mensais)'!P117</f>
        <v>0</v>
      </c>
      <c r="S109" s="1981">
        <f t="shared" si="15"/>
        <v>0</v>
      </c>
      <c r="T109" s="2169"/>
      <c r="U109" s="2178">
        <f t="shared" si="32"/>
        <v>0</v>
      </c>
      <c r="V109" s="1854"/>
      <c r="W109" s="2003"/>
      <c r="Y109" s="2008"/>
    </row>
    <row r="110" spans="1:26" s="1866" customFormat="1" ht="26.25">
      <c r="A110" s="1889"/>
      <c r="B110" s="1908" t="s">
        <v>3305</v>
      </c>
      <c r="C110" s="2032" t="str">
        <f>'Receitas (mensais)'!D118</f>
        <v>Licença e Porte de Arma</v>
      </c>
      <c r="D110" s="1911"/>
      <c r="E110" s="1984"/>
      <c r="F110" s="2072"/>
      <c r="G110" s="1984">
        <f>+'Receitas (mensais)'!E118</f>
        <v>0</v>
      </c>
      <c r="H110" s="1984">
        <f>+'Receitas (mensais)'!F118</f>
        <v>0</v>
      </c>
      <c r="I110" s="1984">
        <f>+'Receitas (mensais)'!G118</f>
        <v>0</v>
      </c>
      <c r="J110" s="1984">
        <f>+'Receitas (mensais)'!H118</f>
        <v>0</v>
      </c>
      <c r="K110" s="2194">
        <f>+'Receitas (mensais)'!I118</f>
        <v>392.57100000000003</v>
      </c>
      <c r="L110" s="1984">
        <f>+'Receitas (mensais)'!J118</f>
        <v>182.5</v>
      </c>
      <c r="M110" s="1984">
        <f>+'Receitas (mensais)'!K118</f>
        <v>0</v>
      </c>
      <c r="N110" s="1984">
        <f>+'Receitas (mensais)'!L118</f>
        <v>0</v>
      </c>
      <c r="O110" s="1984">
        <f>+'Receitas (mensais)'!M118</f>
        <v>214.37799999999999</v>
      </c>
      <c r="P110" s="2194">
        <f>+'Receitas (mensais)'!N118</f>
        <v>166.25</v>
      </c>
      <c r="Q110" s="1984">
        <f>+'Receitas (mensais)'!O118</f>
        <v>0</v>
      </c>
      <c r="R110" s="1984">
        <f>+'Receitas (mensais)'!P118</f>
        <v>0</v>
      </c>
      <c r="S110" s="1981">
        <f t="shared" si="15"/>
        <v>955.69900000000007</v>
      </c>
      <c r="T110" s="2169"/>
      <c r="U110" s="2181">
        <f t="shared" si="32"/>
        <v>955.69900000000007</v>
      </c>
      <c r="V110" s="1854"/>
      <c r="W110" s="2003"/>
      <c r="Y110" s="2008"/>
    </row>
    <row r="111" spans="1:26" s="1866" customFormat="1" ht="26.25">
      <c r="A111" s="1889"/>
      <c r="B111" s="1908" t="s">
        <v>3306</v>
      </c>
      <c r="C111" s="2032" t="str">
        <f>'Receitas (mensais)'!D119</f>
        <v>Serviços de passaporte</v>
      </c>
      <c r="D111" s="1911"/>
      <c r="E111" s="1984"/>
      <c r="F111" s="2072"/>
      <c r="G111" s="1984">
        <f>+'Receitas (mensais)'!E119</f>
        <v>0</v>
      </c>
      <c r="H111" s="1984">
        <f>+'Receitas (mensais)'!F119</f>
        <v>0</v>
      </c>
      <c r="I111" s="1984">
        <f>+'Receitas (mensais)'!G119</f>
        <v>0</v>
      </c>
      <c r="J111" s="1984">
        <f>+'Receitas (mensais)'!H119</f>
        <v>0</v>
      </c>
      <c r="K111" s="2194">
        <f>+'Receitas (mensais)'!I119</f>
        <v>0</v>
      </c>
      <c r="L111" s="1984">
        <f>+'Receitas (mensais)'!J119</f>
        <v>0</v>
      </c>
      <c r="M111" s="1984">
        <f>+'Receitas (mensais)'!K119</f>
        <v>0</v>
      </c>
      <c r="N111" s="1984">
        <f>+'Receitas (mensais)'!L119</f>
        <v>0</v>
      </c>
      <c r="O111" s="1984">
        <f>+'Receitas (mensais)'!M119</f>
        <v>0</v>
      </c>
      <c r="P111" s="2194">
        <f>+'Receitas (mensais)'!N119</f>
        <v>0</v>
      </c>
      <c r="Q111" s="1984">
        <f>+'Receitas (mensais)'!O119</f>
        <v>0</v>
      </c>
      <c r="R111" s="1984">
        <f>+'Receitas (mensais)'!P119</f>
        <v>0</v>
      </c>
      <c r="S111" s="1981">
        <f t="shared" si="15"/>
        <v>0</v>
      </c>
      <c r="T111" s="2169"/>
      <c r="U111" s="2178">
        <f t="shared" si="32"/>
        <v>0</v>
      </c>
      <c r="V111" s="1854"/>
      <c r="W111" s="2003"/>
      <c r="Y111" s="2008"/>
    </row>
    <row r="112" spans="1:26" s="1866" customFormat="1" ht="26.25">
      <c r="A112" s="1889"/>
      <c r="B112" s="1908" t="s">
        <v>3307</v>
      </c>
      <c r="C112" s="2032" t="str">
        <f>'Receitas (mensais)'!D120</f>
        <v>Serviços migratorios</v>
      </c>
      <c r="D112" s="1911"/>
      <c r="E112" s="1984"/>
      <c r="F112" s="2072"/>
      <c r="G112" s="1984">
        <f>+'Receitas (mensais)'!E120</f>
        <v>7505.3320000000003</v>
      </c>
      <c r="H112" s="1984">
        <f>+'Receitas (mensais)'!F120</f>
        <v>6983.1</v>
      </c>
      <c r="I112" s="1984">
        <f>+'Receitas (mensais)'!G120</f>
        <v>5711.25</v>
      </c>
      <c r="J112" s="1984">
        <f>+'Receitas (mensais)'!H120</f>
        <v>10412.700000000001</v>
      </c>
      <c r="K112" s="2194">
        <f>+'Receitas (mensais)'!I120</f>
        <v>2527.0500000000002</v>
      </c>
      <c r="L112" s="1984">
        <f>+'Receitas (mensais)'!J120</f>
        <v>5064.3</v>
      </c>
      <c r="M112" s="1984">
        <f>+'Receitas (mensais)'!K120</f>
        <v>6514.4500000000007</v>
      </c>
      <c r="N112" s="1984">
        <f>+'Receitas (mensais)'!L120</f>
        <v>3698.85</v>
      </c>
      <c r="O112" s="1984">
        <f>+'Receitas (mensais)'!M120</f>
        <v>649.95000000000005</v>
      </c>
      <c r="P112" s="2200">
        <f>+'Receitas (mensais)'!N120</f>
        <v>5117.1000000000004</v>
      </c>
      <c r="Q112" s="1984">
        <f>+'Receitas (mensais)'!O120</f>
        <v>3800.8500000000004</v>
      </c>
      <c r="R112" s="1984">
        <f>+'Receitas (mensais)'!P120</f>
        <v>2178.9</v>
      </c>
      <c r="S112" s="1981">
        <f t="shared" si="15"/>
        <v>60163.831999999995</v>
      </c>
      <c r="T112" s="2169"/>
      <c r="U112" s="2181">
        <f t="shared" si="32"/>
        <v>60163.831999999995</v>
      </c>
      <c r="V112" s="1854"/>
      <c r="W112" s="2003"/>
      <c r="Y112" s="2008"/>
    </row>
    <row r="113" spans="1:25" s="1866" customFormat="1" ht="26.25">
      <c r="A113" s="1889"/>
      <c r="B113" s="1908" t="s">
        <v>3308</v>
      </c>
      <c r="C113" s="2032" t="str">
        <f>'Receitas (mensais)'!D121</f>
        <v>Serviços de Educaçao</v>
      </c>
      <c r="D113" s="1911"/>
      <c r="E113" s="1984"/>
      <c r="F113" s="2072"/>
      <c r="G113" s="1984">
        <f>+'Receitas (mensais)'!E121</f>
        <v>0</v>
      </c>
      <c r="H113" s="1984">
        <f>+'Receitas (mensais)'!F121</f>
        <v>0</v>
      </c>
      <c r="I113" s="1984">
        <f>+'Receitas (mensais)'!G121</f>
        <v>0</v>
      </c>
      <c r="J113" s="1984">
        <f>+'Receitas (mensais)'!H121</f>
        <v>0</v>
      </c>
      <c r="K113" s="1984">
        <f>+'Receitas (mensais)'!I121</f>
        <v>0</v>
      </c>
      <c r="L113" s="1984">
        <f>+'Receitas (mensais)'!J121</f>
        <v>0</v>
      </c>
      <c r="M113" s="1984">
        <f>+'Receitas (mensais)'!K121</f>
        <v>0</v>
      </c>
      <c r="N113" s="1984">
        <f>+'Receitas (mensais)'!L121</f>
        <v>0</v>
      </c>
      <c r="O113" s="1984">
        <f>+'Receitas (mensais)'!M121</f>
        <v>0</v>
      </c>
      <c r="P113" s="1984">
        <f>+'Receitas (mensais)'!N121</f>
        <v>0</v>
      </c>
      <c r="Q113" s="1984">
        <f>+'Receitas (mensais)'!O121</f>
        <v>0</v>
      </c>
      <c r="R113" s="1984">
        <f>+'Receitas (mensais)'!P121</f>
        <v>0</v>
      </c>
      <c r="S113" s="1981">
        <f t="shared" si="15"/>
        <v>0</v>
      </c>
      <c r="T113" s="2169"/>
      <c r="U113" s="2178">
        <f t="shared" si="32"/>
        <v>0</v>
      </c>
      <c r="V113" s="1854"/>
      <c r="W113" s="2003"/>
      <c r="Y113" s="2008"/>
    </row>
    <row r="114" spans="1:25" s="1866" customFormat="1" ht="26.25">
      <c r="A114" s="1889"/>
      <c r="B114" s="1908" t="s">
        <v>3309</v>
      </c>
      <c r="C114" s="2032" t="str">
        <f>'Receitas (mensais)'!D122</f>
        <v>Emolu. portos e capitanias</v>
      </c>
      <c r="D114" s="1911"/>
      <c r="E114" s="1984"/>
      <c r="F114" s="2072"/>
      <c r="G114" s="1984">
        <f>+'Receitas (mensais)'!E122</f>
        <v>0</v>
      </c>
      <c r="H114" s="1984">
        <f>+'Receitas (mensais)'!F122</f>
        <v>0</v>
      </c>
      <c r="I114" s="1984">
        <f>+'Receitas (mensais)'!G122</f>
        <v>0</v>
      </c>
      <c r="J114" s="1984">
        <f>+'Receitas (mensais)'!H122</f>
        <v>0</v>
      </c>
      <c r="K114" s="2199">
        <f>+'Receitas (mensais)'!I122</f>
        <v>780.17499999999995</v>
      </c>
      <c r="L114" s="1984">
        <f>+'Receitas (mensais)'!J122</f>
        <v>0</v>
      </c>
      <c r="M114" s="1984">
        <f>+'Receitas (mensais)'!K122</f>
        <v>0</v>
      </c>
      <c r="N114" s="1984">
        <f>+'Receitas (mensais)'!L122</f>
        <v>0</v>
      </c>
      <c r="O114" s="1984">
        <f>+'Receitas (mensais)'!M122</f>
        <v>0</v>
      </c>
      <c r="P114" s="1984">
        <f>+'Receitas (mensais)'!N122</f>
        <v>0</v>
      </c>
      <c r="Q114" s="1984">
        <f>+'Receitas (mensais)'!O122</f>
        <v>0</v>
      </c>
      <c r="R114" s="1984">
        <f>+'Receitas (mensais)'!P122</f>
        <v>0</v>
      </c>
      <c r="S114" s="1981">
        <f t="shared" si="15"/>
        <v>780.17499999999995</v>
      </c>
      <c r="T114" s="2169"/>
      <c r="U114" s="2180">
        <f t="shared" si="32"/>
        <v>780.17499999999995</v>
      </c>
      <c r="V114" s="1854"/>
      <c r="W114" s="2003"/>
      <c r="Y114" s="2008"/>
    </row>
    <row r="115" spans="1:25" s="1866" customFormat="1" ht="26.25">
      <c r="A115" s="1889"/>
      <c r="B115" s="1908" t="s">
        <v>3310</v>
      </c>
      <c r="C115" s="2032" t="str">
        <f>'Receitas (mensais)'!D123</f>
        <v>Rend. pontes cais</v>
      </c>
      <c r="D115" s="1911"/>
      <c r="E115" s="1984"/>
      <c r="F115" s="2072"/>
      <c r="G115" s="1984">
        <f>+G116+G117</f>
        <v>0</v>
      </c>
      <c r="H115" s="1984">
        <f t="shared" ref="H115:R115" si="40">+H116+H117</f>
        <v>0</v>
      </c>
      <c r="I115" s="1984">
        <f t="shared" si="40"/>
        <v>0</v>
      </c>
      <c r="J115" s="1984">
        <f t="shared" si="40"/>
        <v>0</v>
      </c>
      <c r="K115" s="1984">
        <f t="shared" si="40"/>
        <v>0</v>
      </c>
      <c r="L115" s="1984">
        <f t="shared" si="40"/>
        <v>0</v>
      </c>
      <c r="M115" s="1984">
        <f t="shared" si="40"/>
        <v>0</v>
      </c>
      <c r="N115" s="1984">
        <f t="shared" si="40"/>
        <v>0</v>
      </c>
      <c r="O115" s="1984">
        <f t="shared" si="40"/>
        <v>0</v>
      </c>
      <c r="P115" s="1984">
        <f t="shared" si="40"/>
        <v>0</v>
      </c>
      <c r="Q115" s="1984">
        <f t="shared" si="40"/>
        <v>0</v>
      </c>
      <c r="R115" s="1984">
        <f t="shared" si="40"/>
        <v>0</v>
      </c>
      <c r="S115" s="1981">
        <f t="shared" si="15"/>
        <v>0</v>
      </c>
      <c r="T115" s="2169"/>
      <c r="U115" s="2178">
        <f t="shared" si="32"/>
        <v>0</v>
      </c>
      <c r="V115" s="1854"/>
      <c r="W115" s="2003"/>
      <c r="Y115" s="2008"/>
    </row>
    <row r="116" spans="1:25" s="1866" customFormat="1" ht="26.25">
      <c r="A116" s="1889"/>
      <c r="B116" s="1908" t="s">
        <v>3312</v>
      </c>
      <c r="C116" s="2032" t="str">
        <f>'Receitas (mensais)'!D124</f>
        <v xml:space="preserve">      Taxas de Atracagem de Navios</v>
      </c>
      <c r="D116" s="1911"/>
      <c r="E116" s="1984"/>
      <c r="F116" s="2072"/>
      <c r="G116" s="1984">
        <f>+'Receitas (mensais)'!E124</f>
        <v>0</v>
      </c>
      <c r="H116" s="1984">
        <f>+'Receitas (mensais)'!F124</f>
        <v>0</v>
      </c>
      <c r="I116" s="1984">
        <f>+'Receitas (mensais)'!G124</f>
        <v>0</v>
      </c>
      <c r="J116" s="1984">
        <f>+'Receitas (mensais)'!H124</f>
        <v>0</v>
      </c>
      <c r="K116" s="1984">
        <f>+'Receitas (mensais)'!I124</f>
        <v>0</v>
      </c>
      <c r="L116" s="1984">
        <f>+'Receitas (mensais)'!J124</f>
        <v>0</v>
      </c>
      <c r="M116" s="1984">
        <f>+'Receitas (mensais)'!K124</f>
        <v>0</v>
      </c>
      <c r="N116" s="1984">
        <f>+'Receitas (mensais)'!L124</f>
        <v>0</v>
      </c>
      <c r="O116" s="1984">
        <f>+'Receitas (mensais)'!M124</f>
        <v>0</v>
      </c>
      <c r="P116" s="1984">
        <f>+'Receitas (mensais)'!N124</f>
        <v>0</v>
      </c>
      <c r="Q116" s="1984">
        <f>+'Receitas (mensais)'!O124</f>
        <v>0</v>
      </c>
      <c r="R116" s="1984">
        <f>+'Receitas (mensais)'!P124</f>
        <v>0</v>
      </c>
      <c r="S116" s="1981">
        <f t="shared" si="15"/>
        <v>0</v>
      </c>
      <c r="T116" s="2169"/>
      <c r="U116" s="2178">
        <f t="shared" si="32"/>
        <v>0</v>
      </c>
      <c r="V116" s="1854"/>
      <c r="W116" s="2003"/>
      <c r="Y116" s="2008"/>
    </row>
    <row r="117" spans="1:25" s="1866" customFormat="1" ht="26.25">
      <c r="A117" s="1889"/>
      <c r="B117" s="1908" t="s">
        <v>3313</v>
      </c>
      <c r="C117" s="2032" t="str">
        <f>'Receitas (mensais)'!D125</f>
        <v xml:space="preserve">     Taxas de Estacionamento de Navios</v>
      </c>
      <c r="D117" s="1911"/>
      <c r="E117" s="1984"/>
      <c r="F117" s="2072"/>
      <c r="G117" s="1984">
        <f>+'Receitas (mensais)'!E125</f>
        <v>0</v>
      </c>
      <c r="H117" s="1984">
        <f>+'Receitas (mensais)'!F125</f>
        <v>0</v>
      </c>
      <c r="I117" s="1984">
        <f>+'Receitas (mensais)'!G125</f>
        <v>0</v>
      </c>
      <c r="J117" s="1984">
        <f>+'Receitas (mensais)'!H125</f>
        <v>0</v>
      </c>
      <c r="K117" s="1984">
        <f>+'Receitas (mensais)'!I125</f>
        <v>0</v>
      </c>
      <c r="L117" s="1984">
        <f>+'Receitas (mensais)'!J125</f>
        <v>0</v>
      </c>
      <c r="M117" s="1984">
        <f>+'Receitas (mensais)'!K125</f>
        <v>0</v>
      </c>
      <c r="N117" s="1984">
        <f>+'Receitas (mensais)'!L125</f>
        <v>0</v>
      </c>
      <c r="O117" s="1984">
        <f>+'Receitas (mensais)'!M125</f>
        <v>0</v>
      </c>
      <c r="P117" s="1984">
        <f>+'Receitas (mensais)'!N125</f>
        <v>0</v>
      </c>
      <c r="Q117" s="1984">
        <f>+'Receitas (mensais)'!O125</f>
        <v>0</v>
      </c>
      <c r="R117" s="1984">
        <f>+'Receitas (mensais)'!P125</f>
        <v>0</v>
      </c>
      <c r="S117" s="1981">
        <f t="shared" si="15"/>
        <v>0</v>
      </c>
      <c r="T117" s="2169"/>
      <c r="U117" s="2178">
        <f t="shared" si="32"/>
        <v>0</v>
      </c>
      <c r="V117" s="1854"/>
      <c r="W117" s="2003"/>
      <c r="Y117" s="2008"/>
    </row>
    <row r="118" spans="1:25" s="1866" customFormat="1" ht="26.25">
      <c r="A118" s="1889"/>
      <c r="B118" s="1908" t="s">
        <v>3311</v>
      </c>
      <c r="C118" s="2032" t="str">
        <f>'Receitas (mensais)'!D126</f>
        <v>Outras taxas</v>
      </c>
      <c r="D118" s="1911"/>
      <c r="E118" s="1984"/>
      <c r="F118" s="2072">
        <f>+SUM(F119:F145)</f>
        <v>273218.65299999999</v>
      </c>
      <c r="G118" s="1984">
        <f>+SUM(G119:G145)</f>
        <v>24134.115999999998</v>
      </c>
      <c r="H118" s="1984">
        <f>+SUM(H119:H145)</f>
        <v>19257.457000000002</v>
      </c>
      <c r="I118" s="1984">
        <f t="shared" ref="I118:R118" si="41">+SUM(I119:I145)</f>
        <v>14100.792000000001</v>
      </c>
      <c r="J118" s="1984">
        <f t="shared" si="41"/>
        <v>11405.130999999999</v>
      </c>
      <c r="K118" s="1984">
        <f t="shared" si="41"/>
        <v>123965.33199999999</v>
      </c>
      <c r="L118" s="1984">
        <f t="shared" si="41"/>
        <v>7372.8899999999994</v>
      </c>
      <c r="M118" s="1984">
        <f t="shared" si="41"/>
        <v>9062.4470000000019</v>
      </c>
      <c r="N118" s="1984">
        <f t="shared" si="41"/>
        <v>11460.7</v>
      </c>
      <c r="O118" s="1984">
        <f t="shared" si="41"/>
        <v>24275.3</v>
      </c>
      <c r="P118" s="1984">
        <f t="shared" si="41"/>
        <v>30174.855</v>
      </c>
      <c r="Q118" s="1984">
        <f t="shared" si="41"/>
        <v>19738.445</v>
      </c>
      <c r="R118" s="1984">
        <f t="shared" si="41"/>
        <v>16296.798999999999</v>
      </c>
      <c r="S118" s="1981">
        <f t="shared" si="15"/>
        <v>311244.26400000002</v>
      </c>
      <c r="T118" s="2169"/>
      <c r="U118" s="2178">
        <f t="shared" si="32"/>
        <v>311244.26400000002</v>
      </c>
      <c r="V118" s="1854"/>
      <c r="W118" s="2003"/>
      <c r="Y118" s="2008"/>
    </row>
    <row r="119" spans="1:25" s="1866" customFormat="1" ht="26.25">
      <c r="A119" s="1889"/>
      <c r="B119" s="1908" t="s">
        <v>3314</v>
      </c>
      <c r="C119" s="2032" t="str">
        <f>'Receitas (mensais)'!D127</f>
        <v xml:space="preserve">       Taxa militar</v>
      </c>
      <c r="D119" s="1911"/>
      <c r="E119" s="1984"/>
      <c r="F119" s="2072"/>
      <c r="G119" s="1984">
        <f>+'Receitas (mensais)'!E127</f>
        <v>0</v>
      </c>
      <c r="H119" s="1984">
        <f>+'Receitas (mensais)'!F127</f>
        <v>0</v>
      </c>
      <c r="I119" s="1984">
        <f>+'Receitas (mensais)'!G127</f>
        <v>0</v>
      </c>
      <c r="J119" s="1984">
        <f>+'Receitas (mensais)'!H127</f>
        <v>0</v>
      </c>
      <c r="K119" s="1984">
        <f>+'Receitas (mensais)'!I127</f>
        <v>0</v>
      </c>
      <c r="L119" s="1984">
        <f>+'Receitas (mensais)'!J127</f>
        <v>0</v>
      </c>
      <c r="M119" s="1984">
        <f>+'Receitas (mensais)'!K127</f>
        <v>0</v>
      </c>
      <c r="N119" s="1984">
        <f>+'Receitas (mensais)'!L127</f>
        <v>0</v>
      </c>
      <c r="O119" s="1984">
        <f>+'Receitas (mensais)'!M127</f>
        <v>0</v>
      </c>
      <c r="P119" s="1984">
        <f>+'Receitas (mensais)'!N127</f>
        <v>0</v>
      </c>
      <c r="Q119" s="1984">
        <f>+'Receitas (mensais)'!O127</f>
        <v>0</v>
      </c>
      <c r="R119" s="1984">
        <f>+'Receitas (mensais)'!P127</f>
        <v>0</v>
      </c>
      <c r="S119" s="1981">
        <f t="shared" si="15"/>
        <v>0</v>
      </c>
      <c r="T119" s="2169"/>
      <c r="U119" s="2178">
        <f t="shared" si="32"/>
        <v>0</v>
      </c>
      <c r="V119" s="1854"/>
      <c r="W119" s="2003"/>
      <c r="Y119" s="2008"/>
    </row>
    <row r="120" spans="1:25" s="1866" customFormat="1" ht="26.25">
      <c r="A120" s="1889"/>
      <c r="B120" s="1908" t="s">
        <v>3315</v>
      </c>
      <c r="C120" s="2032" t="str">
        <f>'Receitas (mensais)'!D128</f>
        <v xml:space="preserve">      Taxa de selagem (aduan.)</v>
      </c>
      <c r="D120" s="1911"/>
      <c r="E120" s="1984"/>
      <c r="F120" s="2072"/>
      <c r="G120" s="1984">
        <f>+'Receitas (mensais)'!E128</f>
        <v>0</v>
      </c>
      <c r="H120" s="1984">
        <f>+'Receitas (mensais)'!F128</f>
        <v>0</v>
      </c>
      <c r="I120" s="1984">
        <f>+'Receitas (mensais)'!G128</f>
        <v>0</v>
      </c>
      <c r="J120" s="1984">
        <f>+'Receitas (mensais)'!H128</f>
        <v>0</v>
      </c>
      <c r="K120" s="1984">
        <f>+'Receitas (mensais)'!I128</f>
        <v>0</v>
      </c>
      <c r="L120" s="1984">
        <f>+'Receitas (mensais)'!J128</f>
        <v>0</v>
      </c>
      <c r="M120" s="1984">
        <f>+'Receitas (mensais)'!K128</f>
        <v>0</v>
      </c>
      <c r="N120" s="1984">
        <f>+'Receitas (mensais)'!L128</f>
        <v>0</v>
      </c>
      <c r="O120" s="1984">
        <f>+'Receitas (mensais)'!M128</f>
        <v>0</v>
      </c>
      <c r="P120" s="1984">
        <f>+'Receitas (mensais)'!N128</f>
        <v>0</v>
      </c>
      <c r="Q120" s="1984">
        <f>+'Receitas (mensais)'!O128</f>
        <v>0</v>
      </c>
      <c r="R120" s="1984">
        <f>+'Receitas (mensais)'!P128</f>
        <v>37.15</v>
      </c>
      <c r="S120" s="1981">
        <f t="shared" si="15"/>
        <v>37.15</v>
      </c>
      <c r="T120" s="2169"/>
      <c r="U120" s="2181">
        <f t="shared" si="32"/>
        <v>37.15</v>
      </c>
      <c r="V120" s="1854"/>
      <c r="W120" s="2003"/>
      <c r="Y120" s="2008"/>
    </row>
    <row r="121" spans="1:25" s="1866" customFormat="1" ht="26.25">
      <c r="A121" s="1889"/>
      <c r="B121" s="1908" t="s">
        <v>3316</v>
      </c>
      <c r="C121" s="2162" t="str">
        <f>'Receitas (mensais)'!D129</f>
        <v xml:space="preserve">      Registo civil</v>
      </c>
      <c r="D121" s="1911"/>
      <c r="E121" s="1984"/>
      <c r="F121" s="2072">
        <v>40025.055999999997</v>
      </c>
      <c r="G121" s="1984">
        <f>+'Receitas (mensais)'!E129</f>
        <v>491.01600000000002</v>
      </c>
      <c r="H121" s="1984">
        <f>+'Receitas (mensais)'!F129</f>
        <v>418.37599999999998</v>
      </c>
      <c r="I121" s="1984">
        <f>+'Receitas (mensais)'!G129</f>
        <v>697.40599999999995</v>
      </c>
      <c r="J121" s="1984">
        <f>+'Receitas (mensais)'!H129</f>
        <v>262.19900000000001</v>
      </c>
      <c r="K121" s="1984">
        <f>+'Receitas (mensais)'!I129</f>
        <v>3648.835</v>
      </c>
      <c r="L121" s="1984">
        <f>+'Receitas (mensais)'!J129</f>
        <v>1032.2629999999999</v>
      </c>
      <c r="M121" s="1984">
        <f>+'Receitas (mensais)'!K129</f>
        <v>2158.8830000000003</v>
      </c>
      <c r="N121" s="1984">
        <f>+'Receitas (mensais)'!L129</f>
        <v>2635.9450000000002</v>
      </c>
      <c r="O121" s="1984">
        <f>+'Receitas (mensais)'!M129</f>
        <v>3702.9630000000002</v>
      </c>
      <c r="P121" s="1984">
        <f>+'Receitas (mensais)'!N129</f>
        <v>3367.6529999999998</v>
      </c>
      <c r="Q121" s="1984">
        <f>+'Receitas (mensais)'!O129</f>
        <v>2380.64</v>
      </c>
      <c r="R121" s="1984">
        <f>+'Receitas (mensais)'!P129</f>
        <v>1303.9059999999999</v>
      </c>
      <c r="S121" s="1981">
        <f t="shared" si="15"/>
        <v>22100.084999999999</v>
      </c>
      <c r="T121" s="2169"/>
      <c r="U121" s="2178">
        <f t="shared" si="32"/>
        <v>22100.084999999999</v>
      </c>
      <c r="V121" s="1854"/>
      <c r="W121" s="2003"/>
      <c r="Y121" s="2008"/>
    </row>
    <row r="122" spans="1:25" s="1866" customFormat="1" ht="26.25">
      <c r="A122" s="1889"/>
      <c r="B122" s="1908" t="s">
        <v>3317</v>
      </c>
      <c r="C122" s="2032" t="str">
        <f>'Receitas (mensais)'!D130</f>
        <v xml:space="preserve">       I mposto de Justiça</v>
      </c>
      <c r="D122" s="1911"/>
      <c r="E122" s="1984"/>
      <c r="F122" s="2072">
        <v>734.97799999999995</v>
      </c>
      <c r="G122" s="1984">
        <f>+'Receitas (mensais)'!E130</f>
        <v>0</v>
      </c>
      <c r="H122" s="1984">
        <f>+'Receitas (mensais)'!F130</f>
        <v>0</v>
      </c>
      <c r="I122" s="1984">
        <f>+'Receitas (mensais)'!G130</f>
        <v>0</v>
      </c>
      <c r="J122" s="1984">
        <f>+'Receitas (mensais)'!H130</f>
        <v>0</v>
      </c>
      <c r="K122" s="1984">
        <f>+'Receitas (mensais)'!I130</f>
        <v>0</v>
      </c>
      <c r="L122" s="1984">
        <f>+'Receitas (mensais)'!J130</f>
        <v>0</v>
      </c>
      <c r="M122" s="1984">
        <f>+'Receitas (mensais)'!K130</f>
        <v>0</v>
      </c>
      <c r="N122" s="1984">
        <f>+'Receitas (mensais)'!L130</f>
        <v>0</v>
      </c>
      <c r="O122" s="1984">
        <f>+'Receitas (mensais)'!M130</f>
        <v>0</v>
      </c>
      <c r="P122" s="1984">
        <f>+'Receitas (mensais)'!N130</f>
        <v>0</v>
      </c>
      <c r="Q122" s="1984">
        <f>+'Receitas (mensais)'!O130</f>
        <v>0</v>
      </c>
      <c r="R122" s="1984">
        <f>+'Receitas (mensais)'!P130</f>
        <v>0</v>
      </c>
      <c r="S122" s="1981">
        <f t="shared" si="15"/>
        <v>0</v>
      </c>
      <c r="T122" s="2169"/>
      <c r="U122" s="2178">
        <f t="shared" si="32"/>
        <v>0</v>
      </c>
      <c r="V122" s="1854"/>
      <c r="W122" s="2003"/>
      <c r="Y122" s="2008"/>
    </row>
    <row r="123" spans="1:25" s="1866" customFormat="1" ht="26.25">
      <c r="A123" s="1889"/>
      <c r="B123" s="1908" t="s">
        <v>3318</v>
      </c>
      <c r="C123" s="2162" t="str">
        <f>'Receitas (mensais)'!D131</f>
        <v xml:space="preserve">       Emolum. dos Registos</v>
      </c>
      <c r="D123" s="1911"/>
      <c r="E123" s="1984"/>
      <c r="F123" s="2072">
        <v>33045.211000000003</v>
      </c>
      <c r="G123" s="1984">
        <f>+'Receitas (mensais)'!E131</f>
        <v>6846.3010000000004</v>
      </c>
      <c r="H123" s="1984">
        <f>+'Receitas (mensais)'!F131</f>
        <v>2000</v>
      </c>
      <c r="I123" s="1984">
        <f>+'Receitas (mensais)'!G131</f>
        <v>2853.1879999999996</v>
      </c>
      <c r="J123" s="1984">
        <f>+'Receitas (mensais)'!H131</f>
        <v>1285.6590000000001</v>
      </c>
      <c r="K123" s="1984">
        <f>+'Receitas (mensais)'!I131</f>
        <v>0</v>
      </c>
      <c r="L123" s="1984">
        <f>+'Receitas (mensais)'!J131</f>
        <v>0</v>
      </c>
      <c r="M123" s="1984">
        <f>+'Receitas (mensais)'!K131</f>
        <v>2304.011</v>
      </c>
      <c r="N123" s="1984">
        <f>+'Receitas (mensais)'!L131</f>
        <v>3330.51</v>
      </c>
      <c r="O123" s="1984">
        <f>+'Receitas (mensais)'!M131</f>
        <v>11120.295</v>
      </c>
      <c r="P123" s="1984">
        <f>+'Receitas (mensais)'!N131</f>
        <v>11446.021000000001</v>
      </c>
      <c r="Q123" s="1984">
        <f>+'Receitas (mensais)'!O131</f>
        <v>5729.4669999999996</v>
      </c>
      <c r="R123" s="1984">
        <f>+'Receitas (mensais)'!P131</f>
        <v>6188.5410000000002</v>
      </c>
      <c r="S123" s="1981">
        <f t="shared" si="15"/>
        <v>53103.992999999995</v>
      </c>
      <c r="T123" s="2169"/>
      <c r="U123" s="2178">
        <f t="shared" si="32"/>
        <v>53103.992999999995</v>
      </c>
      <c r="V123" s="1854"/>
      <c r="W123" s="2003"/>
      <c r="Y123" s="2008"/>
    </row>
    <row r="124" spans="1:25" s="1866" customFormat="1" ht="26.25">
      <c r="A124" s="1889"/>
      <c r="B124" s="1908" t="s">
        <v>3319</v>
      </c>
      <c r="C124" s="2032" t="str">
        <f>'Receitas (mensais)'!D132</f>
        <v xml:space="preserve">      Emol Trib Contencioso CI</v>
      </c>
      <c r="D124" s="1911"/>
      <c r="E124" s="1984"/>
      <c r="F124" s="2072"/>
      <c r="G124" s="1984">
        <f>+'Receitas (mensais)'!E132</f>
        <v>0</v>
      </c>
      <c r="H124" s="1984">
        <f>+'Receitas (mensais)'!F132</f>
        <v>0</v>
      </c>
      <c r="I124" s="1984">
        <f>+'Receitas (mensais)'!G132</f>
        <v>0</v>
      </c>
      <c r="J124" s="1984">
        <f>+'Receitas (mensais)'!H132</f>
        <v>0</v>
      </c>
      <c r="K124" s="1984">
        <f>+'Receitas (mensais)'!I132</f>
        <v>0</v>
      </c>
      <c r="L124" s="1984">
        <f>+'Receitas (mensais)'!J132</f>
        <v>0</v>
      </c>
      <c r="M124" s="1984">
        <f>+'Receitas (mensais)'!K132</f>
        <v>0</v>
      </c>
      <c r="N124" s="1984">
        <f>+'Receitas (mensais)'!L132</f>
        <v>0</v>
      </c>
      <c r="O124" s="1984">
        <f>+'Receitas (mensais)'!M132</f>
        <v>0</v>
      </c>
      <c r="P124" s="1984">
        <f>+'Receitas (mensais)'!N132</f>
        <v>0</v>
      </c>
      <c r="Q124" s="1984">
        <f>+'Receitas (mensais)'!O132</f>
        <v>0</v>
      </c>
      <c r="R124" s="1984">
        <f>+'Receitas (mensais)'!P132</f>
        <v>0</v>
      </c>
      <c r="S124" s="1981">
        <f t="shared" si="15"/>
        <v>0</v>
      </c>
      <c r="T124" s="2169"/>
      <c r="U124" s="2178">
        <f t="shared" si="32"/>
        <v>0</v>
      </c>
      <c r="V124" s="1854"/>
      <c r="W124" s="2003"/>
      <c r="Y124" s="2008"/>
    </row>
    <row r="125" spans="1:25" s="1866" customFormat="1" ht="26.25">
      <c r="A125" s="1889"/>
      <c r="B125" s="1908" t="s">
        <v>3320</v>
      </c>
      <c r="C125" s="2162" t="str">
        <f>'Receitas (mensais)'!D133</f>
        <v xml:space="preserve">     Serv. Identificaçao Civil</v>
      </c>
      <c r="D125" s="1911"/>
      <c r="E125" s="1984"/>
      <c r="F125" s="2072">
        <v>8698.7340000000004</v>
      </c>
      <c r="G125" s="1984">
        <f>+'Receitas (mensais)'!E133</f>
        <v>1984.0720000000001</v>
      </c>
      <c r="H125" s="1984">
        <f>+'Receitas (mensais)'!F133</f>
        <v>0</v>
      </c>
      <c r="I125" s="1984">
        <f>+'Receitas (mensais)'!G133</f>
        <v>1231.3599999999999</v>
      </c>
      <c r="J125" s="1984">
        <f>+'Receitas (mensais)'!H133</f>
        <v>0</v>
      </c>
      <c r="K125" s="1984">
        <f>+'Receitas (mensais)'!I133</f>
        <v>0</v>
      </c>
      <c r="L125" s="1984">
        <f>+'Receitas (mensais)'!J133</f>
        <v>0</v>
      </c>
      <c r="M125" s="1984">
        <f>+'Receitas (mensais)'!K133</f>
        <v>83.3</v>
      </c>
      <c r="N125" s="1984">
        <f>+'Receitas (mensais)'!L133</f>
        <v>3088.0740000000001</v>
      </c>
      <c r="O125" s="1984">
        <f>+'Receitas (mensais)'!M133</f>
        <v>2751.6309999999999</v>
      </c>
      <c r="P125" s="1984">
        <f>+'Receitas (mensais)'!N133</f>
        <v>4507.3809999999994</v>
      </c>
      <c r="Q125" s="1984">
        <f>+'Receitas (mensais)'!O133</f>
        <v>2503.1419999999998</v>
      </c>
      <c r="R125" s="1984">
        <f>+'Receitas (mensais)'!P133</f>
        <v>2088.848</v>
      </c>
      <c r="S125" s="1981">
        <f t="shared" si="15"/>
        <v>18237.807999999997</v>
      </c>
      <c r="T125" s="2169"/>
      <c r="U125" s="2178">
        <f t="shared" si="32"/>
        <v>18237.807999999997</v>
      </c>
      <c r="V125" s="1854"/>
      <c r="W125" s="2003"/>
      <c r="Y125" s="2008"/>
    </row>
    <row r="126" spans="1:25" s="1866" customFormat="1" ht="26.25">
      <c r="A126" s="1889"/>
      <c r="B126" s="1908" t="s">
        <v>3321</v>
      </c>
      <c r="C126" s="2032" t="str">
        <f>'Receitas (mensais)'!D134</f>
        <v xml:space="preserve">      Taxas de trafego</v>
      </c>
      <c r="D126" s="1911"/>
      <c r="E126" s="1984"/>
      <c r="F126" s="2072">
        <v>3213.2910000000002</v>
      </c>
      <c r="G126" s="1984">
        <f>+'Receitas (mensais)'!E134</f>
        <v>640.44799999999998</v>
      </c>
      <c r="H126" s="1984">
        <f>+'Receitas (mensais)'!F134</f>
        <v>980.44100000000003</v>
      </c>
      <c r="I126" s="1984">
        <f>+'Receitas (mensais)'!G134</f>
        <v>385.52</v>
      </c>
      <c r="J126" s="1984">
        <f>+'Receitas (mensais)'!H134</f>
        <v>649.01800000000003</v>
      </c>
      <c r="K126" s="1984">
        <f>+'Receitas (mensais)'!I134</f>
        <v>749.21500000000003</v>
      </c>
      <c r="L126" s="1984">
        <f>+'Receitas (mensais)'!J134</f>
        <v>829.00199999999995</v>
      </c>
      <c r="M126" s="1984">
        <f>+'Receitas (mensais)'!K134</f>
        <v>153.22800000000001</v>
      </c>
      <c r="N126" s="1984">
        <f>+'Receitas (mensais)'!L134</f>
        <v>120</v>
      </c>
      <c r="O126" s="1984">
        <f>+'Receitas (mensais)'!M134</f>
        <v>0</v>
      </c>
      <c r="P126" s="1984">
        <f>+'Receitas (mensais)'!N134</f>
        <v>396</v>
      </c>
      <c r="Q126" s="1984">
        <f>+'Receitas (mensais)'!O134</f>
        <v>555.846</v>
      </c>
      <c r="R126" s="1984">
        <f>+'Receitas (mensais)'!P134</f>
        <v>410.36799999999999</v>
      </c>
      <c r="S126" s="1981">
        <f t="shared" si="15"/>
        <v>5869.0860000000011</v>
      </c>
      <c r="T126" s="2169"/>
      <c r="U126" s="2178">
        <f t="shared" si="32"/>
        <v>5869.0860000000011</v>
      </c>
      <c r="V126" s="1854"/>
      <c r="W126" s="2003"/>
      <c r="Y126" s="2008"/>
    </row>
    <row r="127" spans="1:25" s="1866" customFormat="1" ht="26.25">
      <c r="A127" s="1889"/>
      <c r="B127" s="1908" t="s">
        <v>3322</v>
      </c>
      <c r="C127" s="2032" t="str">
        <f>'Receitas (mensais)'!D135</f>
        <v xml:space="preserve">      Rend. Serv do Notariado</v>
      </c>
      <c r="D127" s="1911"/>
      <c r="E127" s="1984"/>
      <c r="F127" s="2072">
        <v>8173.9629999999997</v>
      </c>
      <c r="G127" s="1984">
        <f>+'Receitas (mensais)'!E135</f>
        <v>1510.6790000000001</v>
      </c>
      <c r="H127" s="1984">
        <f>+'Receitas (mensais)'!F135</f>
        <v>0</v>
      </c>
      <c r="I127" s="1984">
        <f>+'Receitas (mensais)'!G135</f>
        <v>1807.3430000000001</v>
      </c>
      <c r="J127" s="1984">
        <f>+'Receitas (mensais)'!H135</f>
        <v>691.56999999999994</v>
      </c>
      <c r="K127" s="1984">
        <f>+'Receitas (mensais)'!I135</f>
        <v>0</v>
      </c>
      <c r="L127" s="1984">
        <f>+'Receitas (mensais)'!J135</f>
        <v>0</v>
      </c>
      <c r="M127" s="1984">
        <f>+'Receitas (mensais)'!K135</f>
        <v>0</v>
      </c>
      <c r="N127" s="1984">
        <f>+'Receitas (mensais)'!L135</f>
        <v>738.68</v>
      </c>
      <c r="O127" s="1984">
        <f>+'Receitas (mensais)'!M135</f>
        <v>3916.942</v>
      </c>
      <c r="P127" s="1984">
        <f>+'Receitas (mensais)'!N135</f>
        <v>3828.6819999999998</v>
      </c>
      <c r="Q127" s="1984">
        <f>+'Receitas (mensais)'!O135</f>
        <v>1853.3100000000004</v>
      </c>
      <c r="R127" s="1984">
        <f>+'Receitas (mensais)'!P135</f>
        <v>1853.4530000000002</v>
      </c>
      <c r="S127" s="1981">
        <f t="shared" si="15"/>
        <v>16200.659000000001</v>
      </c>
      <c r="T127" s="2169"/>
      <c r="U127" s="2178">
        <f t="shared" si="32"/>
        <v>16200.659000000001</v>
      </c>
      <c r="V127" s="1854"/>
      <c r="W127" s="2003"/>
      <c r="Y127" s="2008"/>
    </row>
    <row r="128" spans="1:25" s="1866" customFormat="1" ht="26.25">
      <c r="A128" s="1889"/>
      <c r="B128" s="1908" t="s">
        <v>3323</v>
      </c>
      <c r="C128" s="2193" t="str">
        <f>'Receitas (mensais)'!D136</f>
        <v xml:space="preserve">       Emolum. de Secretaria</v>
      </c>
      <c r="D128" s="1911"/>
      <c r="E128" s="1984"/>
      <c r="F128" s="1984">
        <v>102064.621</v>
      </c>
      <c r="G128" s="1984">
        <f>+'Receitas (mensais)'!E136</f>
        <v>9688.1549999999988</v>
      </c>
      <c r="H128" s="1984">
        <f>+'Receitas (mensais)'!F136</f>
        <v>13469.679</v>
      </c>
      <c r="I128" s="1984">
        <f>+'Receitas (mensais)'!G136</f>
        <v>4921.8969999999999</v>
      </c>
      <c r="J128" s="1984">
        <f>+'Receitas (mensais)'!H136</f>
        <v>5320.5380000000005</v>
      </c>
      <c r="K128" s="1984">
        <f>+'Receitas (mensais)'!I136</f>
        <v>1830.6000000000001</v>
      </c>
      <c r="L128" s="1984">
        <f>+'Receitas (mensais)'!J136</f>
        <v>4675.2139999999999</v>
      </c>
      <c r="M128" s="1984">
        <f>+'Receitas (mensais)'!K136</f>
        <v>2208.8240000000001</v>
      </c>
      <c r="N128" s="1984">
        <f>+'Receitas (mensais)'!L136</f>
        <v>933.37099999999998</v>
      </c>
      <c r="O128" s="1984">
        <f>+'Receitas (mensais)'!M136</f>
        <v>1531.3140000000001</v>
      </c>
      <c r="P128" s="1984">
        <f>+'Receitas (mensais)'!N136</f>
        <v>5937.3770000000004</v>
      </c>
      <c r="Q128" s="1984">
        <f>+'Receitas (mensais)'!O136</f>
        <v>5788.3980000000001</v>
      </c>
      <c r="R128" s="1984">
        <f>+'Receitas (mensais)'!P136</f>
        <v>3140.2929999999997</v>
      </c>
      <c r="S128" s="2198">
        <f t="shared" si="15"/>
        <v>59445.659999999996</v>
      </c>
      <c r="T128" s="2169"/>
      <c r="U128" s="2178">
        <f t="shared" si="32"/>
        <v>59445.659999999996</v>
      </c>
      <c r="V128" s="1854"/>
      <c r="W128" s="2003"/>
      <c r="Y128" s="2008"/>
    </row>
    <row r="129" spans="1:25" s="1866" customFormat="1" ht="26.25">
      <c r="A129" s="1889"/>
      <c r="B129" s="1908" t="s">
        <v>3324</v>
      </c>
      <c r="C129" s="2032" t="str">
        <f>'Receitas (mensais)'!D137</f>
        <v xml:space="preserve">      Taxas aparelhos e recept.</v>
      </c>
      <c r="D129" s="1911"/>
      <c r="E129" s="1984"/>
      <c r="F129" s="2072"/>
      <c r="G129" s="1984">
        <f>+'Receitas (mensais)'!E137</f>
        <v>0</v>
      </c>
      <c r="H129" s="1984">
        <f>+'Receitas (mensais)'!F137</f>
        <v>0</v>
      </c>
      <c r="I129" s="1984">
        <f>+'Receitas (mensais)'!G137</f>
        <v>0</v>
      </c>
      <c r="J129" s="1984">
        <f>+'Receitas (mensais)'!H137</f>
        <v>0</v>
      </c>
      <c r="K129" s="1984">
        <f>+'Receitas (mensais)'!I137</f>
        <v>0</v>
      </c>
      <c r="L129" s="1984">
        <f>+'Receitas (mensais)'!J137</f>
        <v>0</v>
      </c>
      <c r="M129" s="1984">
        <f>+'Receitas (mensais)'!K137</f>
        <v>0</v>
      </c>
      <c r="N129" s="1984">
        <f>+'Receitas (mensais)'!L137</f>
        <v>0</v>
      </c>
      <c r="O129" s="1984">
        <f>+'Receitas (mensais)'!M137</f>
        <v>0</v>
      </c>
      <c r="P129" s="1984">
        <f>+'Receitas (mensais)'!N137</f>
        <v>0</v>
      </c>
      <c r="Q129" s="1984">
        <f>+'Receitas (mensais)'!O137</f>
        <v>0</v>
      </c>
      <c r="R129" s="1984">
        <f>+'Receitas (mensais)'!P137</f>
        <v>0</v>
      </c>
      <c r="S129" s="1981">
        <f t="shared" si="15"/>
        <v>0</v>
      </c>
      <c r="T129" s="2169"/>
      <c r="U129" s="2178">
        <f t="shared" si="32"/>
        <v>0</v>
      </c>
      <c r="V129" s="1854"/>
      <c r="W129" s="2003"/>
      <c r="Y129" s="2008"/>
    </row>
    <row r="130" spans="1:25" s="1866" customFormat="1" ht="26.25">
      <c r="A130" s="1889"/>
      <c r="B130" s="1908" t="s">
        <v>3325</v>
      </c>
      <c r="C130" s="2032" t="str">
        <f>'Receitas (mensais)'!D138</f>
        <v xml:space="preserve">      Taxas aparel fabric aguard</v>
      </c>
      <c r="D130" s="1911"/>
      <c r="E130" s="1984"/>
      <c r="F130" s="2072"/>
      <c r="G130" s="1984">
        <f>+'Receitas (mensais)'!E138</f>
        <v>0</v>
      </c>
      <c r="H130" s="1984">
        <f>+'Receitas (mensais)'!F138</f>
        <v>0</v>
      </c>
      <c r="I130" s="1984">
        <f>+'Receitas (mensais)'!G138</f>
        <v>0</v>
      </c>
      <c r="J130" s="1984">
        <f>+'Receitas (mensais)'!H138</f>
        <v>0</v>
      </c>
      <c r="K130" s="1984">
        <f>+'Receitas (mensais)'!I138</f>
        <v>0</v>
      </c>
      <c r="L130" s="1984">
        <f>+'Receitas (mensais)'!J138</f>
        <v>0</v>
      </c>
      <c r="M130" s="1984">
        <f>+'Receitas (mensais)'!K138</f>
        <v>0</v>
      </c>
      <c r="N130" s="1984">
        <f>+'Receitas (mensais)'!L138</f>
        <v>0</v>
      </c>
      <c r="O130" s="1984">
        <f>+'Receitas (mensais)'!M138</f>
        <v>0</v>
      </c>
      <c r="P130" s="1984">
        <f>+'Receitas (mensais)'!N138</f>
        <v>0</v>
      </c>
      <c r="Q130" s="1984">
        <f>+'Receitas (mensais)'!O138</f>
        <v>0</v>
      </c>
      <c r="R130" s="1984">
        <f>+'Receitas (mensais)'!P138</f>
        <v>0</v>
      </c>
      <c r="S130" s="1981">
        <f t="shared" si="15"/>
        <v>0</v>
      </c>
      <c r="T130" s="2169"/>
      <c r="U130" s="2178">
        <f t="shared" si="32"/>
        <v>0</v>
      </c>
      <c r="V130" s="1854"/>
      <c r="W130" s="2003"/>
      <c r="Y130" s="2008"/>
    </row>
    <row r="131" spans="1:25" s="1866" customFormat="1" ht="26.25">
      <c r="A131" s="1889"/>
      <c r="B131" s="1908" t="s">
        <v>3326</v>
      </c>
      <c r="C131" s="2032" t="str">
        <f>'Receitas (mensais)'!D139</f>
        <v xml:space="preserve">      Serv agric- Rend Veterin</v>
      </c>
      <c r="D131" s="1911"/>
      <c r="E131" s="1984"/>
      <c r="F131" s="2072">
        <v>5504.9920000000002</v>
      </c>
      <c r="G131" s="1984">
        <f>+'Receitas (mensais)'!E139</f>
        <v>339.05900000000003</v>
      </c>
      <c r="H131" s="1984">
        <f>+'Receitas (mensais)'!F139</f>
        <v>367.56100000000004</v>
      </c>
      <c r="I131" s="1984">
        <f>+'Receitas (mensais)'!G139</f>
        <v>590.52800000000002</v>
      </c>
      <c r="J131" s="1984">
        <f>+'Receitas (mensais)'!H139</f>
        <v>1381.2470000000001</v>
      </c>
      <c r="K131" s="1984">
        <f>+'Receitas (mensais)'!I139</f>
        <v>971.57499999999993</v>
      </c>
      <c r="L131" s="1984">
        <f>+'Receitas (mensais)'!J139</f>
        <v>110</v>
      </c>
      <c r="M131" s="1984">
        <f>+'Receitas (mensais)'!K139</f>
        <v>1744.905</v>
      </c>
      <c r="N131" s="1984">
        <f>+'Receitas (mensais)'!L139</f>
        <v>104.392</v>
      </c>
      <c r="O131" s="1984">
        <f>+'Receitas (mensais)'!M139</f>
        <v>333.952</v>
      </c>
      <c r="P131" s="1984">
        <f>+'Receitas (mensais)'!N139</f>
        <v>428.24400000000003</v>
      </c>
      <c r="Q131" s="1984">
        <f>+'Receitas (mensais)'!O139</f>
        <v>0</v>
      </c>
      <c r="R131" s="1984">
        <f>+'Receitas (mensais)'!P139</f>
        <v>929.96299999999997</v>
      </c>
      <c r="S131" s="1981">
        <f t="shared" si="15"/>
        <v>7301.4259999999995</v>
      </c>
      <c r="T131" s="2169"/>
      <c r="U131" s="2178">
        <f t="shared" si="32"/>
        <v>7301.4259999999995</v>
      </c>
      <c r="V131" s="1854"/>
      <c r="W131" s="2003"/>
      <c r="Y131" s="2008"/>
    </row>
    <row r="132" spans="1:25" s="1866" customFormat="1" ht="26.25">
      <c r="A132" s="1889"/>
      <c r="B132" s="1908" t="s">
        <v>3327</v>
      </c>
      <c r="C132" s="2032" t="str">
        <f>'Receitas (mensais)'!D140</f>
        <v xml:space="preserve">      Serv agric - Inspecçao</v>
      </c>
      <c r="D132" s="1911"/>
      <c r="E132" s="1984"/>
      <c r="F132" s="2072">
        <v>12</v>
      </c>
      <c r="G132" s="1984">
        <f>+'Receitas (mensais)'!E140</f>
        <v>0</v>
      </c>
      <c r="H132" s="1984">
        <f>+'Receitas (mensais)'!F140</f>
        <v>0</v>
      </c>
      <c r="I132" s="1984">
        <f>+'Receitas (mensais)'!G140</f>
        <v>0</v>
      </c>
      <c r="J132" s="1984">
        <f>+'Receitas (mensais)'!H140</f>
        <v>0</v>
      </c>
      <c r="K132" s="1984">
        <f>+'Receitas (mensais)'!I140</f>
        <v>25.338999999999999</v>
      </c>
      <c r="L132" s="1984">
        <f>+'Receitas (mensais)'!J140</f>
        <v>0</v>
      </c>
      <c r="M132" s="1984">
        <f>+'Receitas (mensais)'!K140</f>
        <v>0</v>
      </c>
      <c r="N132" s="1984">
        <f>+'Receitas (mensais)'!L140</f>
        <v>0</v>
      </c>
      <c r="O132" s="1984">
        <f>+'Receitas (mensais)'!M140</f>
        <v>0</v>
      </c>
      <c r="P132" s="1984">
        <f>+'Receitas (mensais)'!N140</f>
        <v>0</v>
      </c>
      <c r="Q132" s="1984">
        <f>+'Receitas (mensais)'!O140</f>
        <v>0</v>
      </c>
      <c r="R132" s="1984">
        <f>+'Receitas (mensais)'!P140</f>
        <v>0</v>
      </c>
      <c r="S132" s="1981">
        <f t="shared" si="15"/>
        <v>25.338999999999999</v>
      </c>
      <c r="T132" s="2169"/>
      <c r="U132" s="2178">
        <f t="shared" si="32"/>
        <v>25.338999999999999</v>
      </c>
      <c r="V132" s="1854"/>
      <c r="W132" s="2003"/>
      <c r="Y132" s="2008"/>
    </row>
    <row r="133" spans="1:25" s="1866" customFormat="1" ht="26.25">
      <c r="A133" s="1889"/>
      <c r="B133" s="1908" t="s">
        <v>3328</v>
      </c>
      <c r="C133" s="2032" t="str">
        <f>'Receitas (mensais)'!D141</f>
        <v xml:space="preserve">      Outros rendimentos</v>
      </c>
      <c r="D133" s="1911"/>
      <c r="E133" s="1984"/>
      <c r="F133" s="2072"/>
      <c r="G133" s="1984">
        <f>+'Receitas (mensais)'!E141</f>
        <v>0</v>
      </c>
      <c r="H133" s="1984">
        <f>+'Receitas (mensais)'!F141</f>
        <v>0</v>
      </c>
      <c r="I133" s="1984">
        <f>+'Receitas (mensais)'!G141</f>
        <v>157.19999999999999</v>
      </c>
      <c r="J133" s="1984">
        <f>+'Receitas (mensais)'!H141</f>
        <v>0</v>
      </c>
      <c r="K133" s="2194">
        <f>+'Receitas (mensais)'!I141</f>
        <v>218.4</v>
      </c>
      <c r="L133" s="1984">
        <f>+'Receitas (mensais)'!J141</f>
        <v>0</v>
      </c>
      <c r="M133" s="1984">
        <f>+'Receitas (mensais)'!K141</f>
        <v>0</v>
      </c>
      <c r="N133" s="1984">
        <f>+'Receitas (mensais)'!L141</f>
        <v>174.51300000000001</v>
      </c>
      <c r="O133" s="1984">
        <f>+'Receitas (mensais)'!M141</f>
        <v>0</v>
      </c>
      <c r="P133" s="1984">
        <f>+'Receitas (mensais)'!N141</f>
        <v>0</v>
      </c>
      <c r="Q133" s="1984">
        <f>+'Receitas (mensais)'!O141</f>
        <v>128.61500000000001</v>
      </c>
      <c r="R133" s="1984">
        <f>+'Receitas (mensais)'!P141</f>
        <v>180.24600000000001</v>
      </c>
      <c r="S133" s="1981">
        <f t="shared" si="15"/>
        <v>858.97400000000005</v>
      </c>
      <c r="T133" s="2169"/>
      <c r="U133" s="2181">
        <f t="shared" si="32"/>
        <v>858.97400000000005</v>
      </c>
      <c r="V133" s="1854"/>
      <c r="W133" s="2003"/>
      <c r="Y133" s="2008"/>
    </row>
    <row r="134" spans="1:25" s="1866" customFormat="1" ht="26.25">
      <c r="A134" s="1889"/>
      <c r="B134" s="1908" t="s">
        <v>3329</v>
      </c>
      <c r="C134" s="2032" t="str">
        <f>'Receitas (mensais)'!D142</f>
        <v xml:space="preserve">       Imposto de Pilotagem</v>
      </c>
      <c r="D134" s="1911"/>
      <c r="E134" s="1984"/>
      <c r="F134" s="2072"/>
      <c r="G134" s="1984">
        <f>+'Receitas (mensais)'!E142</f>
        <v>0</v>
      </c>
      <c r="H134" s="1984">
        <f>+'Receitas (mensais)'!F142</f>
        <v>0</v>
      </c>
      <c r="I134" s="1984">
        <f>+'Receitas (mensais)'!G142</f>
        <v>0</v>
      </c>
      <c r="J134" s="1984">
        <f>+'Receitas (mensais)'!H142</f>
        <v>0</v>
      </c>
      <c r="K134" s="1984">
        <f>+'Receitas (mensais)'!I142</f>
        <v>0</v>
      </c>
      <c r="L134" s="1984">
        <f>+'Receitas (mensais)'!J142</f>
        <v>0</v>
      </c>
      <c r="M134" s="1984">
        <f>+'Receitas (mensais)'!K142</f>
        <v>0</v>
      </c>
      <c r="N134" s="1984">
        <f>+'Receitas (mensais)'!L142</f>
        <v>0</v>
      </c>
      <c r="O134" s="1984">
        <f>+'Receitas (mensais)'!M142</f>
        <v>0</v>
      </c>
      <c r="P134" s="1984">
        <f>+'Receitas (mensais)'!N142</f>
        <v>0</v>
      </c>
      <c r="Q134" s="1984">
        <f>+'Receitas (mensais)'!O142</f>
        <v>0</v>
      </c>
      <c r="R134" s="1984">
        <f>+'Receitas (mensais)'!P142</f>
        <v>0</v>
      </c>
      <c r="S134" s="1981">
        <f t="shared" si="15"/>
        <v>0</v>
      </c>
      <c r="T134" s="2169"/>
      <c r="U134" s="2178">
        <f t="shared" si="32"/>
        <v>0</v>
      </c>
      <c r="V134" s="1854"/>
      <c r="W134" s="2003"/>
      <c r="Y134" s="2008"/>
    </row>
    <row r="135" spans="1:25" s="1866" customFormat="1" ht="26.25">
      <c r="A135" s="1889"/>
      <c r="B135" s="1908" t="s">
        <v>3330</v>
      </c>
      <c r="C135" s="2032" t="str">
        <f>'Receitas (mensais)'!D143</f>
        <v xml:space="preserve">       I mposto de Farolagem</v>
      </c>
      <c r="D135" s="1911"/>
      <c r="E135" s="1984"/>
      <c r="F135" s="2072"/>
      <c r="G135" s="1984">
        <f>+'Receitas (mensais)'!E143</f>
        <v>0</v>
      </c>
      <c r="H135" s="1984">
        <f>+'Receitas (mensais)'!F143</f>
        <v>0</v>
      </c>
      <c r="I135" s="1984">
        <f>+'Receitas (mensais)'!G143</f>
        <v>0</v>
      </c>
      <c r="J135" s="1984">
        <f>+'Receitas (mensais)'!H143</f>
        <v>0</v>
      </c>
      <c r="K135" s="1984">
        <f>+'Receitas (mensais)'!I143</f>
        <v>0</v>
      </c>
      <c r="L135" s="1984">
        <f>+'Receitas (mensais)'!J143</f>
        <v>0</v>
      </c>
      <c r="M135" s="1984">
        <f>+'Receitas (mensais)'!K143</f>
        <v>0</v>
      </c>
      <c r="N135" s="1984">
        <f>+'Receitas (mensais)'!L143</f>
        <v>0</v>
      </c>
      <c r="O135" s="1984">
        <f>+'Receitas (mensais)'!M143</f>
        <v>0</v>
      </c>
      <c r="P135" s="1984">
        <f>+'Receitas (mensais)'!N143</f>
        <v>0</v>
      </c>
      <c r="Q135" s="1984">
        <f>+'Receitas (mensais)'!O143</f>
        <v>0</v>
      </c>
      <c r="R135" s="1984">
        <f>+'Receitas (mensais)'!P143</f>
        <v>0</v>
      </c>
      <c r="S135" s="1981">
        <f t="shared" si="15"/>
        <v>0</v>
      </c>
      <c r="T135" s="2169"/>
      <c r="U135" s="2178">
        <f t="shared" si="32"/>
        <v>0</v>
      </c>
      <c r="V135" s="1854"/>
      <c r="W135" s="2003"/>
      <c r="Y135" s="2008"/>
    </row>
    <row r="136" spans="1:25" s="1866" customFormat="1" ht="26.25">
      <c r="A136" s="1889"/>
      <c r="B136" s="1908" t="s">
        <v>3331</v>
      </c>
      <c r="C136" s="2032" t="str">
        <f>'Receitas (mensais)'!D144</f>
        <v xml:space="preserve">       Aerop.- T. ateragem, desc</v>
      </c>
      <c r="D136" s="1911"/>
      <c r="E136" s="1984"/>
      <c r="F136" s="2072"/>
      <c r="G136" s="1984">
        <f>+'Receitas (mensais)'!E144</f>
        <v>0</v>
      </c>
      <c r="H136" s="1984">
        <f>+'Receitas (mensais)'!F144</f>
        <v>0</v>
      </c>
      <c r="I136" s="1984">
        <f>+'Receitas (mensais)'!G144</f>
        <v>0</v>
      </c>
      <c r="J136" s="1984">
        <f>+'Receitas (mensais)'!H144</f>
        <v>0</v>
      </c>
      <c r="K136" s="1984">
        <f>+'Receitas (mensais)'!I144</f>
        <v>0</v>
      </c>
      <c r="L136" s="1984">
        <f>+'Receitas (mensais)'!J144</f>
        <v>0</v>
      </c>
      <c r="M136" s="1984">
        <f>+'Receitas (mensais)'!K144</f>
        <v>0</v>
      </c>
      <c r="N136" s="1984">
        <f>+'Receitas (mensais)'!L144</f>
        <v>0</v>
      </c>
      <c r="O136" s="1984">
        <f>+'Receitas (mensais)'!M144</f>
        <v>0</v>
      </c>
      <c r="P136" s="1984">
        <f>+'Receitas (mensais)'!N144</f>
        <v>0</v>
      </c>
      <c r="Q136" s="1984">
        <f>+'Receitas (mensais)'!O144</f>
        <v>0</v>
      </c>
      <c r="R136" s="1984">
        <f>+'Receitas (mensais)'!P144</f>
        <v>0</v>
      </c>
      <c r="S136" s="1981">
        <f t="shared" si="15"/>
        <v>0</v>
      </c>
      <c r="T136" s="2169"/>
      <c r="U136" s="2178">
        <f t="shared" si="32"/>
        <v>0</v>
      </c>
      <c r="V136" s="1854"/>
      <c r="W136" s="2003"/>
      <c r="Y136" s="2008"/>
    </row>
    <row r="137" spans="1:25" s="1866" customFormat="1" ht="26.25">
      <c r="A137" s="1889"/>
      <c r="B137" s="1908" t="s">
        <v>3332</v>
      </c>
      <c r="C137" s="2032" t="str">
        <f>'Receitas (mensais)'!D145</f>
        <v xml:space="preserve">       Aerop.- T do aeroporto</v>
      </c>
      <c r="D137" s="1911"/>
      <c r="E137" s="1984"/>
      <c r="F137" s="2072"/>
      <c r="G137" s="1984">
        <f>+'Receitas (mensais)'!E145</f>
        <v>0</v>
      </c>
      <c r="H137" s="1984">
        <f>+'Receitas (mensais)'!F145</f>
        <v>0</v>
      </c>
      <c r="I137" s="1984">
        <f>+'Receitas (mensais)'!G145</f>
        <v>0</v>
      </c>
      <c r="J137" s="1984">
        <f>+'Receitas (mensais)'!H145</f>
        <v>0</v>
      </c>
      <c r="K137" s="1984">
        <f>+'Receitas (mensais)'!I145</f>
        <v>0</v>
      </c>
      <c r="L137" s="1984">
        <f>+'Receitas (mensais)'!J145</f>
        <v>0</v>
      </c>
      <c r="M137" s="1984">
        <f>+'Receitas (mensais)'!K145</f>
        <v>0</v>
      </c>
      <c r="N137" s="1984">
        <f>+'Receitas (mensais)'!L145</f>
        <v>0</v>
      </c>
      <c r="O137" s="1984">
        <f>+'Receitas (mensais)'!M145</f>
        <v>0</v>
      </c>
      <c r="P137" s="1984">
        <f>+'Receitas (mensais)'!N145</f>
        <v>0</v>
      </c>
      <c r="Q137" s="1984">
        <f>+'Receitas (mensais)'!O145</f>
        <v>0</v>
      </c>
      <c r="R137" s="1984">
        <f>+'Receitas (mensais)'!P145</f>
        <v>0</v>
      </c>
      <c r="S137" s="1981">
        <f t="shared" si="15"/>
        <v>0</v>
      </c>
      <c r="T137" s="2169"/>
      <c r="U137" s="2178">
        <f t="shared" ref="U137:U200" si="42">+S137-T137</f>
        <v>0</v>
      </c>
      <c r="V137" s="1854"/>
      <c r="W137" s="2003"/>
      <c r="Y137" s="2008"/>
    </row>
    <row r="138" spans="1:25" s="1866" customFormat="1" ht="26.25">
      <c r="A138" s="1889"/>
      <c r="B138" s="1908" t="s">
        <v>3333</v>
      </c>
      <c r="C138" s="2032" t="str">
        <f>'Receitas (mensais)'!D146</f>
        <v xml:space="preserve">       Aerop.- T de embarque</v>
      </c>
      <c r="D138" s="1911"/>
      <c r="E138" s="1984"/>
      <c r="F138" s="2072"/>
      <c r="G138" s="1984">
        <f>+'Receitas (mensais)'!E146</f>
        <v>0</v>
      </c>
      <c r="H138" s="1984">
        <f>+'Receitas (mensais)'!F146</f>
        <v>0</v>
      </c>
      <c r="I138" s="1984">
        <f>+'Receitas (mensais)'!G146</f>
        <v>0</v>
      </c>
      <c r="J138" s="1984">
        <f>+'Receitas (mensais)'!H146</f>
        <v>0</v>
      </c>
      <c r="K138" s="1984">
        <f>+'Receitas (mensais)'!I146</f>
        <v>0</v>
      </c>
      <c r="L138" s="1984">
        <f>+'Receitas (mensais)'!J146</f>
        <v>0</v>
      </c>
      <c r="M138" s="1984">
        <f>+'Receitas (mensais)'!K146</f>
        <v>0</v>
      </c>
      <c r="N138" s="1984">
        <f>+'Receitas (mensais)'!L146</f>
        <v>0</v>
      </c>
      <c r="O138" s="1984">
        <f>+'Receitas (mensais)'!M146</f>
        <v>0</v>
      </c>
      <c r="P138" s="1984">
        <f>+'Receitas (mensais)'!N146</f>
        <v>0</v>
      </c>
      <c r="Q138" s="1984">
        <f>+'Receitas (mensais)'!O146</f>
        <v>0</v>
      </c>
      <c r="R138" s="1984">
        <f>+'Receitas (mensais)'!P146</f>
        <v>0</v>
      </c>
      <c r="S138" s="1981">
        <f t="shared" si="15"/>
        <v>0</v>
      </c>
      <c r="T138" s="2169"/>
      <c r="U138" s="2178">
        <f t="shared" si="42"/>
        <v>0</v>
      </c>
      <c r="V138" s="1854"/>
      <c r="W138" s="2003"/>
      <c r="Y138" s="2008"/>
    </row>
    <row r="139" spans="1:25" s="1866" customFormat="1" ht="26.25">
      <c r="A139" s="1889"/>
      <c r="B139" s="1908" t="s">
        <v>3334</v>
      </c>
      <c r="C139" s="2032" t="str">
        <f>'Receitas (mensais)'!D147</f>
        <v xml:space="preserve">       Aerop.- Outras taxas</v>
      </c>
      <c r="D139" s="1911"/>
      <c r="E139" s="1984"/>
      <c r="F139" s="2072"/>
      <c r="G139" s="1984">
        <f>+'Receitas (mensais)'!E147</f>
        <v>0</v>
      </c>
      <c r="H139" s="1984">
        <f>+'Receitas (mensais)'!F147</f>
        <v>0</v>
      </c>
      <c r="I139" s="1984">
        <f>+'Receitas (mensais)'!G147</f>
        <v>0</v>
      </c>
      <c r="J139" s="1984">
        <f>+'Receitas (mensais)'!H147</f>
        <v>0</v>
      </c>
      <c r="K139" s="1984">
        <f>+'Receitas (mensais)'!I147</f>
        <v>0</v>
      </c>
      <c r="L139" s="1984">
        <f>+'Receitas (mensais)'!J147</f>
        <v>0</v>
      </c>
      <c r="M139" s="1984">
        <f>+'Receitas (mensais)'!K147</f>
        <v>0</v>
      </c>
      <c r="N139" s="1984">
        <f>+'Receitas (mensais)'!L147</f>
        <v>0</v>
      </c>
      <c r="O139" s="1984">
        <f>+'Receitas (mensais)'!M147</f>
        <v>0</v>
      </c>
      <c r="P139" s="1984">
        <f>+'Receitas (mensais)'!N147</f>
        <v>0</v>
      </c>
      <c r="Q139" s="1984">
        <f>+'Receitas (mensais)'!O147</f>
        <v>0</v>
      </c>
      <c r="R139" s="1984">
        <f>+'Receitas (mensais)'!P147</f>
        <v>0</v>
      </c>
      <c r="S139" s="1981">
        <f t="shared" si="15"/>
        <v>0</v>
      </c>
      <c r="T139" s="2169"/>
      <c r="U139" s="2178">
        <f t="shared" si="42"/>
        <v>0</v>
      </c>
      <c r="V139" s="1854"/>
      <c r="W139" s="2003"/>
      <c r="Y139" s="2008"/>
    </row>
    <row r="140" spans="1:25" s="1866" customFormat="1" ht="26.25">
      <c r="A140" s="1889"/>
      <c r="B140" s="1908" t="s">
        <v>3335</v>
      </c>
      <c r="C140" s="2032" t="str">
        <f>'Receitas (mensais)'!D148</f>
        <v xml:space="preserve">      Taxa Nox de Cola (Estado)</v>
      </c>
      <c r="D140" s="1911"/>
      <c r="E140" s="1984"/>
      <c r="F140" s="2072"/>
      <c r="G140" s="1984">
        <f>+'Receitas (mensais)'!E148</f>
        <v>0</v>
      </c>
      <c r="H140" s="1984">
        <f>+'Receitas (mensais)'!F148</f>
        <v>0</v>
      </c>
      <c r="I140" s="1984">
        <f>+'Receitas (mensais)'!G148</f>
        <v>0</v>
      </c>
      <c r="J140" s="1984">
        <f>+'Receitas (mensais)'!H148</f>
        <v>0</v>
      </c>
      <c r="K140" s="1984">
        <f>+'Receitas (mensais)'!I148</f>
        <v>0</v>
      </c>
      <c r="L140" s="1984">
        <f>+'Receitas (mensais)'!J148</f>
        <v>0</v>
      </c>
      <c r="M140" s="1984">
        <f>+'Receitas (mensais)'!K148</f>
        <v>0</v>
      </c>
      <c r="N140" s="1984">
        <f>+'Receitas (mensais)'!L148</f>
        <v>0</v>
      </c>
      <c r="O140" s="1984">
        <f>+'Receitas (mensais)'!M148</f>
        <v>0</v>
      </c>
      <c r="P140" s="1984">
        <f>+'Receitas (mensais)'!N148</f>
        <v>0</v>
      </c>
      <c r="Q140" s="1984">
        <f>+'Receitas (mensais)'!O148</f>
        <v>0</v>
      </c>
      <c r="R140" s="1984">
        <f>+'Receitas (mensais)'!P148</f>
        <v>0</v>
      </c>
      <c r="S140" s="1981">
        <f t="shared" si="15"/>
        <v>0</v>
      </c>
      <c r="T140" s="2169"/>
      <c r="U140" s="2178">
        <f t="shared" si="42"/>
        <v>0</v>
      </c>
      <c r="V140" s="1854"/>
      <c r="W140" s="2003"/>
      <c r="Y140" s="2008"/>
    </row>
    <row r="141" spans="1:25" s="1866" customFormat="1" ht="26.25">
      <c r="A141" s="1889"/>
      <c r="B141" s="1908" t="s">
        <v>3336</v>
      </c>
      <c r="C141" s="2032" t="str">
        <f>'Receitas (mensais)'!D149</f>
        <v xml:space="preserve">      Taxa Nox de Cola (Comite)</v>
      </c>
      <c r="D141" s="1911"/>
      <c r="E141" s="1984"/>
      <c r="F141" s="2072"/>
      <c r="G141" s="1984">
        <f>+'Receitas (mensais)'!E149</f>
        <v>0</v>
      </c>
      <c r="H141" s="1984">
        <f>+'Receitas (mensais)'!F149</f>
        <v>0</v>
      </c>
      <c r="I141" s="1984">
        <f>+'Receitas (mensais)'!G149</f>
        <v>0</v>
      </c>
      <c r="J141" s="1984">
        <f>+'Receitas (mensais)'!H149</f>
        <v>0</v>
      </c>
      <c r="K141" s="1984">
        <f>+'Receitas (mensais)'!I149</f>
        <v>0</v>
      </c>
      <c r="L141" s="1984">
        <f>+'Receitas (mensais)'!J149</f>
        <v>0</v>
      </c>
      <c r="M141" s="1984">
        <f>+'Receitas (mensais)'!K149</f>
        <v>0</v>
      </c>
      <c r="N141" s="1984">
        <f>+'Receitas (mensais)'!L149</f>
        <v>0</v>
      </c>
      <c r="O141" s="1984">
        <f>+'Receitas (mensais)'!M149</f>
        <v>0</v>
      </c>
      <c r="P141" s="1984">
        <f>+'Receitas (mensais)'!N149</f>
        <v>0</v>
      </c>
      <c r="Q141" s="1984">
        <f>+'Receitas (mensais)'!O149</f>
        <v>0</v>
      </c>
      <c r="R141" s="1984">
        <f>+'Receitas (mensais)'!P149</f>
        <v>0</v>
      </c>
      <c r="S141" s="1981">
        <f t="shared" si="15"/>
        <v>0</v>
      </c>
      <c r="T141" s="2169"/>
      <c r="U141" s="2178">
        <f t="shared" si="42"/>
        <v>0</v>
      </c>
      <c r="V141" s="1854"/>
      <c r="W141" s="2003"/>
      <c r="Y141" s="2008"/>
    </row>
    <row r="142" spans="1:25" s="1866" customFormat="1" ht="26.25">
      <c r="A142" s="1889"/>
      <c r="B142" s="1908" t="s">
        <v>3337</v>
      </c>
      <c r="C142" s="2032" t="str">
        <f>'Receitas (mensais)'!D150</f>
        <v xml:space="preserve">      Viaçao- Imp. de Gasoleo</v>
      </c>
      <c r="D142" s="1911"/>
      <c r="E142" s="1984"/>
      <c r="F142" s="2072"/>
      <c r="G142" s="1984">
        <f>+'Receitas (mensais)'!E150</f>
        <v>0</v>
      </c>
      <c r="H142" s="1984">
        <f>+'Receitas (mensais)'!F150</f>
        <v>0</v>
      </c>
      <c r="I142" s="1984">
        <f>+'Receitas (mensais)'!G150</f>
        <v>0</v>
      </c>
      <c r="J142" s="1984">
        <f>+'Receitas (mensais)'!H150</f>
        <v>0</v>
      </c>
      <c r="K142" s="1984">
        <f>+'Receitas (mensais)'!I150</f>
        <v>0</v>
      </c>
      <c r="L142" s="1984">
        <f>+'Receitas (mensais)'!J150</f>
        <v>0</v>
      </c>
      <c r="M142" s="1984">
        <f>+'Receitas (mensais)'!K150</f>
        <v>0</v>
      </c>
      <c r="N142" s="1984">
        <f>+'Receitas (mensais)'!L150</f>
        <v>0</v>
      </c>
      <c r="O142" s="1984">
        <f>+'Receitas (mensais)'!M150</f>
        <v>0</v>
      </c>
      <c r="P142" s="1984">
        <f>+'Receitas (mensais)'!N150</f>
        <v>0</v>
      </c>
      <c r="Q142" s="1984">
        <f>+'Receitas (mensais)'!O150</f>
        <v>0</v>
      </c>
      <c r="R142" s="1984">
        <f>+'Receitas (mensais)'!P150</f>
        <v>0</v>
      </c>
      <c r="S142" s="1981">
        <f t="shared" si="15"/>
        <v>0</v>
      </c>
      <c r="T142" s="2169"/>
      <c r="U142" s="2178">
        <f t="shared" si="42"/>
        <v>0</v>
      </c>
      <c r="V142" s="1854"/>
      <c r="W142" s="2003"/>
      <c r="Y142" s="2008"/>
    </row>
    <row r="143" spans="1:25" s="1866" customFormat="1" ht="26.25">
      <c r="A143" s="1889"/>
      <c r="B143" s="1908" t="s">
        <v>3338</v>
      </c>
      <c r="C143" s="2032" t="str">
        <f>'Receitas (mensais)'!D151</f>
        <v xml:space="preserve">      Viaçao- Imp profissional</v>
      </c>
      <c r="D143" s="1911"/>
      <c r="E143" s="1984"/>
      <c r="F143" s="2072"/>
      <c r="G143" s="1984">
        <f>+'Receitas (mensais)'!E151</f>
        <v>0</v>
      </c>
      <c r="H143" s="1984">
        <f>+'Receitas (mensais)'!F151</f>
        <v>0</v>
      </c>
      <c r="I143" s="1984">
        <f>+'Receitas (mensais)'!G151</f>
        <v>0</v>
      </c>
      <c r="J143" s="1984">
        <f>+'Receitas (mensais)'!H151</f>
        <v>0</v>
      </c>
      <c r="K143" s="1984">
        <f>+'Receitas (mensais)'!I151</f>
        <v>0</v>
      </c>
      <c r="L143" s="1984">
        <f>+'Receitas (mensais)'!J151</f>
        <v>0</v>
      </c>
      <c r="M143" s="1984">
        <f>+'Receitas (mensais)'!K151</f>
        <v>0</v>
      </c>
      <c r="N143" s="1984">
        <f>+'Receitas (mensais)'!L151</f>
        <v>0</v>
      </c>
      <c r="O143" s="1984">
        <f>+'Receitas (mensais)'!M151</f>
        <v>0</v>
      </c>
      <c r="P143" s="1984">
        <f>+'Receitas (mensais)'!N151</f>
        <v>0</v>
      </c>
      <c r="Q143" s="1984">
        <f>+'Receitas (mensais)'!O151</f>
        <v>0</v>
      </c>
      <c r="R143" s="1984">
        <f>+'Receitas (mensais)'!P151</f>
        <v>0</v>
      </c>
      <c r="S143" s="1981">
        <f t="shared" si="15"/>
        <v>0</v>
      </c>
      <c r="T143" s="2169"/>
      <c r="U143" s="2178">
        <f t="shared" si="42"/>
        <v>0</v>
      </c>
      <c r="V143" s="1854"/>
      <c r="W143" s="2003"/>
      <c r="Y143" s="2008"/>
    </row>
    <row r="144" spans="1:25" s="1866" customFormat="1" ht="26.25">
      <c r="A144" s="1889"/>
      <c r="B144" s="1908" t="s">
        <v>3339</v>
      </c>
      <c r="C144" s="2032" t="str">
        <f>'Receitas (mensais)'!D152</f>
        <v xml:space="preserve">      Viaçao- Outros rendiment</v>
      </c>
      <c r="D144" s="1911"/>
      <c r="E144" s="1984"/>
      <c r="F144" s="2072"/>
      <c r="G144" s="1984">
        <f>+'Receitas (mensais)'!E152</f>
        <v>0</v>
      </c>
      <c r="H144" s="1984">
        <f>+'Receitas (mensais)'!F152</f>
        <v>0</v>
      </c>
      <c r="I144" s="1984">
        <f>+'Receitas (mensais)'!G152</f>
        <v>0</v>
      </c>
      <c r="J144" s="1984">
        <f>+'Receitas (mensais)'!H152</f>
        <v>0</v>
      </c>
      <c r="K144" s="1984">
        <f>+'Receitas (mensais)'!I152</f>
        <v>0</v>
      </c>
      <c r="L144" s="1984">
        <f>+'Receitas (mensais)'!J152</f>
        <v>0</v>
      </c>
      <c r="M144" s="1984">
        <f>+'Receitas (mensais)'!K152</f>
        <v>0</v>
      </c>
      <c r="N144" s="1984">
        <f>+'Receitas (mensais)'!L152</f>
        <v>0</v>
      </c>
      <c r="O144" s="1984">
        <f>+'Receitas (mensais)'!M152</f>
        <v>0</v>
      </c>
      <c r="P144" s="1984">
        <f>+'Receitas (mensais)'!N152</f>
        <v>0</v>
      </c>
      <c r="Q144" s="1984">
        <f>+'Receitas (mensais)'!O152</f>
        <v>0</v>
      </c>
      <c r="R144" s="1984">
        <f>+'Receitas (mensais)'!P152</f>
        <v>0</v>
      </c>
      <c r="S144" s="1981">
        <f t="shared" si="15"/>
        <v>0</v>
      </c>
      <c r="T144" s="2169"/>
      <c r="U144" s="2178">
        <f t="shared" si="42"/>
        <v>0</v>
      </c>
      <c r="V144" s="1854"/>
      <c r="W144" s="2003"/>
      <c r="Y144" s="2008"/>
    </row>
    <row r="145" spans="1:26" s="1866" customFormat="1" ht="26.25">
      <c r="A145" s="1889"/>
      <c r="B145" s="1908" t="s">
        <v>3340</v>
      </c>
      <c r="C145" s="2032" t="s">
        <v>3466</v>
      </c>
      <c r="D145" s="1911"/>
      <c r="E145" s="1984"/>
      <c r="F145" s="2072">
        <v>71745.807000000001</v>
      </c>
      <c r="G145" s="1984">
        <f>+'Receitas (mensais)'!E153</f>
        <v>2634.386</v>
      </c>
      <c r="H145" s="1984">
        <f>+'Receitas (mensais)'!F153</f>
        <v>2021.3999999999999</v>
      </c>
      <c r="I145" s="1984">
        <f>+'Receitas (mensais)'!G153</f>
        <v>1456.35</v>
      </c>
      <c r="J145" s="1984">
        <f>+'Receitas (mensais)'!H153</f>
        <v>1814.9</v>
      </c>
      <c r="K145" s="1984">
        <f>+'Receitas (mensais)'!I153</f>
        <v>116521.368</v>
      </c>
      <c r="L145" s="1984">
        <f>+'Receitas (mensais)'!J153</f>
        <v>726.41100000000006</v>
      </c>
      <c r="M145" s="1984">
        <f>+'Receitas (mensais)'!K153</f>
        <v>409.29599999999999</v>
      </c>
      <c r="N145" s="1984">
        <f>+'Receitas (mensais)'!L153</f>
        <v>335.21499999999997</v>
      </c>
      <c r="O145" s="1984">
        <f>+'Receitas (mensais)'!M153</f>
        <v>918.20299999999997</v>
      </c>
      <c r="P145" s="1984">
        <f>+'Receitas (mensais)'!N153</f>
        <v>263.49700000000001</v>
      </c>
      <c r="Q145" s="1984">
        <f>+'Receitas (mensais)'!O153</f>
        <v>799.02700000000004</v>
      </c>
      <c r="R145" s="1984">
        <f>+'Receitas (mensais)'!P153</f>
        <v>164.03100000000001</v>
      </c>
      <c r="S145" s="1981">
        <f t="shared" si="15"/>
        <v>128064.084</v>
      </c>
      <c r="T145" s="2169"/>
      <c r="U145" s="2180">
        <f t="shared" si="42"/>
        <v>128064.084</v>
      </c>
      <c r="V145" s="1854"/>
      <c r="W145" s="2003"/>
      <c r="Y145" s="2008"/>
    </row>
    <row r="146" spans="1:26" s="2043" customFormat="1" ht="26.25">
      <c r="A146" s="2034"/>
      <c r="B146" s="2063" t="s">
        <v>3051</v>
      </c>
      <c r="C146" s="2036" t="str">
        <f>'Receitas (mensais)'!D155</f>
        <v>Multas e penalidades</v>
      </c>
      <c r="D146" s="2037"/>
      <c r="E146" s="2038"/>
      <c r="F146" s="2071">
        <f>F147+F148+F149</f>
        <v>327928.011</v>
      </c>
      <c r="G146" s="2038">
        <f>G147+G148+G149</f>
        <v>3663.337</v>
      </c>
      <c r="H146" s="2038">
        <f t="shared" ref="H146:R146" si="43">H147+H148+H149</f>
        <v>77067.451000000001</v>
      </c>
      <c r="I146" s="2038">
        <f t="shared" si="43"/>
        <v>1484</v>
      </c>
      <c r="J146" s="2038">
        <f t="shared" si="43"/>
        <v>7468.2060000000001</v>
      </c>
      <c r="K146" s="2038">
        <f t="shared" si="43"/>
        <v>192305.641</v>
      </c>
      <c r="L146" s="2038">
        <f t="shared" si="43"/>
        <v>132272.75</v>
      </c>
      <c r="M146" s="2038">
        <f t="shared" si="43"/>
        <v>8074.4699999999993</v>
      </c>
      <c r="N146" s="2038">
        <f t="shared" si="43"/>
        <v>125938.041</v>
      </c>
      <c r="O146" s="2038">
        <f t="shared" si="43"/>
        <v>2841.8780000000002</v>
      </c>
      <c r="P146" s="2038">
        <f t="shared" si="43"/>
        <v>6180.8490000000002</v>
      </c>
      <c r="Q146" s="2038">
        <f t="shared" si="43"/>
        <v>2637.1509999999998</v>
      </c>
      <c r="R146" s="2038">
        <f t="shared" si="43"/>
        <v>5720.42</v>
      </c>
      <c r="S146" s="2039">
        <f>+SUM(G146:R146)</f>
        <v>565654.19400000002</v>
      </c>
      <c r="T146" s="2168"/>
      <c r="U146" s="2178">
        <f t="shared" si="42"/>
        <v>565654.19400000002</v>
      </c>
      <c r="V146" s="2040"/>
      <c r="W146" s="2041"/>
      <c r="X146" s="2042"/>
      <c r="Z146" s="2044"/>
    </row>
    <row r="147" spans="1:26" s="1866" customFormat="1" ht="26.25">
      <c r="A147" s="1889"/>
      <c r="B147" s="1908" t="s">
        <v>3053</v>
      </c>
      <c r="C147" s="2032" t="str">
        <f>'Receitas (mensais)'!D156</f>
        <v>Apreensao de barcos</v>
      </c>
      <c r="D147" s="1911"/>
      <c r="E147" s="1984"/>
      <c r="F147" s="2072">
        <v>296872.03200000001</v>
      </c>
      <c r="G147" s="1984">
        <f>+'Receitas (mensais)'!E156</f>
        <v>0</v>
      </c>
      <c r="H147" s="1984">
        <f>'Receitas (mensais)'!F156</f>
        <v>70000</v>
      </c>
      <c r="I147" s="1984">
        <f>'Receitas (mensais)'!G156</f>
        <v>0</v>
      </c>
      <c r="J147" s="1984">
        <f>'Receitas (mensais)'!H156</f>
        <v>0</v>
      </c>
      <c r="K147" s="1984">
        <f>'Receitas (mensais)'!I156</f>
        <v>95000</v>
      </c>
      <c r="L147" s="1984">
        <f>'Receitas (mensais)'!J156</f>
        <v>125000</v>
      </c>
      <c r="M147" s="1984">
        <f>'Receitas (mensais)'!K156</f>
        <v>0</v>
      </c>
      <c r="N147" s="1984">
        <f>'Receitas (mensais)'!L156</f>
        <v>120000</v>
      </c>
      <c r="O147" s="1984">
        <f>'Receitas (mensais)'!M156</f>
        <v>0</v>
      </c>
      <c r="P147" s="1984">
        <f>'Receitas (mensais)'!N156</f>
        <v>0</v>
      </c>
      <c r="Q147" s="1984">
        <f>'Receitas (mensais)'!O156</f>
        <v>0</v>
      </c>
      <c r="R147" s="1984">
        <f>'Receitas (mensais)'!P156</f>
        <v>0</v>
      </c>
      <c r="S147" s="1980">
        <f t="shared" ref="S147:S210" si="44">+SUM(G147:R147)</f>
        <v>410000</v>
      </c>
      <c r="T147" s="2169"/>
      <c r="U147" s="2178">
        <f t="shared" si="42"/>
        <v>410000</v>
      </c>
      <c r="V147" s="1854"/>
      <c r="W147" s="2003"/>
      <c r="Y147" s="2008"/>
    </row>
    <row r="148" spans="1:26" s="1866" customFormat="1" ht="26.25">
      <c r="A148" s="1889"/>
      <c r="B148" s="1908" t="s">
        <v>3054</v>
      </c>
      <c r="C148" s="2032" t="str">
        <f>'Receitas (mensais)'!D157</f>
        <v>Infraccoes ao cod/estr. e demais leg.</v>
      </c>
      <c r="D148" s="1911"/>
      <c r="E148" s="1984"/>
      <c r="F148" s="2072"/>
      <c r="G148" s="1984">
        <f>+'Receitas (mensais)'!E157</f>
        <v>0</v>
      </c>
      <c r="H148" s="1984">
        <f>'Receitas (mensais)'!F157</f>
        <v>0</v>
      </c>
      <c r="I148" s="1984">
        <f>'Receitas (mensais)'!G157</f>
        <v>0</v>
      </c>
      <c r="J148" s="1984">
        <f>'Receitas (mensais)'!H157</f>
        <v>0</v>
      </c>
      <c r="K148" s="1984">
        <f>'Receitas (mensais)'!I157</f>
        <v>0</v>
      </c>
      <c r="L148" s="1984">
        <f>'Receitas (mensais)'!J157</f>
        <v>0</v>
      </c>
      <c r="M148" s="1984">
        <f>'Receitas (mensais)'!K157</f>
        <v>726</v>
      </c>
      <c r="N148" s="1984">
        <f>'Receitas (mensais)'!L157</f>
        <v>0</v>
      </c>
      <c r="O148" s="1984">
        <f>'Receitas (mensais)'!M157</f>
        <v>0</v>
      </c>
      <c r="P148" s="1984">
        <f>'Receitas (mensais)'!N157</f>
        <v>0</v>
      </c>
      <c r="Q148" s="1984">
        <f>'Receitas (mensais)'!O157</f>
        <v>0</v>
      </c>
      <c r="R148" s="1984">
        <f>'Receitas (mensais)'!P157</f>
        <v>0</v>
      </c>
      <c r="S148" s="1980">
        <f t="shared" si="44"/>
        <v>726</v>
      </c>
      <c r="T148" s="2169"/>
      <c r="U148" s="2180">
        <f>S148-T148</f>
        <v>726</v>
      </c>
      <c r="V148" s="1854"/>
      <c r="W148" s="2003"/>
      <c r="Y148" s="2008"/>
    </row>
    <row r="149" spans="1:26" s="1866" customFormat="1" ht="26.25">
      <c r="A149" s="1889"/>
      <c r="B149" s="1908" t="s">
        <v>3159</v>
      </c>
      <c r="C149" s="2032" t="str">
        <f>'Receitas (mensais)'!D158</f>
        <v>Multas e penalidades diversas</v>
      </c>
      <c r="D149" s="1911"/>
      <c r="E149" s="1984"/>
      <c r="F149" s="2072">
        <f>SUM(F150:F153)</f>
        <v>31055.978999999999</v>
      </c>
      <c r="G149" s="1984">
        <f>SUM(G150:G153)</f>
        <v>3663.337</v>
      </c>
      <c r="H149" s="1984">
        <f t="shared" ref="H149:R149" si="45">SUM(H150:H153)</f>
        <v>7067.4510000000009</v>
      </c>
      <c r="I149" s="1984">
        <f t="shared" si="45"/>
        <v>1484</v>
      </c>
      <c r="J149" s="1984">
        <f t="shared" si="45"/>
        <v>7468.2060000000001</v>
      </c>
      <c r="K149" s="1984">
        <f t="shared" si="45"/>
        <v>97305.641000000003</v>
      </c>
      <c r="L149" s="1984">
        <f t="shared" si="45"/>
        <v>7272.75</v>
      </c>
      <c r="M149" s="1984">
        <f t="shared" si="45"/>
        <v>7348.4699999999993</v>
      </c>
      <c r="N149" s="1984">
        <f t="shared" si="45"/>
        <v>5938.0410000000002</v>
      </c>
      <c r="O149" s="1984">
        <f t="shared" si="45"/>
        <v>2841.8780000000002</v>
      </c>
      <c r="P149" s="1984">
        <f t="shared" si="45"/>
        <v>6180.8490000000002</v>
      </c>
      <c r="Q149" s="1984">
        <f t="shared" si="45"/>
        <v>2637.1509999999998</v>
      </c>
      <c r="R149" s="1984">
        <f t="shared" si="45"/>
        <v>5720.42</v>
      </c>
      <c r="S149" s="1980">
        <f t="shared" si="44"/>
        <v>154928.19400000002</v>
      </c>
      <c r="T149" s="2169"/>
      <c r="U149" s="2180">
        <f t="shared" si="42"/>
        <v>154928.19400000002</v>
      </c>
      <c r="V149" s="1854"/>
      <c r="W149" s="2003"/>
      <c r="Y149" s="2008"/>
    </row>
    <row r="150" spans="1:26" s="1866" customFormat="1" ht="26.25">
      <c r="A150" s="1889"/>
      <c r="B150" s="1908" t="s">
        <v>3161</v>
      </c>
      <c r="C150" s="2032" t="str">
        <f>'Receitas (mensais)'!D159</f>
        <v xml:space="preserve">        Juros de mora</v>
      </c>
      <c r="D150" s="1911"/>
      <c r="E150" s="1984"/>
      <c r="F150" s="2072"/>
      <c r="G150" s="1984">
        <f>+'Receitas (mensais)'!E159</f>
        <v>0</v>
      </c>
      <c r="H150" s="1984">
        <f>+'Receitas (mensais)'!F159</f>
        <v>0</v>
      </c>
      <c r="I150" s="1984">
        <f>+'Receitas (mensais)'!G159</f>
        <v>1484</v>
      </c>
      <c r="J150" s="1984">
        <f>+'Receitas (mensais)'!H159</f>
        <v>705</v>
      </c>
      <c r="K150" s="1984">
        <f>+'Receitas (mensais)'!I159</f>
        <v>0</v>
      </c>
      <c r="L150" s="1984">
        <f>+'Receitas (mensais)'!J159</f>
        <v>0</v>
      </c>
      <c r="M150" s="1984">
        <f>+'Receitas (mensais)'!K159</f>
        <v>0</v>
      </c>
      <c r="N150" s="1984">
        <f>+'Receitas (mensais)'!L159</f>
        <v>0</v>
      </c>
      <c r="O150" s="1984">
        <f>+'Receitas (mensais)'!M159</f>
        <v>0</v>
      </c>
      <c r="P150" s="1984">
        <f>+'Receitas (mensais)'!N159</f>
        <v>0</v>
      </c>
      <c r="Q150" s="1984">
        <f>+'Receitas (mensais)'!O159</f>
        <v>197.46299999999999</v>
      </c>
      <c r="R150" s="1984">
        <f>+'Receitas (mensais)'!P159</f>
        <v>42.225000000000001</v>
      </c>
      <c r="S150" s="1980">
        <f t="shared" si="44"/>
        <v>2428.6880000000001</v>
      </c>
      <c r="T150" s="2169"/>
      <c r="U150" s="2178">
        <f t="shared" si="42"/>
        <v>2428.6880000000001</v>
      </c>
      <c r="V150" s="1854"/>
      <c r="W150" s="2003"/>
      <c r="Y150" s="2008"/>
    </row>
    <row r="151" spans="1:26" s="1866" customFormat="1" ht="26.25">
      <c r="A151" s="1889"/>
      <c r="B151" s="1908" t="s">
        <v>3162</v>
      </c>
      <c r="C151" s="2032" t="str">
        <f>'Receitas (mensais)'!D160</f>
        <v xml:space="preserve">        Taxa de relaxe</v>
      </c>
      <c r="D151" s="1911"/>
      <c r="E151" s="1984"/>
      <c r="F151" s="2072"/>
      <c r="G151" s="1984">
        <f>+'Receitas (mensais)'!E160</f>
        <v>0</v>
      </c>
      <c r="H151" s="1984">
        <f>+'Receitas (mensais)'!F160</f>
        <v>0</v>
      </c>
      <c r="I151" s="1984">
        <f>+'Receitas (mensais)'!G160</f>
        <v>0</v>
      </c>
      <c r="J151" s="1984">
        <f>+'Receitas (mensais)'!H160</f>
        <v>0</v>
      </c>
      <c r="K151" s="1984">
        <f>+'Receitas (mensais)'!I160</f>
        <v>0</v>
      </c>
      <c r="L151" s="1984">
        <f>+'Receitas (mensais)'!J160</f>
        <v>0</v>
      </c>
      <c r="M151" s="1984">
        <f>+'Receitas (mensais)'!K160</f>
        <v>0</v>
      </c>
      <c r="N151" s="1984">
        <f>+'Receitas (mensais)'!L160</f>
        <v>0</v>
      </c>
      <c r="O151" s="1984">
        <f>+'Receitas (mensais)'!M160</f>
        <v>0</v>
      </c>
      <c r="P151" s="1984">
        <f>+'Receitas (mensais)'!N160</f>
        <v>641.303</v>
      </c>
      <c r="Q151" s="1984">
        <f>+'Receitas (mensais)'!O160</f>
        <v>98.837999999999994</v>
      </c>
      <c r="R151" s="1984">
        <f>+'Receitas (mensais)'!P160</f>
        <v>1114.518</v>
      </c>
      <c r="S151" s="1980">
        <f t="shared" si="44"/>
        <v>1854.6590000000001</v>
      </c>
      <c r="T151" s="2169"/>
      <c r="U151" s="2180">
        <f t="shared" si="42"/>
        <v>1854.6590000000001</v>
      </c>
      <c r="V151" s="1874"/>
      <c r="W151" s="2003"/>
      <c r="Y151" s="2008"/>
    </row>
    <row r="152" spans="1:26" s="1866" customFormat="1" ht="26.25">
      <c r="A152" s="1889"/>
      <c r="B152" s="1908" t="s">
        <v>3245</v>
      </c>
      <c r="C152" s="2032" t="str">
        <f>'Receitas (mensais)'!D161</f>
        <v xml:space="preserve">        Infrac Codigo Contr Impost</v>
      </c>
      <c r="D152" s="1911"/>
      <c r="E152" s="1984"/>
      <c r="F152" s="2072"/>
      <c r="G152" s="1984">
        <f>+'Receitas (mensais)'!E161</f>
        <v>0</v>
      </c>
      <c r="H152" s="1984">
        <f>+'Receitas (mensais)'!F161</f>
        <v>0</v>
      </c>
      <c r="I152" s="1984">
        <f>+'Receitas (mensais)'!G161</f>
        <v>0</v>
      </c>
      <c r="J152" s="1984">
        <f>+'Receitas (mensais)'!H161</f>
        <v>0</v>
      </c>
      <c r="K152" s="1984">
        <f>+'Receitas (mensais)'!I161</f>
        <v>0</v>
      </c>
      <c r="L152" s="1984">
        <f>+'Receitas (mensais)'!J161</f>
        <v>0</v>
      </c>
      <c r="M152" s="1984">
        <f>+'Receitas (mensais)'!K161</f>
        <v>0</v>
      </c>
      <c r="N152" s="1984">
        <f>+'Receitas (mensais)'!L161</f>
        <v>0</v>
      </c>
      <c r="O152" s="1984">
        <f>+'Receitas (mensais)'!M161</f>
        <v>0</v>
      </c>
      <c r="P152" s="1984">
        <f>+'Receitas (mensais)'!N161</f>
        <v>0</v>
      </c>
      <c r="Q152" s="1984">
        <f>+'Receitas (mensais)'!O161</f>
        <v>0</v>
      </c>
      <c r="R152" s="1984">
        <f>+'Receitas (mensais)'!P161</f>
        <v>0</v>
      </c>
      <c r="S152" s="1980">
        <f t="shared" si="44"/>
        <v>0</v>
      </c>
      <c r="T152" s="2169"/>
      <c r="U152" s="2178">
        <f t="shared" si="42"/>
        <v>0</v>
      </c>
      <c r="V152" s="1854"/>
      <c r="W152" s="2003"/>
      <c r="Y152" s="2008"/>
    </row>
    <row r="153" spans="1:26" s="1866" customFormat="1" ht="26.25">
      <c r="A153" s="1889"/>
      <c r="B153" s="1908" t="s">
        <v>3246</v>
      </c>
      <c r="C153" s="2032" t="str">
        <f>'Receitas (mensais)'!D162</f>
        <v xml:space="preserve">        Outras multas</v>
      </c>
      <c r="D153" s="1911"/>
      <c r="E153" s="1984"/>
      <c r="F153" s="2072">
        <v>31055.978999999999</v>
      </c>
      <c r="G153" s="1984">
        <f>+'Receitas (mensais)'!E162</f>
        <v>3663.337</v>
      </c>
      <c r="H153" s="1984">
        <f>+'Receitas (mensais)'!F162</f>
        <v>7067.4510000000009</v>
      </c>
      <c r="I153" s="1984">
        <f>+'Receitas (mensais)'!G162</f>
        <v>0</v>
      </c>
      <c r="J153" s="1984">
        <f>+'Receitas (mensais)'!H162</f>
        <v>6763.2060000000001</v>
      </c>
      <c r="K153" s="1984">
        <f>+'Receitas (mensais)'!I162</f>
        <v>97305.641000000003</v>
      </c>
      <c r="L153" s="1984">
        <f>+'Receitas (mensais)'!J162</f>
        <v>7272.75</v>
      </c>
      <c r="M153" s="1984">
        <f>+'Receitas (mensais)'!K162</f>
        <v>7348.4699999999993</v>
      </c>
      <c r="N153" s="1984">
        <f>+'Receitas (mensais)'!L162</f>
        <v>5938.0410000000002</v>
      </c>
      <c r="O153" s="1984">
        <f>+'Receitas (mensais)'!M162</f>
        <v>2841.8780000000002</v>
      </c>
      <c r="P153" s="1984">
        <f>+'Receitas (mensais)'!N162</f>
        <v>5539.5460000000003</v>
      </c>
      <c r="Q153" s="1984">
        <f>+'Receitas (mensais)'!O162</f>
        <v>2340.85</v>
      </c>
      <c r="R153" s="1984">
        <f>+'Receitas (mensais)'!P162</f>
        <v>4563.6769999999997</v>
      </c>
      <c r="S153" s="1980">
        <f t="shared" si="44"/>
        <v>150644.84700000001</v>
      </c>
      <c r="T153" s="2169"/>
      <c r="U153" s="2181"/>
      <c r="V153" s="1854"/>
      <c r="W153" s="2003"/>
      <c r="Y153" s="2008"/>
    </row>
    <row r="154" spans="1:26" s="2056" customFormat="1" ht="26.25">
      <c r="A154" s="2047"/>
      <c r="B154" s="2048" t="s">
        <v>414</v>
      </c>
      <c r="C154" s="2049" t="s">
        <v>3341</v>
      </c>
      <c r="D154" s="2050"/>
      <c r="E154" s="2051">
        <f>+[28]Tofe!$Q$18</f>
        <v>1918903.7240000002</v>
      </c>
      <c r="F154" s="2070">
        <f>+F155+F157+F171+F172+F173+F174+F175</f>
        <v>11905369.969999999</v>
      </c>
      <c r="G154" s="2052">
        <f>+G155+G157+G171+G172+G173+G174+G175</f>
        <v>133849.89499999999</v>
      </c>
      <c r="H154" s="2052">
        <f t="shared" ref="H154:R154" si="46">+H155+H157+H171+H172+H173+H174+H175</f>
        <v>270965.929</v>
      </c>
      <c r="I154" s="2052">
        <f t="shared" si="46"/>
        <v>120221.42700000001</v>
      </c>
      <c r="J154" s="2052">
        <f t="shared" si="46"/>
        <v>140832.15099999998</v>
      </c>
      <c r="K154" s="2052">
        <f t="shared" si="46"/>
        <v>115878.861</v>
      </c>
      <c r="L154" s="2052">
        <f t="shared" si="46"/>
        <v>166755.94799999997</v>
      </c>
      <c r="M154" s="2052">
        <f t="shared" si="46"/>
        <v>221472.44200000001</v>
      </c>
      <c r="N154" s="2052">
        <f t="shared" si="46"/>
        <v>142206.76500000001</v>
      </c>
      <c r="O154" s="2052">
        <f t="shared" si="46"/>
        <v>133562.93599999999</v>
      </c>
      <c r="P154" s="2052">
        <f t="shared" si="46"/>
        <v>7772202.0779999997</v>
      </c>
      <c r="Q154" s="2052">
        <f t="shared" si="46"/>
        <v>1442256.4110000001</v>
      </c>
      <c r="R154" s="2052">
        <f t="shared" si="46"/>
        <v>161256.266</v>
      </c>
      <c r="S154" s="2051">
        <f>+SUM(G154:R154)</f>
        <v>10821461.109000001</v>
      </c>
      <c r="T154" s="2167"/>
      <c r="U154" s="2178">
        <f t="shared" si="42"/>
        <v>10821461.109000001</v>
      </c>
      <c r="V154" s="2053"/>
      <c r="W154" s="2054"/>
      <c r="X154" s="2055"/>
      <c r="Y154" s="2056">
        <f t="shared" si="30"/>
        <v>10821.461109000002</v>
      </c>
      <c r="Z154" s="2057"/>
    </row>
    <row r="155" spans="1:26" s="2043" customFormat="1" ht="26.25">
      <c r="A155" s="2034"/>
      <c r="B155" s="2063" t="s">
        <v>3164</v>
      </c>
      <c r="C155" s="2036" t="str">
        <f>'Receitas (mensais)'!D202</f>
        <v>Soc. e quais-soc. nao financeiras</v>
      </c>
      <c r="D155" s="2037"/>
      <c r="E155" s="2038"/>
      <c r="F155" s="2071">
        <f>F156</f>
        <v>0</v>
      </c>
      <c r="G155" s="2038">
        <f>G156</f>
        <v>0</v>
      </c>
      <c r="H155" s="2038">
        <f t="shared" ref="H155:R155" si="47">H156</f>
        <v>0</v>
      </c>
      <c r="I155" s="2038">
        <f t="shared" si="47"/>
        <v>0</v>
      </c>
      <c r="J155" s="2038">
        <f t="shared" si="47"/>
        <v>0</v>
      </c>
      <c r="K155" s="2038">
        <f t="shared" si="47"/>
        <v>0</v>
      </c>
      <c r="L155" s="2038">
        <f t="shared" si="47"/>
        <v>0</v>
      </c>
      <c r="M155" s="2038">
        <f t="shared" si="47"/>
        <v>0</v>
      </c>
      <c r="N155" s="2038">
        <f t="shared" si="47"/>
        <v>0</v>
      </c>
      <c r="O155" s="2038">
        <f t="shared" si="47"/>
        <v>0</v>
      </c>
      <c r="P155" s="2038">
        <f t="shared" si="47"/>
        <v>0</v>
      </c>
      <c r="Q155" s="2038">
        <f t="shared" si="47"/>
        <v>0</v>
      </c>
      <c r="R155" s="2038">
        <f t="shared" si="47"/>
        <v>0</v>
      </c>
      <c r="S155" s="2038">
        <f t="shared" si="44"/>
        <v>0</v>
      </c>
      <c r="T155" s="2168"/>
      <c r="U155" s="2178">
        <f t="shared" si="42"/>
        <v>0</v>
      </c>
      <c r="V155" s="2053"/>
      <c r="W155" s="2041"/>
      <c r="X155" s="2042"/>
      <c r="Z155" s="2044"/>
    </row>
    <row r="156" spans="1:26" s="1866" customFormat="1" ht="26.25">
      <c r="A156" s="1889"/>
      <c r="B156" s="1908" t="s">
        <v>3171</v>
      </c>
      <c r="C156" s="2032" t="str">
        <f>'Receitas (mensais)'!D203</f>
        <v>Empresas publicas, mistas ou equip</v>
      </c>
      <c r="D156" s="1911"/>
      <c r="E156" s="1984"/>
      <c r="F156" s="2072"/>
      <c r="G156" s="1984">
        <f>+'Receitas (mensais)'!E203</f>
        <v>0</v>
      </c>
      <c r="H156" s="1984">
        <f>+'Receitas (mensais)'!F203</f>
        <v>0</v>
      </c>
      <c r="I156" s="1984">
        <f>+'Receitas (mensais)'!G203</f>
        <v>0</v>
      </c>
      <c r="J156" s="1984">
        <f>+'Receitas (mensais)'!H203</f>
        <v>0</v>
      </c>
      <c r="K156" s="1984">
        <f>+'Receitas (mensais)'!I203</f>
        <v>0</v>
      </c>
      <c r="L156" s="1984">
        <f>+'Receitas (mensais)'!J203</f>
        <v>0</v>
      </c>
      <c r="M156" s="1984">
        <f>+'Receitas (mensais)'!K203</f>
        <v>0</v>
      </c>
      <c r="N156" s="1984">
        <f>+'Receitas (mensais)'!L203</f>
        <v>0</v>
      </c>
      <c r="O156" s="1984">
        <f>+'Receitas (mensais)'!M203</f>
        <v>0</v>
      </c>
      <c r="P156" s="1984">
        <f>+'Receitas (mensais)'!N203</f>
        <v>0</v>
      </c>
      <c r="Q156" s="1984">
        <f>+'Receitas (mensais)'!O203</f>
        <v>0</v>
      </c>
      <c r="R156" s="1984">
        <f>+'Receitas (mensais)'!P203</f>
        <v>0</v>
      </c>
      <c r="S156" s="1980">
        <f t="shared" si="44"/>
        <v>0</v>
      </c>
      <c r="T156" s="2169"/>
      <c r="U156" s="2178">
        <f t="shared" si="42"/>
        <v>0</v>
      </c>
      <c r="V156" s="1854"/>
      <c r="W156" s="2003"/>
      <c r="Y156" s="2008"/>
    </row>
    <row r="157" spans="1:26" s="2043" customFormat="1" ht="26.25">
      <c r="A157" s="2034"/>
      <c r="B157" s="2063" t="s">
        <v>3170</v>
      </c>
      <c r="C157" s="2036" t="str">
        <f>'Receitas (mensais)'!D205</f>
        <v>Administraçoes publicas</v>
      </c>
      <c r="D157" s="2037"/>
      <c r="E157" s="2038"/>
      <c r="F157" s="2071">
        <f>F158+F162+F163+F164</f>
        <v>1672440.77</v>
      </c>
      <c r="G157" s="2038">
        <f>G158+G162+G163+G164</f>
        <v>133849.89499999999</v>
      </c>
      <c r="H157" s="2038">
        <f t="shared" ref="H157:R157" si="48">H158+H162+H163+H164</f>
        <v>270965.929</v>
      </c>
      <c r="I157" s="2038">
        <f t="shared" si="48"/>
        <v>120221.42700000001</v>
      </c>
      <c r="J157" s="2038">
        <f t="shared" si="48"/>
        <v>140832.15099999998</v>
      </c>
      <c r="K157" s="2038">
        <f t="shared" si="48"/>
        <v>115878.861</v>
      </c>
      <c r="L157" s="2038">
        <f t="shared" si="48"/>
        <v>166755.94799999997</v>
      </c>
      <c r="M157" s="2038">
        <f t="shared" si="48"/>
        <v>221472.44200000001</v>
      </c>
      <c r="N157" s="2038">
        <f t="shared" si="48"/>
        <v>142206.76500000001</v>
      </c>
      <c r="O157" s="2038">
        <f t="shared" si="48"/>
        <v>133562.93599999999</v>
      </c>
      <c r="P157" s="2038">
        <f t="shared" si="48"/>
        <v>163100.878</v>
      </c>
      <c r="Q157" s="2038">
        <f t="shared" si="48"/>
        <v>130342.41100000001</v>
      </c>
      <c r="R157" s="2038">
        <f t="shared" si="48"/>
        <v>161256.266</v>
      </c>
      <c r="S157" s="2038">
        <f t="shared" si="44"/>
        <v>1900445.9090000002</v>
      </c>
      <c r="T157" s="2168"/>
      <c r="U157" s="2178">
        <f t="shared" si="42"/>
        <v>1900445.9090000002</v>
      </c>
      <c r="V157" s="2053"/>
      <c r="W157" s="2041"/>
      <c r="X157" s="2042"/>
      <c r="Z157" s="2044"/>
    </row>
    <row r="158" spans="1:26" s="1866" customFormat="1" ht="26.25">
      <c r="A158" s="1889"/>
      <c r="B158" s="1908" t="s">
        <v>3249</v>
      </c>
      <c r="C158" s="2032" t="str">
        <f>'Receitas (mensais)'!D206</f>
        <v>Fundos autonomos</v>
      </c>
      <c r="D158" s="1911"/>
      <c r="E158" s="1984"/>
      <c r="F158" s="2072">
        <f>+SUM(F159:F161)</f>
        <v>300420.38099999999</v>
      </c>
      <c r="G158" s="1984">
        <f>+SUM(G159:G161)</f>
        <v>18706.599999999999</v>
      </c>
      <c r="H158" s="1984">
        <f t="shared" ref="H158:R158" si="49">+SUM(H159:H161)</f>
        <v>113931.261</v>
      </c>
      <c r="I158" s="1984">
        <f t="shared" si="49"/>
        <v>7559.65</v>
      </c>
      <c r="J158" s="1984">
        <f t="shared" si="49"/>
        <v>5399.4000000000005</v>
      </c>
      <c r="K158" s="1984">
        <f t="shared" si="49"/>
        <v>2504.973</v>
      </c>
      <c r="L158" s="1984">
        <f t="shared" si="49"/>
        <v>1482.0900000000001</v>
      </c>
      <c r="M158" s="1984">
        <f t="shared" si="49"/>
        <v>100810.5</v>
      </c>
      <c r="N158" s="1984">
        <f t="shared" si="49"/>
        <v>762.66499999999996</v>
      </c>
      <c r="O158" s="1984">
        <f t="shared" si="49"/>
        <v>2994.9520000000002</v>
      </c>
      <c r="P158" s="1984">
        <f t="shared" si="49"/>
        <v>4643.5470000000005</v>
      </c>
      <c r="Q158" s="1984">
        <f t="shared" si="49"/>
        <v>1329.2179999999998</v>
      </c>
      <c r="R158" s="1984">
        <f t="shared" si="49"/>
        <v>4428.3999999999996</v>
      </c>
      <c r="S158" s="1980">
        <f t="shared" si="44"/>
        <v>264553.25599999999</v>
      </c>
      <c r="T158" s="2169"/>
      <c r="U158" s="2178">
        <f t="shared" si="42"/>
        <v>264553.25599999999</v>
      </c>
      <c r="V158" s="1854"/>
      <c r="W158" s="2003"/>
      <c r="Y158" s="2008"/>
    </row>
    <row r="159" spans="1:26" s="1866" customFormat="1" ht="26.25">
      <c r="A159" s="1889"/>
      <c r="B159" s="1908" t="s">
        <v>3251</v>
      </c>
      <c r="C159" s="2032" t="str">
        <f>'Receitas (mensais)'!D207</f>
        <v>-           Fundo  de Turismo</v>
      </c>
      <c r="D159" s="1911"/>
      <c r="E159" s="1984"/>
      <c r="F159" s="2072">
        <v>19023.650000000001</v>
      </c>
      <c r="G159" s="1984">
        <f>+'Receitas (mensais)'!E207</f>
        <v>530</v>
      </c>
      <c r="H159" s="1984">
        <f>+'Receitas (mensais)'!F207</f>
        <v>271.815</v>
      </c>
      <c r="I159" s="1984">
        <f>+'Receitas (mensais)'!G207</f>
        <v>205.5</v>
      </c>
      <c r="J159" s="1984">
        <f>+'Receitas (mensais)'!H207</f>
        <v>650</v>
      </c>
      <c r="K159" s="1984">
        <f>+'Receitas (mensais)'!I207</f>
        <v>150</v>
      </c>
      <c r="L159" s="1984">
        <f>+'Receitas (mensais)'!J207</f>
        <v>135</v>
      </c>
      <c r="M159" s="2194">
        <f>+'Receitas (mensais)'!K207</f>
        <v>209</v>
      </c>
      <c r="N159" s="2194">
        <f>+'Receitas (mensais)'!L207</f>
        <v>19.625</v>
      </c>
      <c r="O159" s="1984">
        <f>+'Receitas (mensais)'!M207</f>
        <v>1287.75</v>
      </c>
      <c r="P159" s="1984">
        <f>+'Receitas (mensais)'!N207</f>
        <v>3766.75</v>
      </c>
      <c r="Q159" s="1984">
        <f>+'Receitas (mensais)'!O207</f>
        <v>0</v>
      </c>
      <c r="R159" s="1984">
        <f>+'Receitas (mensais)'!P207</f>
        <v>0</v>
      </c>
      <c r="S159" s="1980">
        <f t="shared" si="44"/>
        <v>7225.4400000000005</v>
      </c>
      <c r="T159" s="2169"/>
      <c r="U159" s="2180">
        <f t="shared" si="42"/>
        <v>7225.4400000000005</v>
      </c>
      <c r="V159" s="1854"/>
      <c r="W159" s="2003"/>
      <c r="Y159" s="2008"/>
    </row>
    <row r="160" spans="1:26" s="1866" customFormat="1" ht="26.25">
      <c r="A160" s="1889"/>
      <c r="B160" s="1908" t="s">
        <v>3252</v>
      </c>
      <c r="C160" s="2032" t="str">
        <f>'Receitas (mensais)'!D208</f>
        <v>-           Fundo florestal</v>
      </c>
      <c r="D160" s="1911"/>
      <c r="E160" s="1984"/>
      <c r="F160" s="2072">
        <v>147125.58600000001</v>
      </c>
      <c r="G160" s="1984">
        <f>+'Receitas (mensais)'!E208</f>
        <v>18176.599999999999</v>
      </c>
      <c r="H160" s="1984">
        <f>+'Receitas (mensais)'!F208</f>
        <v>113659.446</v>
      </c>
      <c r="I160" s="1984">
        <f>+'Receitas (mensais)'!G208</f>
        <v>7354.15</v>
      </c>
      <c r="J160" s="1984">
        <f>+'Receitas (mensais)'!H208</f>
        <v>4749.4000000000005</v>
      </c>
      <c r="K160" s="1984">
        <f>+'Receitas (mensais)'!I208</f>
        <v>2354.973</v>
      </c>
      <c r="L160" s="1984">
        <f>+'Receitas (mensais)'!J208</f>
        <v>1347.0900000000001</v>
      </c>
      <c r="M160" s="1984">
        <f>+'Receitas (mensais)'!K208</f>
        <v>100601.5</v>
      </c>
      <c r="N160" s="1984">
        <f>+'Receitas (mensais)'!L208</f>
        <v>743.04</v>
      </c>
      <c r="O160" s="1984">
        <f>+'Receitas (mensais)'!M208</f>
        <v>1707.202</v>
      </c>
      <c r="P160" s="1984">
        <f>+'Receitas (mensais)'!N208</f>
        <v>876.79700000000003</v>
      </c>
      <c r="Q160" s="1984">
        <f>+'Receitas (mensais)'!O208</f>
        <v>1329.2179999999998</v>
      </c>
      <c r="R160" s="1984">
        <f>+'Receitas (mensais)'!P208</f>
        <v>4428.3999999999996</v>
      </c>
      <c r="S160" s="1980">
        <f t="shared" si="44"/>
        <v>257327.81599999996</v>
      </c>
      <c r="T160" s="2169"/>
      <c r="U160" s="2178">
        <f t="shared" si="42"/>
        <v>257327.81599999996</v>
      </c>
      <c r="V160" s="1854"/>
      <c r="W160" s="2003"/>
      <c r="Y160" s="2008"/>
    </row>
    <row r="161" spans="1:26" s="1866" customFormat="1" ht="26.25">
      <c r="A161" s="1889"/>
      <c r="B161" s="1908" t="s">
        <v>3342</v>
      </c>
      <c r="C161" s="2032" t="str">
        <f>'Receitas (mensais)'!D209</f>
        <v>-         Fundo Rodoviario</v>
      </c>
      <c r="D161" s="1911"/>
      <c r="E161" s="1984"/>
      <c r="F161" s="2072">
        <v>134271.14499999999</v>
      </c>
      <c r="G161" s="1984">
        <f>+'Receitas (mensais)'!E209</f>
        <v>0</v>
      </c>
      <c r="H161" s="1984">
        <f>+'Receitas (mensais)'!F209</f>
        <v>0</v>
      </c>
      <c r="I161" s="1984">
        <f>+'Receitas (mensais)'!G209</f>
        <v>0</v>
      </c>
      <c r="J161" s="1984">
        <f>+'Receitas (mensais)'!H209</f>
        <v>0</v>
      </c>
      <c r="K161" s="1984">
        <f>+'Receitas (mensais)'!I209</f>
        <v>0</v>
      </c>
      <c r="L161" s="1984">
        <f>+'Receitas (mensais)'!J209</f>
        <v>0</v>
      </c>
      <c r="M161" s="1984">
        <f>+'Receitas (mensais)'!K209</f>
        <v>0</v>
      </c>
      <c r="N161" s="1984">
        <f>+'Receitas (mensais)'!L209</f>
        <v>0</v>
      </c>
      <c r="O161" s="1984">
        <f>+'Receitas (mensais)'!M209</f>
        <v>0</v>
      </c>
      <c r="P161" s="1984">
        <f>+'Receitas (mensais)'!N209</f>
        <v>0</v>
      </c>
      <c r="Q161" s="1984">
        <f>+'Receitas (mensais)'!O209</f>
        <v>0</v>
      </c>
      <c r="R161" s="1984">
        <f>+'Receitas (mensais)'!P209</f>
        <v>0</v>
      </c>
      <c r="S161" s="1980">
        <f t="shared" si="44"/>
        <v>0</v>
      </c>
      <c r="T161" s="2169"/>
      <c r="U161" s="2178">
        <f t="shared" si="42"/>
        <v>0</v>
      </c>
      <c r="V161" s="1854"/>
      <c r="W161" s="2003"/>
      <c r="Y161" s="2008"/>
    </row>
    <row r="162" spans="1:26" s="1866" customFormat="1" ht="26.25">
      <c r="A162" s="1889"/>
      <c r="B162" s="1908" t="s">
        <v>3250</v>
      </c>
      <c r="C162" s="2032" t="str">
        <f>'Receitas (mensais)'!D210</f>
        <v>Serviços autonomos</v>
      </c>
      <c r="D162" s="1911"/>
      <c r="E162" s="1984"/>
      <c r="F162" s="2072">
        <v>137321.266</v>
      </c>
      <c r="G162" s="1984">
        <f>+'Receitas (mensais)'!E210</f>
        <v>922.98700000000008</v>
      </c>
      <c r="H162" s="1984">
        <f>+'Receitas (mensais)'!F210</f>
        <v>1563.201</v>
      </c>
      <c r="I162" s="1984">
        <f>+'Receitas (mensais)'!G210</f>
        <v>274.2</v>
      </c>
      <c r="J162" s="1984">
        <f>+'Receitas (mensais)'!H210</f>
        <v>735.72499999999991</v>
      </c>
      <c r="K162" s="1984">
        <f>+'Receitas (mensais)'!I210</f>
        <v>0</v>
      </c>
      <c r="L162" s="1984">
        <f>+'Receitas (mensais)'!J210</f>
        <v>0</v>
      </c>
      <c r="M162" s="2194">
        <f>+'Receitas (mensais)'!K210</f>
        <v>54</v>
      </c>
      <c r="N162" s="2194">
        <f>+'Receitas (mensais)'!L210</f>
        <v>0</v>
      </c>
      <c r="O162" s="1984">
        <f>+'Receitas (mensais)'!M210</f>
        <v>0</v>
      </c>
      <c r="P162" s="1984">
        <f>+'Receitas (mensais)'!N210</f>
        <v>120.401</v>
      </c>
      <c r="Q162" s="1984">
        <f>+'Receitas (mensais)'!O210</f>
        <v>3165.2400000000002</v>
      </c>
      <c r="R162" s="1984">
        <f>+'Receitas (mensais)'!P210</f>
        <v>615.39499999999998</v>
      </c>
      <c r="S162" s="1980">
        <f t="shared" si="44"/>
        <v>7451.1489999999994</v>
      </c>
      <c r="T162" s="2169"/>
      <c r="U162" s="2180">
        <f t="shared" si="42"/>
        <v>7451.1489999999994</v>
      </c>
      <c r="V162" s="1854"/>
      <c r="W162" s="2003"/>
      <c r="Y162" s="2008"/>
    </row>
    <row r="163" spans="1:26" s="1866" customFormat="1" ht="26.25">
      <c r="A163" s="1889"/>
      <c r="B163" s="1908" t="s">
        <v>3343</v>
      </c>
      <c r="C163" s="2032" t="str">
        <f>'Receitas (mensais)'!D211</f>
        <v>Administraçao local</v>
      </c>
      <c r="D163" s="1911"/>
      <c r="E163" s="1984"/>
      <c r="F163" s="2072"/>
      <c r="G163" s="1984">
        <f>+'Receitas (mensais)'!E211</f>
        <v>0</v>
      </c>
      <c r="H163" s="1984">
        <f>+'Receitas (mensais)'!F211</f>
        <v>0</v>
      </c>
      <c r="I163" s="1984">
        <f>+'Receitas (mensais)'!G211</f>
        <v>0</v>
      </c>
      <c r="J163" s="1984">
        <f>+'Receitas (mensais)'!H211</f>
        <v>0</v>
      </c>
      <c r="K163" s="1984">
        <f>+'Receitas (mensais)'!I211</f>
        <v>0</v>
      </c>
      <c r="L163" s="1984">
        <f>+'Receitas (mensais)'!J211</f>
        <v>0</v>
      </c>
      <c r="M163" s="1984">
        <f>+'Receitas (mensais)'!K211</f>
        <v>0</v>
      </c>
      <c r="N163" s="1984">
        <f>+'Receitas (mensais)'!L211</f>
        <v>0</v>
      </c>
      <c r="O163" s="1984">
        <f>+'Receitas (mensais)'!M211</f>
        <v>0</v>
      </c>
      <c r="P163" s="1984">
        <f>+'Receitas (mensais)'!N211</f>
        <v>0</v>
      </c>
      <c r="Q163" s="1984">
        <f>+'Receitas (mensais)'!O211</f>
        <v>0</v>
      </c>
      <c r="R163" s="1984">
        <f>+'Receitas (mensais)'!P211</f>
        <v>0</v>
      </c>
      <c r="S163" s="1980">
        <f t="shared" si="44"/>
        <v>0</v>
      </c>
      <c r="T163" s="2169"/>
      <c r="U163" s="2178">
        <f t="shared" si="42"/>
        <v>0</v>
      </c>
      <c r="V163" s="1854"/>
      <c r="W163" s="2003"/>
      <c r="Y163" s="2008"/>
    </row>
    <row r="164" spans="1:26" s="1866" customFormat="1" ht="26.25">
      <c r="A164" s="1889"/>
      <c r="B164" s="1908" t="s">
        <v>3344</v>
      </c>
      <c r="C164" s="2032" t="str">
        <f>'Receitas (mensais)'!D212</f>
        <v>Segurança social</v>
      </c>
      <c r="D164" s="1911"/>
      <c r="E164" s="1984"/>
      <c r="F164" s="2072">
        <f>+SUM(F165:F170)</f>
        <v>1234699.1230000001</v>
      </c>
      <c r="G164" s="1984">
        <f>+SUM(G165:G170)</f>
        <v>114220.30799999999</v>
      </c>
      <c r="H164" s="1984">
        <f t="shared" ref="H164:R164" si="50">+SUM(H165:H170)</f>
        <v>155471.467</v>
      </c>
      <c r="I164" s="1984">
        <f t="shared" si="50"/>
        <v>112387.577</v>
      </c>
      <c r="J164" s="1984">
        <f t="shared" si="50"/>
        <v>134697.02599999998</v>
      </c>
      <c r="K164" s="1984">
        <f t="shared" si="50"/>
        <v>113373.88800000001</v>
      </c>
      <c r="L164" s="1984">
        <f t="shared" si="50"/>
        <v>165273.85799999998</v>
      </c>
      <c r="M164" s="1984">
        <f t="shared" si="50"/>
        <v>120607.94200000001</v>
      </c>
      <c r="N164" s="1984">
        <f t="shared" si="50"/>
        <v>141444.1</v>
      </c>
      <c r="O164" s="1984">
        <f t="shared" si="50"/>
        <v>130567.984</v>
      </c>
      <c r="P164" s="1984">
        <f t="shared" si="50"/>
        <v>158336.93</v>
      </c>
      <c r="Q164" s="1984">
        <f t="shared" si="50"/>
        <v>125847.95300000001</v>
      </c>
      <c r="R164" s="1984">
        <f t="shared" si="50"/>
        <v>156212.47099999999</v>
      </c>
      <c r="S164" s="1980">
        <f t="shared" si="44"/>
        <v>1628441.504</v>
      </c>
      <c r="T164" s="2169"/>
      <c r="U164" s="2178">
        <f t="shared" si="42"/>
        <v>1628441.504</v>
      </c>
      <c r="V164" s="1854"/>
      <c r="W164" s="2003"/>
      <c r="Y164" s="2008"/>
    </row>
    <row r="165" spans="1:26" s="1866" customFormat="1" ht="26.25">
      <c r="A165" s="1889"/>
      <c r="B165" s="1908" t="s">
        <v>3345</v>
      </c>
      <c r="C165" s="2032" t="str">
        <f>'Receitas (mensais)'!D213</f>
        <v xml:space="preserve">          Compens. Aposentaçao</v>
      </c>
      <c r="D165" s="1911"/>
      <c r="E165" s="1984"/>
      <c r="F165" s="2072">
        <v>1143541.3330000001</v>
      </c>
      <c r="G165" s="1984">
        <f>+'Receitas (mensais)'!E213</f>
        <v>104696.4</v>
      </c>
      <c r="H165" s="1984">
        <f>+'Receitas (mensais)'!F213</f>
        <v>145750.41500000001</v>
      </c>
      <c r="I165" s="1984">
        <f>+'Receitas (mensais)'!G213</f>
        <v>102748.247</v>
      </c>
      <c r="J165" s="1984">
        <f>+'Receitas (mensais)'!H213</f>
        <v>125038.52099999999</v>
      </c>
      <c r="K165" s="1984">
        <f>+'Receitas (mensais)'!I213</f>
        <v>103868.00600000001</v>
      </c>
      <c r="L165" s="1984">
        <f>+'Receitas (mensais)'!J213</f>
        <v>155064.83299999998</v>
      </c>
      <c r="M165" s="1984">
        <f>+'Receitas (mensais)'!K213</f>
        <v>111093.486</v>
      </c>
      <c r="N165" s="1984">
        <f>+'Receitas (mensais)'!L213</f>
        <v>131175.99799999999</v>
      </c>
      <c r="O165" s="1984">
        <f>+'Receitas (mensais)'!M213</f>
        <v>120323.485</v>
      </c>
      <c r="P165" s="1984">
        <f>+'Receitas (mensais)'!N213</f>
        <v>148361.94699999999</v>
      </c>
      <c r="Q165" s="1984">
        <f>+'Receitas (mensais)'!O213</f>
        <v>116020.10500000001</v>
      </c>
      <c r="R165" s="1984">
        <f>+'Receitas (mensais)'!P213</f>
        <v>145930.13099999999</v>
      </c>
      <c r="S165" s="1980">
        <f t="shared" si="44"/>
        <v>1510071.574</v>
      </c>
      <c r="T165" s="2169"/>
      <c r="U165" s="2178">
        <f t="shared" si="42"/>
        <v>1510071.574</v>
      </c>
      <c r="V165" s="1854"/>
      <c r="W165" s="2003"/>
      <c r="Y165" s="2008"/>
    </row>
    <row r="166" spans="1:26" s="1866" customFormat="1" ht="26.25">
      <c r="A166" s="1889"/>
      <c r="B166" s="1908" t="s">
        <v>3346</v>
      </c>
      <c r="C166" s="2032" t="str">
        <f>'Receitas (mensais)'!D214</f>
        <v xml:space="preserve">         Comp Aposent/Atrasados</v>
      </c>
      <c r="D166" s="1911"/>
      <c r="E166" s="1984"/>
      <c r="F166" s="2072">
        <v>91157.79</v>
      </c>
      <c r="G166" s="1984">
        <f>+'Receitas (mensais)'!E214</f>
        <v>0</v>
      </c>
      <c r="H166" s="1984">
        <f>+'Receitas (mensais)'!F214</f>
        <v>0</v>
      </c>
      <c r="I166" s="1984">
        <f>+'Receitas (mensais)'!G214</f>
        <v>0</v>
      </c>
      <c r="J166" s="1984">
        <f>+'Receitas (mensais)'!H214</f>
        <v>0</v>
      </c>
      <c r="K166" s="1984">
        <f>+'Receitas (mensais)'!I214</f>
        <v>0</v>
      </c>
      <c r="L166" s="1984">
        <f>+'Receitas (mensais)'!J214</f>
        <v>0</v>
      </c>
      <c r="M166" s="1984">
        <f>+'Receitas (mensais)'!K214</f>
        <v>0</v>
      </c>
      <c r="N166" s="1984">
        <f>+'Receitas (mensais)'!L214</f>
        <v>0</v>
      </c>
      <c r="O166" s="1984">
        <f>+'Receitas (mensais)'!M214</f>
        <v>0</v>
      </c>
      <c r="P166" s="1984">
        <f>+'Receitas (mensais)'!N214</f>
        <v>0</v>
      </c>
      <c r="Q166" s="1984">
        <f>+'Receitas (mensais)'!O214</f>
        <v>0</v>
      </c>
      <c r="R166" s="1984">
        <f>+'Receitas (mensais)'!P214</f>
        <v>0</v>
      </c>
      <c r="S166" s="1980">
        <f t="shared" si="44"/>
        <v>0</v>
      </c>
      <c r="T166" s="2169"/>
      <c r="U166" s="2178">
        <f t="shared" si="42"/>
        <v>0</v>
      </c>
      <c r="V166" s="1854"/>
      <c r="W166" s="2003"/>
      <c r="Y166" s="2008"/>
    </row>
    <row r="167" spans="1:26" s="1866" customFormat="1" ht="26.25">
      <c r="A167" s="1889"/>
      <c r="B167" s="1908" t="s">
        <v>3347</v>
      </c>
      <c r="C167" s="2032" t="str">
        <f>'Receitas (mensais)'!D215</f>
        <v xml:space="preserve">         Compens. Sobrevivência</v>
      </c>
      <c r="D167" s="1911"/>
      <c r="E167" s="1984"/>
      <c r="F167" s="2072"/>
      <c r="G167" s="1984">
        <f>+'Receitas (mensais)'!E215</f>
        <v>0</v>
      </c>
      <c r="H167" s="1984">
        <f>+'Receitas (mensais)'!F215</f>
        <v>0</v>
      </c>
      <c r="I167" s="1984">
        <f>+'Receitas (mensais)'!G215</f>
        <v>0</v>
      </c>
      <c r="J167" s="1984">
        <f>+'Receitas (mensais)'!H215</f>
        <v>0</v>
      </c>
      <c r="K167" s="1984">
        <f>+'Receitas (mensais)'!I215</f>
        <v>0</v>
      </c>
      <c r="L167" s="1984">
        <f>+'Receitas (mensais)'!J215</f>
        <v>0</v>
      </c>
      <c r="M167" s="1984">
        <f>+'Receitas (mensais)'!K215</f>
        <v>0</v>
      </c>
      <c r="N167" s="1984">
        <f>+'Receitas (mensais)'!L215</f>
        <v>0</v>
      </c>
      <c r="O167" s="1984">
        <f>+'Receitas (mensais)'!M215</f>
        <v>0</v>
      </c>
      <c r="P167" s="1984">
        <f>+'Receitas (mensais)'!N215</f>
        <v>0</v>
      </c>
      <c r="Q167" s="1984">
        <f>+'Receitas (mensais)'!O215</f>
        <v>0</v>
      </c>
      <c r="R167" s="1984">
        <f>+'Receitas (mensais)'!P215</f>
        <v>0</v>
      </c>
      <c r="S167" s="1980">
        <f t="shared" si="44"/>
        <v>0</v>
      </c>
      <c r="T167" s="2169"/>
      <c r="U167" s="2178">
        <f t="shared" si="42"/>
        <v>0</v>
      </c>
      <c r="V167" s="1854"/>
      <c r="W167" s="2003"/>
      <c r="Y167" s="2008"/>
    </row>
    <row r="168" spans="1:26" s="1866" customFormat="1" ht="26.25">
      <c r="A168" s="1889"/>
      <c r="B168" s="1908" t="s">
        <v>3348</v>
      </c>
      <c r="C168" s="2032" t="str">
        <f>'Receitas (mensais)'!D216</f>
        <v xml:space="preserve">         Comp Sobreviv/Atrasados</v>
      </c>
      <c r="D168" s="1911"/>
      <c r="E168" s="1984"/>
      <c r="F168" s="2072"/>
      <c r="G168" s="1984">
        <f>+'Receitas (mensais)'!E216</f>
        <v>0</v>
      </c>
      <c r="H168" s="1984">
        <f>+'Receitas (mensais)'!F216</f>
        <v>0</v>
      </c>
      <c r="I168" s="1984">
        <f>+'Receitas (mensais)'!G216</f>
        <v>0</v>
      </c>
      <c r="J168" s="1984">
        <f>+'Receitas (mensais)'!H216</f>
        <v>0</v>
      </c>
      <c r="K168" s="1984">
        <f>+'Receitas (mensais)'!I216</f>
        <v>0</v>
      </c>
      <c r="L168" s="1984">
        <f>+'Receitas (mensais)'!J216</f>
        <v>0</v>
      </c>
      <c r="M168" s="1984">
        <f>+'Receitas (mensais)'!K216</f>
        <v>0</v>
      </c>
      <c r="N168" s="1984">
        <f>+'Receitas (mensais)'!L216</f>
        <v>0</v>
      </c>
      <c r="O168" s="1984">
        <f>+'Receitas (mensais)'!M216</f>
        <v>0</v>
      </c>
      <c r="P168" s="1984">
        <f>+'Receitas (mensais)'!N216</f>
        <v>0</v>
      </c>
      <c r="Q168" s="1984">
        <f>+'Receitas (mensais)'!O216</f>
        <v>0</v>
      </c>
      <c r="R168" s="1984">
        <f>+'Receitas (mensais)'!P216</f>
        <v>0</v>
      </c>
      <c r="S168" s="1980">
        <f t="shared" si="44"/>
        <v>0</v>
      </c>
      <c r="T168" s="2169"/>
      <c r="U168" s="2178">
        <f t="shared" si="42"/>
        <v>0</v>
      </c>
      <c r="V168" s="1854"/>
      <c r="W168" s="2003"/>
      <c r="Y168" s="2008"/>
    </row>
    <row r="169" spans="1:26" s="1866" customFormat="1" ht="26.25">
      <c r="A169" s="1889"/>
      <c r="B169" s="1908" t="s">
        <v>3349</v>
      </c>
      <c r="C169" s="2032" t="str">
        <f>'Receitas (mensais)'!D217</f>
        <v xml:space="preserve">         Assistência Func. Tuberc</v>
      </c>
      <c r="D169" s="1911"/>
      <c r="E169" s="1984"/>
      <c r="F169" s="2072"/>
      <c r="G169" s="1984">
        <f>+'Receitas (mensais)'!E217</f>
        <v>0</v>
      </c>
      <c r="H169" s="1984">
        <f>+'Receitas (mensais)'!F217</f>
        <v>0</v>
      </c>
      <c r="I169" s="1984">
        <f>+'Receitas (mensais)'!G217</f>
        <v>0</v>
      </c>
      <c r="J169" s="1984">
        <f>+'Receitas (mensais)'!H217</f>
        <v>0</v>
      </c>
      <c r="K169" s="1984">
        <f>+'Receitas (mensais)'!I217</f>
        <v>0</v>
      </c>
      <c r="L169" s="1984">
        <f>+'Receitas (mensais)'!J217</f>
        <v>0</v>
      </c>
      <c r="M169" s="1984">
        <f>+'Receitas (mensais)'!K217</f>
        <v>0</v>
      </c>
      <c r="N169" s="1984">
        <f>+'Receitas (mensais)'!L217</f>
        <v>0</v>
      </c>
      <c r="O169" s="1984">
        <f>+'Receitas (mensais)'!M217</f>
        <v>0</v>
      </c>
      <c r="P169" s="1984">
        <f>+'Receitas (mensais)'!N217</f>
        <v>0</v>
      </c>
      <c r="Q169" s="1984">
        <f>+'Receitas (mensais)'!O217</f>
        <v>0</v>
      </c>
      <c r="R169" s="1984">
        <f>+'Receitas (mensais)'!P217</f>
        <v>0</v>
      </c>
      <c r="S169" s="1980">
        <f t="shared" si="44"/>
        <v>0</v>
      </c>
      <c r="T169" s="2169"/>
      <c r="U169" s="2178">
        <f t="shared" si="42"/>
        <v>0</v>
      </c>
      <c r="V169" s="1854"/>
      <c r="W169" s="2003"/>
      <c r="Y169" s="2008"/>
    </row>
    <row r="170" spans="1:26" s="1866" customFormat="1" ht="26.25">
      <c r="A170" s="1889"/>
      <c r="B170" s="1908" t="s">
        <v>3350</v>
      </c>
      <c r="C170" s="2032" t="str">
        <f>'Receitas (mensais)'!D218</f>
        <v xml:space="preserve">        Assist Trab F.P. no Exter</v>
      </c>
      <c r="D170" s="1911"/>
      <c r="E170" s="1984"/>
      <c r="F170" s="2072"/>
      <c r="G170" s="1984">
        <f>+'Receitas (mensais)'!E218</f>
        <v>9523.9079999999994</v>
      </c>
      <c r="H170" s="1984">
        <f>+'Receitas (mensais)'!F218</f>
        <v>9721.0519999999997</v>
      </c>
      <c r="I170" s="1984">
        <f>+'Receitas (mensais)'!G218</f>
        <v>9639.33</v>
      </c>
      <c r="J170" s="1984">
        <f>+'Receitas (mensais)'!H218</f>
        <v>9658.5049999999992</v>
      </c>
      <c r="K170" s="1984">
        <f>+'Receitas (mensais)'!I218</f>
        <v>9505.8819999999996</v>
      </c>
      <c r="L170" s="1984">
        <f>+'Receitas (mensais)'!J218</f>
        <v>10209.025</v>
      </c>
      <c r="M170" s="1984">
        <f>+'Receitas (mensais)'!K218</f>
        <v>9514.4560000000001</v>
      </c>
      <c r="N170" s="1984">
        <f>+'Receitas (mensais)'!L218</f>
        <v>10268.102000000001</v>
      </c>
      <c r="O170" s="1984">
        <f>+'Receitas (mensais)'!M218</f>
        <v>10244.499</v>
      </c>
      <c r="P170" s="1984">
        <f>+'Receitas (mensais)'!N218</f>
        <v>9974.9830000000002</v>
      </c>
      <c r="Q170" s="1984">
        <f>+'Receitas (mensais)'!O218</f>
        <v>9827.848</v>
      </c>
      <c r="R170" s="1984">
        <f>+'Receitas (mensais)'!P218</f>
        <v>10282.34</v>
      </c>
      <c r="S170" s="1980">
        <f t="shared" si="44"/>
        <v>118369.93</v>
      </c>
      <c r="T170" s="2169"/>
      <c r="U170" s="2178">
        <f t="shared" si="42"/>
        <v>118369.93</v>
      </c>
      <c r="V170" s="1854"/>
      <c r="W170" s="2003"/>
      <c r="Y170" s="2008"/>
    </row>
    <row r="171" spans="1:26" s="2043" customFormat="1" ht="26.25">
      <c r="A171" s="2034"/>
      <c r="B171" s="2063" t="s">
        <v>3187</v>
      </c>
      <c r="C171" s="2036" t="str">
        <f>+'Receitas (mensais)'!D220</f>
        <v>Administraçoes privadas</v>
      </c>
      <c r="D171" s="2037"/>
      <c r="E171" s="2038"/>
      <c r="F171" s="2071"/>
      <c r="G171" s="2038">
        <f>+'Receitas (mensais)'!E220</f>
        <v>0</v>
      </c>
      <c r="H171" s="2038">
        <f>+'Receitas (mensais)'!F220</f>
        <v>0</v>
      </c>
      <c r="I171" s="2038">
        <f>+'Receitas (mensais)'!G220</f>
        <v>0</v>
      </c>
      <c r="J171" s="2038">
        <f>+'Receitas (mensais)'!H220</f>
        <v>0</v>
      </c>
      <c r="K171" s="2038">
        <f>+'Receitas (mensais)'!I220</f>
        <v>0</v>
      </c>
      <c r="L171" s="2038">
        <f>+'Receitas (mensais)'!J220</f>
        <v>0</v>
      </c>
      <c r="M171" s="2038">
        <f>+'Receitas (mensais)'!K220</f>
        <v>0</v>
      </c>
      <c r="N171" s="2038">
        <f>+'Receitas (mensais)'!L220</f>
        <v>0</v>
      </c>
      <c r="O171" s="2038">
        <f>+'Receitas (mensais)'!M220</f>
        <v>0</v>
      </c>
      <c r="P171" s="2038">
        <f>+'Receitas (mensais)'!N220</f>
        <v>0</v>
      </c>
      <c r="Q171" s="2038">
        <f>+'Receitas (mensais)'!O220</f>
        <v>0</v>
      </c>
      <c r="R171" s="2038">
        <f>+'Receitas (mensais)'!P220</f>
        <v>0</v>
      </c>
      <c r="S171" s="2038">
        <f t="shared" si="44"/>
        <v>0</v>
      </c>
      <c r="T171" s="2168"/>
      <c r="U171" s="2178">
        <f t="shared" si="42"/>
        <v>0</v>
      </c>
      <c r="V171" s="2053"/>
      <c r="W171" s="2041"/>
      <c r="X171" s="2042"/>
      <c r="Z171" s="2044"/>
    </row>
    <row r="172" spans="1:26" s="2043" customFormat="1" ht="26.25">
      <c r="A172" s="2034"/>
      <c r="B172" s="2063" t="s">
        <v>3188</v>
      </c>
      <c r="C172" s="2036" t="str">
        <f>+'Receitas (mensais)'!D223</f>
        <v>Instituiçoes de credito</v>
      </c>
      <c r="D172" s="2037"/>
      <c r="E172" s="2038"/>
      <c r="F172" s="2071"/>
      <c r="G172" s="2038">
        <f>+'Receitas (mensais)'!E223</f>
        <v>0</v>
      </c>
      <c r="H172" s="2038">
        <f>+'Receitas (mensais)'!F223</f>
        <v>0</v>
      </c>
      <c r="I172" s="2038">
        <f>+'Receitas (mensais)'!G223</f>
        <v>0</v>
      </c>
      <c r="J172" s="2038">
        <f>+'Receitas (mensais)'!H223</f>
        <v>0</v>
      </c>
      <c r="K172" s="2038">
        <f>+'Receitas (mensais)'!I223</f>
        <v>0</v>
      </c>
      <c r="L172" s="2038">
        <f>+'Receitas (mensais)'!J223</f>
        <v>0</v>
      </c>
      <c r="M172" s="2038">
        <f>+'Receitas (mensais)'!K223</f>
        <v>0</v>
      </c>
      <c r="N172" s="2038">
        <f>+'Receitas (mensais)'!L223</f>
        <v>0</v>
      </c>
      <c r="O172" s="2038">
        <f>+'Receitas (mensais)'!M223</f>
        <v>0</v>
      </c>
      <c r="P172" s="2038">
        <f>+'Receitas (mensais)'!N223</f>
        <v>0</v>
      </c>
      <c r="Q172" s="2038">
        <f>+'Receitas (mensais)'!O223</f>
        <v>0</v>
      </c>
      <c r="R172" s="2038">
        <f>+'Receitas (mensais)'!P223</f>
        <v>0</v>
      </c>
      <c r="S172" s="2038">
        <f t="shared" si="44"/>
        <v>0</v>
      </c>
      <c r="T172" s="2168"/>
      <c r="U172" s="2178">
        <f t="shared" si="42"/>
        <v>0</v>
      </c>
      <c r="V172" s="2053"/>
      <c r="W172" s="2041"/>
      <c r="X172" s="2042"/>
      <c r="Z172" s="2044"/>
    </row>
    <row r="173" spans="1:26" s="2043" customFormat="1" ht="26.25">
      <c r="A173" s="2034"/>
      <c r="B173" s="2063" t="s">
        <v>3351</v>
      </c>
      <c r="C173" s="2036" t="str">
        <f>+'Receitas (mensais)'!D227</f>
        <v>Empresas de seguros</v>
      </c>
      <c r="D173" s="2037"/>
      <c r="E173" s="2038"/>
      <c r="F173" s="2071"/>
      <c r="G173" s="2038">
        <f>+'Receitas (mensais)'!E227</f>
        <v>0</v>
      </c>
      <c r="H173" s="2038">
        <f>+'Receitas (mensais)'!F227</f>
        <v>0</v>
      </c>
      <c r="I173" s="2038">
        <f>+'Receitas (mensais)'!G227</f>
        <v>0</v>
      </c>
      <c r="J173" s="2038">
        <f>+'Receitas (mensais)'!H227</f>
        <v>0</v>
      </c>
      <c r="K173" s="2038">
        <f>+'Receitas (mensais)'!I227</f>
        <v>0</v>
      </c>
      <c r="L173" s="2038">
        <f>+'Receitas (mensais)'!J227</f>
        <v>0</v>
      </c>
      <c r="M173" s="2038">
        <f>+'Receitas (mensais)'!K227</f>
        <v>0</v>
      </c>
      <c r="N173" s="2038">
        <f>+'Receitas (mensais)'!L227</f>
        <v>0</v>
      </c>
      <c r="O173" s="2038">
        <f>+'Receitas (mensais)'!M227</f>
        <v>0</v>
      </c>
      <c r="P173" s="2038">
        <f>+'Receitas (mensais)'!N227</f>
        <v>0</v>
      </c>
      <c r="Q173" s="2038">
        <f>+'Receitas (mensais)'!O227</f>
        <v>0</v>
      </c>
      <c r="R173" s="2038">
        <f>+'Receitas (mensais)'!P227</f>
        <v>0</v>
      </c>
      <c r="S173" s="2038">
        <f t="shared" si="44"/>
        <v>0</v>
      </c>
      <c r="T173" s="2168"/>
      <c r="U173" s="2178">
        <f t="shared" si="42"/>
        <v>0</v>
      </c>
      <c r="V173" s="2053"/>
      <c r="W173" s="2041"/>
      <c r="X173" s="2042"/>
      <c r="Z173" s="2044"/>
    </row>
    <row r="174" spans="1:26" s="2043" customFormat="1" ht="26.25">
      <c r="A174" s="2034"/>
      <c r="B174" s="2063" t="s">
        <v>3352</v>
      </c>
      <c r="C174" s="2036" t="str">
        <f>+'Receitas (mensais)'!D230</f>
        <v>Familias</v>
      </c>
      <c r="D174" s="2037"/>
      <c r="E174" s="2038"/>
      <c r="F174" s="2071"/>
      <c r="G174" s="2038">
        <f>+'Receitas (mensais)'!E230</f>
        <v>0</v>
      </c>
      <c r="H174" s="2038">
        <f>+'Receitas (mensais)'!F230</f>
        <v>0</v>
      </c>
      <c r="I174" s="2038">
        <f>+'Receitas (mensais)'!G230</f>
        <v>0</v>
      </c>
      <c r="J174" s="2038">
        <f>+'Receitas (mensais)'!H230</f>
        <v>0</v>
      </c>
      <c r="K174" s="2038">
        <f>+'Receitas (mensais)'!I230</f>
        <v>0</v>
      </c>
      <c r="L174" s="2038">
        <f>+'Receitas (mensais)'!J230</f>
        <v>0</v>
      </c>
      <c r="M174" s="2038">
        <f>+'Receitas (mensais)'!K230</f>
        <v>0</v>
      </c>
      <c r="N174" s="2038">
        <f>+'Receitas (mensais)'!L230</f>
        <v>0</v>
      </c>
      <c r="O174" s="2038">
        <f>+'Receitas (mensais)'!M230</f>
        <v>0</v>
      </c>
      <c r="P174" s="2038">
        <f>+'Receitas (mensais)'!N230</f>
        <v>0</v>
      </c>
      <c r="Q174" s="2038">
        <f>+'Receitas (mensais)'!O230</f>
        <v>0</v>
      </c>
      <c r="R174" s="2038">
        <f>+'Receitas (mensais)'!P230</f>
        <v>0</v>
      </c>
      <c r="S174" s="2038">
        <f t="shared" si="44"/>
        <v>0</v>
      </c>
      <c r="T174" s="2168"/>
      <c r="U174" s="2178">
        <f t="shared" si="42"/>
        <v>0</v>
      </c>
      <c r="V174" s="2053"/>
      <c r="W174" s="2041"/>
      <c r="X174" s="2042"/>
      <c r="Z174" s="2044"/>
    </row>
    <row r="175" spans="1:26" s="2043" customFormat="1" ht="26.25">
      <c r="A175" s="2034"/>
      <c r="B175" s="2063" t="s">
        <v>3353</v>
      </c>
      <c r="C175" s="2036" t="str">
        <f>+'Receitas (mensais)'!D233</f>
        <v>Exterior</v>
      </c>
      <c r="D175" s="2037"/>
      <c r="E175" s="2038"/>
      <c r="F175" s="2071">
        <f>+F176+F177+F178+F181</f>
        <v>10232929.199999999</v>
      </c>
      <c r="G175" s="2038">
        <f>+G176+G177+G178+G181</f>
        <v>0</v>
      </c>
      <c r="H175" s="2038">
        <f t="shared" ref="H175:R175" si="51">+H176+H177+H178+H181</f>
        <v>0</v>
      </c>
      <c r="I175" s="2038">
        <f t="shared" si="51"/>
        <v>0</v>
      </c>
      <c r="J175" s="2038">
        <f t="shared" si="51"/>
        <v>0</v>
      </c>
      <c r="K175" s="2038">
        <f t="shared" si="51"/>
        <v>0</v>
      </c>
      <c r="L175" s="2038">
        <f t="shared" si="51"/>
        <v>0</v>
      </c>
      <c r="M175" s="2038">
        <f t="shared" si="51"/>
        <v>0</v>
      </c>
      <c r="N175" s="2038">
        <f t="shared" si="51"/>
        <v>0</v>
      </c>
      <c r="O175" s="2038">
        <f t="shared" si="51"/>
        <v>0</v>
      </c>
      <c r="P175" s="2038">
        <f t="shared" si="51"/>
        <v>7609101.2000000002</v>
      </c>
      <c r="Q175" s="2038">
        <f t="shared" si="51"/>
        <v>1311914</v>
      </c>
      <c r="R175" s="2038">
        <f t="shared" si="51"/>
        <v>0</v>
      </c>
      <c r="S175" s="2038">
        <f t="shared" si="44"/>
        <v>8921015.1999999993</v>
      </c>
      <c r="T175" s="2168"/>
      <c r="U175" s="2178">
        <f t="shared" si="42"/>
        <v>8921015.1999999993</v>
      </c>
      <c r="V175" s="2053"/>
      <c r="W175" s="2041"/>
      <c r="X175" s="2042"/>
      <c r="Z175" s="2044"/>
    </row>
    <row r="176" spans="1:26" s="1866" customFormat="1" ht="26.25">
      <c r="A176" s="1889"/>
      <c r="B176" s="1908" t="s">
        <v>3354</v>
      </c>
      <c r="C176" s="2032" t="str">
        <f>+'Receitas (mensais)'!D234</f>
        <v>Serviços Consulares</v>
      </c>
      <c r="D176" s="1911"/>
      <c r="E176" s="1984"/>
      <c r="F176" s="2072"/>
      <c r="G176" s="1984">
        <f>+'Receitas (mensais)'!E234</f>
        <v>0</v>
      </c>
      <c r="H176" s="1984">
        <f>+'Receitas (mensais)'!F234</f>
        <v>0</v>
      </c>
      <c r="I176" s="1984">
        <f>+'Receitas (mensais)'!G234</f>
        <v>0</v>
      </c>
      <c r="J176" s="1984">
        <f>+'Receitas (mensais)'!H234</f>
        <v>0</v>
      </c>
      <c r="K176" s="1984">
        <f>+'Receitas (mensais)'!I234</f>
        <v>0</v>
      </c>
      <c r="L176" s="1984">
        <f>+'Receitas (mensais)'!J234</f>
        <v>0</v>
      </c>
      <c r="M176" s="1984">
        <f>+'Receitas (mensais)'!K234</f>
        <v>0</v>
      </c>
      <c r="N176" s="1984">
        <f>+'Receitas (mensais)'!L234</f>
        <v>0</v>
      </c>
      <c r="O176" s="1984">
        <f>+'Receitas (mensais)'!M234</f>
        <v>0</v>
      </c>
      <c r="P176" s="1984">
        <f>+'Receitas (mensais)'!N234</f>
        <v>0</v>
      </c>
      <c r="Q176" s="1984">
        <f>+'Receitas (mensais)'!O234</f>
        <v>0</v>
      </c>
      <c r="R176" s="1984">
        <f>+'Receitas (mensais)'!P234</f>
        <v>0</v>
      </c>
      <c r="S176" s="1980">
        <f t="shared" si="44"/>
        <v>0</v>
      </c>
      <c r="T176" s="2169"/>
      <c r="U176" s="2178">
        <f t="shared" si="42"/>
        <v>0</v>
      </c>
      <c r="V176" s="1854"/>
      <c r="W176" s="2003"/>
      <c r="Y176" s="2008"/>
    </row>
    <row r="177" spans="1:26" s="1866" customFormat="1" ht="26.25">
      <c r="A177" s="1889"/>
      <c r="B177" s="1908" t="s">
        <v>3355</v>
      </c>
      <c r="C177" s="2032" t="str">
        <f>+'Receitas (mensais)'!D235</f>
        <v>Diversos serviços</v>
      </c>
      <c r="D177" s="1911"/>
      <c r="E177" s="1984"/>
      <c r="F177" s="2072"/>
      <c r="G177" s="1984">
        <f>+'Receitas (mensais)'!E235</f>
        <v>0</v>
      </c>
      <c r="H177" s="1984">
        <f>+'Receitas (mensais)'!F235</f>
        <v>0</v>
      </c>
      <c r="I177" s="1984">
        <f>+'Receitas (mensais)'!G235</f>
        <v>0</v>
      </c>
      <c r="J177" s="1984">
        <f>+'Receitas (mensais)'!H235</f>
        <v>0</v>
      </c>
      <c r="K177" s="1984">
        <f>+'Receitas (mensais)'!I235</f>
        <v>0</v>
      </c>
      <c r="L177" s="1984">
        <f>+'Receitas (mensais)'!J235</f>
        <v>0</v>
      </c>
      <c r="M177" s="1984">
        <f>+'Receitas (mensais)'!K235</f>
        <v>0</v>
      </c>
      <c r="N177" s="1984">
        <f>+'Receitas (mensais)'!L235</f>
        <v>0</v>
      </c>
      <c r="O177" s="1984">
        <f>+'Receitas (mensais)'!M235</f>
        <v>0</v>
      </c>
      <c r="P177" s="1984">
        <f>+'Receitas (mensais)'!N235</f>
        <v>0</v>
      </c>
      <c r="Q177" s="1984">
        <f>+'Receitas (mensais)'!O235</f>
        <v>0</v>
      </c>
      <c r="R177" s="1984">
        <f>+'Receitas (mensais)'!P235</f>
        <v>0</v>
      </c>
      <c r="S177" s="1980">
        <f t="shared" si="44"/>
        <v>0</v>
      </c>
      <c r="T177" s="2169"/>
      <c r="U177" s="2178">
        <f t="shared" si="42"/>
        <v>0</v>
      </c>
      <c r="V177" s="1854"/>
      <c r="W177" s="2003"/>
      <c r="Y177" s="2008"/>
    </row>
    <row r="178" spans="1:26" s="1866" customFormat="1" ht="26.25">
      <c r="A178" s="1889"/>
      <c r="B178" s="1908" t="s">
        <v>3356</v>
      </c>
      <c r="C178" s="2032" t="str">
        <f>+'Receitas (mensais)'!D236</f>
        <v>C.E.E.</v>
      </c>
      <c r="D178" s="1911"/>
      <c r="E178" s="1984"/>
      <c r="F178" s="2072">
        <f>+F179+F180</f>
        <v>10232929.199999999</v>
      </c>
      <c r="G178" s="1984">
        <f>+G179+G180</f>
        <v>0</v>
      </c>
      <c r="H178" s="1984">
        <f t="shared" ref="H178:R178" si="52">+H179+H180</f>
        <v>0</v>
      </c>
      <c r="I178" s="1984">
        <f t="shared" si="52"/>
        <v>0</v>
      </c>
      <c r="J178" s="1984">
        <f t="shared" si="52"/>
        <v>0</v>
      </c>
      <c r="K178" s="1984">
        <f t="shared" si="52"/>
        <v>0</v>
      </c>
      <c r="L178" s="1984">
        <f t="shared" si="52"/>
        <v>0</v>
      </c>
      <c r="M178" s="1984">
        <f t="shared" si="52"/>
        <v>0</v>
      </c>
      <c r="N178" s="1984">
        <f t="shared" si="52"/>
        <v>0</v>
      </c>
      <c r="O178" s="1984">
        <f t="shared" si="52"/>
        <v>0</v>
      </c>
      <c r="P178" s="1984">
        <f t="shared" si="52"/>
        <v>7609101.2000000002</v>
      </c>
      <c r="Q178" s="1984">
        <f t="shared" si="52"/>
        <v>1311914</v>
      </c>
      <c r="R178" s="1984">
        <f t="shared" si="52"/>
        <v>0</v>
      </c>
      <c r="S178" s="1980">
        <f t="shared" si="44"/>
        <v>8921015.1999999993</v>
      </c>
      <c r="T178" s="2169"/>
      <c r="U178" s="2178">
        <f t="shared" si="42"/>
        <v>8921015.1999999993</v>
      </c>
      <c r="V178" s="1854"/>
      <c r="W178" s="2003"/>
      <c r="Y178" s="2008"/>
    </row>
    <row r="179" spans="1:26" s="1866" customFormat="1" ht="26.25">
      <c r="A179" s="1889"/>
      <c r="B179" s="1908" t="s">
        <v>3358</v>
      </c>
      <c r="C179" s="2032" t="str">
        <f>+'Receitas (mensais)'!D237</f>
        <v>-       Compensaçao financeira</v>
      </c>
      <c r="D179" s="1911"/>
      <c r="E179" s="1984"/>
      <c r="F179" s="2072">
        <v>10232929.199999999</v>
      </c>
      <c r="G179" s="1984">
        <f>+'Receitas (mensais)'!E237</f>
        <v>0</v>
      </c>
      <c r="H179" s="1984">
        <f>+'Receitas (mensais)'!F237</f>
        <v>0</v>
      </c>
      <c r="I179" s="1984">
        <f>+'Receitas (mensais)'!G237</f>
        <v>0</v>
      </c>
      <c r="J179" s="1984">
        <f>+'Receitas (mensais)'!H237</f>
        <v>0</v>
      </c>
      <c r="K179" s="1984">
        <f>+'Receitas (mensais)'!I237</f>
        <v>0</v>
      </c>
      <c r="L179" s="1984">
        <f>+'Receitas (mensais)'!J237</f>
        <v>0</v>
      </c>
      <c r="M179" s="1984">
        <f>+'Receitas (mensais)'!K237</f>
        <v>0</v>
      </c>
      <c r="N179" s="1984">
        <f>+'Receitas (mensais)'!L237</f>
        <v>0</v>
      </c>
      <c r="O179" s="1984">
        <f>+'Receitas (mensais)'!M237</f>
        <v>0</v>
      </c>
      <c r="P179" s="1984">
        <f>+'Receitas (mensais)'!N237</f>
        <v>7609101.2000000002</v>
      </c>
      <c r="Q179" s="1984">
        <f>+'Receitas (mensais)'!O237</f>
        <v>1311914</v>
      </c>
      <c r="R179" s="1984">
        <f>+'Receitas (mensais)'!P237</f>
        <v>0</v>
      </c>
      <c r="S179" s="1980">
        <f t="shared" si="44"/>
        <v>8921015.1999999993</v>
      </c>
      <c r="T179" s="2169"/>
      <c r="U179" s="2178">
        <f t="shared" si="42"/>
        <v>8921015.1999999993</v>
      </c>
      <c r="V179" s="1854"/>
      <c r="W179" s="2003"/>
      <c r="Y179" s="2008"/>
    </row>
    <row r="180" spans="1:26" s="1866" customFormat="1" ht="26.25">
      <c r="A180" s="1889"/>
      <c r="B180" s="1908" t="s">
        <v>3359</v>
      </c>
      <c r="C180" s="2032" t="str">
        <f>+'Receitas (mensais)'!D238</f>
        <v>-       Outra (Prog. cientifico)ou Apoio Sectorial/CNF</v>
      </c>
      <c r="D180" s="1911"/>
      <c r="E180" s="1984"/>
      <c r="F180" s="2072"/>
      <c r="G180" s="1984">
        <f>+'Receitas (mensais)'!E238</f>
        <v>0</v>
      </c>
      <c r="H180" s="1984">
        <f>+'Receitas (mensais)'!F238</f>
        <v>0</v>
      </c>
      <c r="I180" s="1984">
        <f>+'Receitas (mensais)'!G238</f>
        <v>0</v>
      </c>
      <c r="J180" s="1984">
        <f>+'Receitas (mensais)'!H238</f>
        <v>0</v>
      </c>
      <c r="K180" s="1984">
        <f>+'Receitas (mensais)'!I238</f>
        <v>0</v>
      </c>
      <c r="L180" s="1984">
        <f>+'Receitas (mensais)'!J238</f>
        <v>0</v>
      </c>
      <c r="M180" s="1984">
        <f>+'Receitas (mensais)'!K238</f>
        <v>0</v>
      </c>
      <c r="N180" s="1984">
        <f>+'Receitas (mensais)'!L238</f>
        <v>0</v>
      </c>
      <c r="O180" s="1984">
        <f>+'Receitas (mensais)'!M238</f>
        <v>0</v>
      </c>
      <c r="P180" s="1984">
        <f>+'Receitas (mensais)'!N238</f>
        <v>0</v>
      </c>
      <c r="Q180" s="1984">
        <f>+'Receitas (mensais)'!O238</f>
        <v>0</v>
      </c>
      <c r="R180" s="1984">
        <f>+'Receitas (mensais)'!P238</f>
        <v>0</v>
      </c>
      <c r="S180" s="1980">
        <f t="shared" si="44"/>
        <v>0</v>
      </c>
      <c r="T180" s="2169"/>
      <c r="U180" s="2178">
        <f t="shared" si="42"/>
        <v>0</v>
      </c>
      <c r="V180" s="1854"/>
      <c r="W180" s="2003"/>
      <c r="Y180" s="2008"/>
    </row>
    <row r="181" spans="1:26" s="1866" customFormat="1" ht="26.25">
      <c r="A181" s="1889"/>
      <c r="B181" s="1908" t="s">
        <v>3357</v>
      </c>
      <c r="C181" s="2032" t="str">
        <f>+'Receitas (mensais)'!D239</f>
        <v>Diversas</v>
      </c>
      <c r="D181" s="1911"/>
      <c r="E181" s="1984"/>
      <c r="F181" s="2072"/>
      <c r="G181" s="1984">
        <f>+'Receitas (mensais)'!E239</f>
        <v>0</v>
      </c>
      <c r="H181" s="1984">
        <f>+'Receitas (mensais)'!F239</f>
        <v>0</v>
      </c>
      <c r="I181" s="1984">
        <f>+'Receitas (mensais)'!G239</f>
        <v>0</v>
      </c>
      <c r="J181" s="1984">
        <f>+'Receitas (mensais)'!H239</f>
        <v>0</v>
      </c>
      <c r="K181" s="1984">
        <f>+'Receitas (mensais)'!I239</f>
        <v>0</v>
      </c>
      <c r="L181" s="1984">
        <f>+'Receitas (mensais)'!J239</f>
        <v>0</v>
      </c>
      <c r="M181" s="1984">
        <f>+'Receitas (mensais)'!K239</f>
        <v>0</v>
      </c>
      <c r="N181" s="1984">
        <f>+'Receitas (mensais)'!L239</f>
        <v>0</v>
      </c>
      <c r="O181" s="1984">
        <f>+'Receitas (mensais)'!M239</f>
        <v>0</v>
      </c>
      <c r="P181" s="1984">
        <f>+'Receitas (mensais)'!N239</f>
        <v>0</v>
      </c>
      <c r="Q181" s="1984">
        <f>+'Receitas (mensais)'!O239</f>
        <v>0</v>
      </c>
      <c r="R181" s="1984">
        <f>+'Receitas (mensais)'!P239</f>
        <v>0</v>
      </c>
      <c r="S181" s="1980">
        <f t="shared" si="44"/>
        <v>0</v>
      </c>
      <c r="T181" s="2169"/>
      <c r="U181" s="2178">
        <f t="shared" si="42"/>
        <v>0</v>
      </c>
      <c r="V181" s="1854"/>
      <c r="W181" s="2003"/>
      <c r="Y181" s="2008"/>
    </row>
    <row r="182" spans="1:26" s="2056" customFormat="1" ht="26.25">
      <c r="A182" s="2047"/>
      <c r="B182" s="2048" t="s">
        <v>417</v>
      </c>
      <c r="C182" s="2049" t="s">
        <v>3203</v>
      </c>
      <c r="D182" s="2050"/>
      <c r="E182" s="2051">
        <f>+[28]Tofe!$Q$20</f>
        <v>8072121.2470000004</v>
      </c>
      <c r="F182" s="2070">
        <f>+F183+F186+F201+F229</f>
        <v>4013228.6260000002</v>
      </c>
      <c r="G182" s="2052">
        <f>+G183+G186+G201+G229</f>
        <v>139456.443</v>
      </c>
      <c r="H182" s="2052">
        <f t="shared" ref="H182:R182" si="53">+H183+H186+H201+H229</f>
        <v>203825.76100000003</v>
      </c>
      <c r="I182" s="2052">
        <f t="shared" si="53"/>
        <v>188232.32800000001</v>
      </c>
      <c r="J182" s="2052">
        <f t="shared" si="53"/>
        <v>184663.11499999999</v>
      </c>
      <c r="K182" s="2052">
        <f t="shared" si="53"/>
        <v>355859.13</v>
      </c>
      <c r="L182" s="2052">
        <f t="shared" si="53"/>
        <v>603162.54</v>
      </c>
      <c r="M182" s="2052">
        <f t="shared" si="53"/>
        <v>496498.39899999998</v>
      </c>
      <c r="N182" s="2052">
        <f t="shared" si="53"/>
        <v>327981.26300000004</v>
      </c>
      <c r="O182" s="2052">
        <f t="shared" si="53"/>
        <v>224603.21600000001</v>
      </c>
      <c r="P182" s="2052">
        <f t="shared" si="53"/>
        <v>173659.01700000002</v>
      </c>
      <c r="Q182" s="2052">
        <f t="shared" si="53"/>
        <v>109055.25199999999</v>
      </c>
      <c r="R182" s="2052">
        <f t="shared" si="53"/>
        <v>191007.60499999998</v>
      </c>
      <c r="S182" s="2051">
        <f t="shared" si="44"/>
        <v>3198004.0690000001</v>
      </c>
      <c r="T182" s="2167"/>
      <c r="U182" s="2178">
        <f t="shared" si="42"/>
        <v>3198004.0690000001</v>
      </c>
      <c r="V182" s="1854"/>
      <c r="W182" s="2054"/>
      <c r="X182" s="2055"/>
      <c r="Y182" s="2056">
        <f t="shared" si="30"/>
        <v>3198.0040690000001</v>
      </c>
      <c r="Z182" s="2057"/>
    </row>
    <row r="183" spans="1:26" s="2036" customFormat="1" ht="26.25">
      <c r="B183" s="2063" t="s">
        <v>3059</v>
      </c>
      <c r="C183" s="2036" t="str">
        <f>'Receitas (mensais)'!D243</f>
        <v>Venda de bens duradouros</v>
      </c>
      <c r="F183" s="2074">
        <f>+F184+F185</f>
        <v>0</v>
      </c>
      <c r="G183" s="2064">
        <f>+G184+G185</f>
        <v>0</v>
      </c>
      <c r="H183" s="2064">
        <f t="shared" ref="H183:R183" si="54">+H184+H185</f>
        <v>0</v>
      </c>
      <c r="I183" s="2064">
        <f t="shared" si="54"/>
        <v>0</v>
      </c>
      <c r="J183" s="2064">
        <f t="shared" si="54"/>
        <v>0</v>
      </c>
      <c r="K183" s="2064">
        <f t="shared" si="54"/>
        <v>0</v>
      </c>
      <c r="L183" s="2064">
        <f t="shared" si="54"/>
        <v>0</v>
      </c>
      <c r="M183" s="2064">
        <f t="shared" si="54"/>
        <v>0</v>
      </c>
      <c r="N183" s="2064">
        <f t="shared" si="54"/>
        <v>0</v>
      </c>
      <c r="O183" s="2064">
        <f t="shared" si="54"/>
        <v>0</v>
      </c>
      <c r="P183" s="2064">
        <f t="shared" si="54"/>
        <v>0</v>
      </c>
      <c r="Q183" s="2064">
        <f t="shared" si="54"/>
        <v>0</v>
      </c>
      <c r="R183" s="2064">
        <f t="shared" si="54"/>
        <v>0</v>
      </c>
      <c r="S183" s="2064">
        <f t="shared" si="44"/>
        <v>0</v>
      </c>
      <c r="T183" s="2171"/>
      <c r="U183" s="2178">
        <f t="shared" si="42"/>
        <v>0</v>
      </c>
      <c r="V183" s="1854"/>
    </row>
    <row r="184" spans="1:26" s="1866" customFormat="1" ht="26.25">
      <c r="A184" s="1889"/>
      <c r="B184" s="1908" t="s">
        <v>3064</v>
      </c>
      <c r="C184" s="2032" t="str">
        <f>'Receitas (mensais)'!D244</f>
        <v>Administraçoes publicas</v>
      </c>
      <c r="D184" s="1911"/>
      <c r="E184" s="1984"/>
      <c r="F184" s="2072"/>
      <c r="G184" s="1984">
        <f>+'Receitas (mensais)'!E244</f>
        <v>0</v>
      </c>
      <c r="H184" s="1984">
        <f>+'Receitas (mensais)'!F244</f>
        <v>0</v>
      </c>
      <c r="I184" s="1984">
        <f>+'Receitas (mensais)'!G244</f>
        <v>0</v>
      </c>
      <c r="J184" s="1984">
        <f>+'Receitas (mensais)'!H244</f>
        <v>0</v>
      </c>
      <c r="K184" s="1984">
        <f>+'Receitas (mensais)'!I244</f>
        <v>0</v>
      </c>
      <c r="L184" s="1984">
        <f>+'Receitas (mensais)'!J244</f>
        <v>0</v>
      </c>
      <c r="M184" s="1984">
        <f>+'Receitas (mensais)'!K244</f>
        <v>0</v>
      </c>
      <c r="N184" s="1984">
        <f>+'Receitas (mensais)'!L244</f>
        <v>0</v>
      </c>
      <c r="O184" s="1984">
        <f>+'Receitas (mensais)'!M244</f>
        <v>0</v>
      </c>
      <c r="P184" s="1984">
        <f>+'Receitas (mensais)'!N244</f>
        <v>0</v>
      </c>
      <c r="Q184" s="1984">
        <f>+'Receitas (mensais)'!O244</f>
        <v>0</v>
      </c>
      <c r="R184" s="1984">
        <f>+'Receitas (mensais)'!P244</f>
        <v>0</v>
      </c>
      <c r="S184" s="1980">
        <f t="shared" si="44"/>
        <v>0</v>
      </c>
      <c r="T184" s="2172"/>
      <c r="U184" s="2178">
        <f t="shared" si="42"/>
        <v>0</v>
      </c>
      <c r="V184" s="1854"/>
      <c r="W184" s="2003"/>
      <c r="Y184" s="2008"/>
    </row>
    <row r="185" spans="1:26" s="1866" customFormat="1" ht="26.25">
      <c r="A185" s="1889"/>
      <c r="B185" s="1908" t="s">
        <v>3065</v>
      </c>
      <c r="C185" s="2032" t="str">
        <f>'Receitas (mensais)'!D245</f>
        <v>Outros sectores</v>
      </c>
      <c r="D185" s="1911"/>
      <c r="E185" s="1984"/>
      <c r="F185" s="2072"/>
      <c r="G185" s="1984">
        <f>+'Receitas (mensais)'!E245</f>
        <v>0</v>
      </c>
      <c r="H185" s="1984">
        <f>+'Receitas (mensais)'!F245</f>
        <v>0</v>
      </c>
      <c r="I185" s="1984">
        <f>+'Receitas (mensais)'!G245</f>
        <v>0</v>
      </c>
      <c r="J185" s="1984">
        <f>+'Receitas (mensais)'!H245</f>
        <v>0</v>
      </c>
      <c r="K185" s="1984">
        <f>+'Receitas (mensais)'!I245</f>
        <v>0</v>
      </c>
      <c r="L185" s="1984">
        <f>+'Receitas (mensais)'!J245</f>
        <v>0</v>
      </c>
      <c r="M185" s="1984">
        <f>+'Receitas (mensais)'!K245</f>
        <v>0</v>
      </c>
      <c r="N185" s="1984">
        <f>+'Receitas (mensais)'!L245</f>
        <v>0</v>
      </c>
      <c r="O185" s="1984">
        <f>+'Receitas (mensais)'!M245</f>
        <v>0</v>
      </c>
      <c r="P185" s="1984">
        <f>+'Receitas (mensais)'!N245</f>
        <v>0</v>
      </c>
      <c r="Q185" s="1984">
        <f>+'Receitas (mensais)'!O245</f>
        <v>0</v>
      </c>
      <c r="R185" s="1984">
        <f>+'Receitas (mensais)'!P245</f>
        <v>0</v>
      </c>
      <c r="S185" s="1980">
        <f t="shared" si="44"/>
        <v>0</v>
      </c>
      <c r="T185" s="2172"/>
      <c r="U185" s="2178">
        <f t="shared" si="42"/>
        <v>0</v>
      </c>
      <c r="V185" s="1854"/>
      <c r="W185" s="2003"/>
      <c r="Y185" s="2008"/>
    </row>
    <row r="186" spans="1:26" s="2036" customFormat="1" ht="26.25">
      <c r="B186" s="2063" t="s">
        <v>3060</v>
      </c>
      <c r="C186" s="2036" t="str">
        <f>'Receitas (mensais)'!D247</f>
        <v>Venda de bens nao duradouros</v>
      </c>
      <c r="F186" s="2074">
        <f>F187+F200</f>
        <v>2000</v>
      </c>
      <c r="G186" s="2064">
        <f>G187+G200</f>
        <v>0</v>
      </c>
      <c r="H186" s="2064">
        <f t="shared" ref="H186:R186" si="55">H187+H200</f>
        <v>0</v>
      </c>
      <c r="I186" s="2064">
        <f t="shared" si="55"/>
        <v>3</v>
      </c>
      <c r="J186" s="2064">
        <f t="shared" si="55"/>
        <v>1</v>
      </c>
      <c r="K186" s="2064">
        <f t="shared" si="55"/>
        <v>5.5</v>
      </c>
      <c r="L186" s="2064">
        <f t="shared" si="55"/>
        <v>113.5</v>
      </c>
      <c r="M186" s="2064">
        <f t="shared" si="55"/>
        <v>0</v>
      </c>
      <c r="N186" s="2064">
        <f t="shared" si="55"/>
        <v>0</v>
      </c>
      <c r="O186" s="2064">
        <f t="shared" si="55"/>
        <v>0</v>
      </c>
      <c r="P186" s="2064">
        <f t="shared" si="55"/>
        <v>0</v>
      </c>
      <c r="Q186" s="2064">
        <f t="shared" si="55"/>
        <v>0</v>
      </c>
      <c r="R186" s="2064">
        <f t="shared" si="55"/>
        <v>0</v>
      </c>
      <c r="S186" s="2064">
        <f t="shared" si="44"/>
        <v>123</v>
      </c>
      <c r="T186" s="2169"/>
      <c r="U186" s="2178">
        <f>+S186-T186+S206</f>
        <v>8711.0350000000017</v>
      </c>
      <c r="V186" s="1854"/>
    </row>
    <row r="187" spans="1:26" s="1866" customFormat="1" ht="26.25">
      <c r="A187" s="1889"/>
      <c r="B187" s="1908" t="s">
        <v>3061</v>
      </c>
      <c r="C187" s="2032" t="str">
        <f>'Receitas (mensais)'!D248</f>
        <v>Publicaçoes e impressos</v>
      </c>
      <c r="D187" s="1911"/>
      <c r="E187" s="1984"/>
      <c r="F187" s="2072">
        <f>+SUM(F188:F199)</f>
        <v>2000</v>
      </c>
      <c r="G187" s="1984">
        <f>+SUM(G188:G199)</f>
        <v>0</v>
      </c>
      <c r="H187" s="1984">
        <f t="shared" ref="H187:R187" si="56">+SUM(H188:H199)</f>
        <v>0</v>
      </c>
      <c r="I187" s="1984">
        <f t="shared" si="56"/>
        <v>3</v>
      </c>
      <c r="J187" s="1984">
        <f t="shared" si="56"/>
        <v>1</v>
      </c>
      <c r="K187" s="1984">
        <f t="shared" si="56"/>
        <v>5.5</v>
      </c>
      <c r="L187" s="1984">
        <f t="shared" si="56"/>
        <v>113.5</v>
      </c>
      <c r="M187" s="1984">
        <f t="shared" si="56"/>
        <v>0</v>
      </c>
      <c r="N187" s="1984">
        <f t="shared" si="56"/>
        <v>0</v>
      </c>
      <c r="O187" s="1984">
        <f t="shared" si="56"/>
        <v>0</v>
      </c>
      <c r="P187" s="1984">
        <f t="shared" si="56"/>
        <v>0</v>
      </c>
      <c r="Q187" s="1984">
        <f t="shared" si="56"/>
        <v>0</v>
      </c>
      <c r="R187" s="1984">
        <f t="shared" si="56"/>
        <v>0</v>
      </c>
      <c r="S187" s="1980">
        <f t="shared" si="44"/>
        <v>123</v>
      </c>
      <c r="T187" s="2169"/>
      <c r="U187" s="2178">
        <f t="shared" si="42"/>
        <v>123</v>
      </c>
      <c r="V187" s="1854"/>
      <c r="W187" s="2003"/>
      <c r="Y187" s="2008"/>
    </row>
    <row r="188" spans="1:26" s="1866" customFormat="1" ht="26.25">
      <c r="A188" s="1889"/>
      <c r="B188" s="1908" t="s">
        <v>3068</v>
      </c>
      <c r="C188" s="2032" t="str">
        <f>'Receitas (mensais)'!D249</f>
        <v xml:space="preserve">           Serviços da Cultura</v>
      </c>
      <c r="D188" s="1911"/>
      <c r="E188" s="1984"/>
      <c r="F188" s="2072"/>
      <c r="G188" s="1984">
        <f>+'Receitas (mensais)'!E249</f>
        <v>0</v>
      </c>
      <c r="H188" s="1984">
        <f>+'Receitas (mensais)'!F249</f>
        <v>0</v>
      </c>
      <c r="I188" s="1984">
        <f>+'Receitas (mensais)'!G249</f>
        <v>0</v>
      </c>
      <c r="J188" s="1984">
        <f>+'Receitas (mensais)'!H249</f>
        <v>0</v>
      </c>
      <c r="K188" s="1984">
        <f>+'Receitas (mensais)'!I249</f>
        <v>0</v>
      </c>
      <c r="L188" s="1984">
        <f>+'Receitas (mensais)'!J249</f>
        <v>0</v>
      </c>
      <c r="M188" s="1984">
        <f>+'Receitas (mensais)'!K249</f>
        <v>0</v>
      </c>
      <c r="N188" s="1984">
        <f>+'Receitas (mensais)'!L249</f>
        <v>0</v>
      </c>
      <c r="O188" s="1984">
        <f>+'Receitas (mensais)'!M249</f>
        <v>0</v>
      </c>
      <c r="P188" s="1984">
        <f>+'Receitas (mensais)'!N249</f>
        <v>0</v>
      </c>
      <c r="Q188" s="1984">
        <f>+'Receitas (mensais)'!O249</f>
        <v>0</v>
      </c>
      <c r="R188" s="1984">
        <f>+'Receitas (mensais)'!P249</f>
        <v>0</v>
      </c>
      <c r="S188" s="1980">
        <f t="shared" si="44"/>
        <v>0</v>
      </c>
      <c r="T188" s="2169"/>
      <c r="U188" s="2178">
        <f t="shared" si="42"/>
        <v>0</v>
      </c>
      <c r="V188" s="1854"/>
      <c r="W188" s="2003"/>
      <c r="Y188" s="2008"/>
    </row>
    <row r="189" spans="1:26" s="1866" customFormat="1" ht="26.25">
      <c r="A189" s="1889"/>
      <c r="B189" s="1908" t="s">
        <v>3069</v>
      </c>
      <c r="C189" s="2032" t="str">
        <f>'Receitas (mensais)'!D250</f>
        <v xml:space="preserve">           Serviços Militares</v>
      </c>
      <c r="D189" s="1911"/>
      <c r="E189" s="1984"/>
      <c r="F189" s="2072"/>
      <c r="G189" s="1984">
        <f>+'Receitas (mensais)'!E250</f>
        <v>0</v>
      </c>
      <c r="H189" s="1984">
        <f>+'Receitas (mensais)'!F250</f>
        <v>0</v>
      </c>
      <c r="I189" s="1984">
        <f>+'Receitas (mensais)'!G250</f>
        <v>0</v>
      </c>
      <c r="J189" s="1984">
        <f>+'Receitas (mensais)'!H250</f>
        <v>0</v>
      </c>
      <c r="K189" s="1984">
        <f>+'Receitas (mensais)'!I250</f>
        <v>0</v>
      </c>
      <c r="L189" s="1984">
        <f>+'Receitas (mensais)'!J250</f>
        <v>0</v>
      </c>
      <c r="M189" s="1984">
        <f>+'Receitas (mensais)'!K250</f>
        <v>0</v>
      </c>
      <c r="N189" s="1984">
        <f>+'Receitas (mensais)'!L250</f>
        <v>0</v>
      </c>
      <c r="O189" s="1984">
        <f>+'Receitas (mensais)'!M250</f>
        <v>0</v>
      </c>
      <c r="P189" s="1984">
        <f>+'Receitas (mensais)'!N250</f>
        <v>0</v>
      </c>
      <c r="Q189" s="1984">
        <f>+'Receitas (mensais)'!O250</f>
        <v>0</v>
      </c>
      <c r="R189" s="1984">
        <f>+'Receitas (mensais)'!P250</f>
        <v>0</v>
      </c>
      <c r="S189" s="1980">
        <f t="shared" si="44"/>
        <v>0</v>
      </c>
      <c r="T189" s="2169"/>
      <c r="U189" s="2178">
        <f t="shared" si="42"/>
        <v>0</v>
      </c>
      <c r="V189" s="1854"/>
      <c r="W189" s="2003"/>
      <c r="Y189" s="2008"/>
    </row>
    <row r="190" spans="1:26" s="1866" customFormat="1" ht="26.25">
      <c r="A190" s="1889"/>
      <c r="B190" s="1908" t="s">
        <v>3070</v>
      </c>
      <c r="C190" s="2032" t="str">
        <f>'Receitas (mensais)'!D251</f>
        <v xml:space="preserve">           Serviços da Agricultura e Pecuaria</v>
      </c>
      <c r="D190" s="1911"/>
      <c r="E190" s="1984"/>
      <c r="F190" s="2072"/>
      <c r="G190" s="1984">
        <f>+'Receitas (mensais)'!E251</f>
        <v>0</v>
      </c>
      <c r="H190" s="1984">
        <f>+'Receitas (mensais)'!F251</f>
        <v>0</v>
      </c>
      <c r="I190" s="1984">
        <f>+'Receitas (mensais)'!G251</f>
        <v>0</v>
      </c>
      <c r="J190" s="1984">
        <f>+'Receitas (mensais)'!H251</f>
        <v>0</v>
      </c>
      <c r="K190" s="1984">
        <f>+'Receitas (mensais)'!I251</f>
        <v>0</v>
      </c>
      <c r="L190" s="1984">
        <f>+'Receitas (mensais)'!J251</f>
        <v>0</v>
      </c>
      <c r="M190" s="1984">
        <f>+'Receitas (mensais)'!K251</f>
        <v>0</v>
      </c>
      <c r="N190" s="1984">
        <f>+'Receitas (mensais)'!L251</f>
        <v>0</v>
      </c>
      <c r="O190" s="1984">
        <f>+'Receitas (mensais)'!M251</f>
        <v>0</v>
      </c>
      <c r="P190" s="1984">
        <f>+'Receitas (mensais)'!N251</f>
        <v>0</v>
      </c>
      <c r="Q190" s="1984">
        <f>+'Receitas (mensais)'!O251</f>
        <v>0</v>
      </c>
      <c r="R190" s="1984">
        <f>+'Receitas (mensais)'!P251</f>
        <v>0</v>
      </c>
      <c r="S190" s="1980">
        <f t="shared" si="44"/>
        <v>0</v>
      </c>
      <c r="T190" s="2169"/>
      <c r="U190" s="2178">
        <f t="shared" si="42"/>
        <v>0</v>
      </c>
      <c r="V190" s="1854"/>
      <c r="W190" s="2003"/>
      <c r="Y190" s="2008"/>
    </row>
    <row r="191" spans="1:26" s="1866" customFormat="1" ht="26.25">
      <c r="A191" s="1889"/>
      <c r="B191" s="1908" t="s">
        <v>3360</v>
      </c>
      <c r="C191" s="2032" t="str">
        <f>'Receitas (mensais)'!D252</f>
        <v xml:space="preserve">            Serviços Florestais/ madeira</v>
      </c>
      <c r="D191" s="1911"/>
      <c r="E191" s="1984"/>
      <c r="F191" s="2072"/>
      <c r="G191" s="1984">
        <f>+'Receitas (mensais)'!E252</f>
        <v>0</v>
      </c>
      <c r="H191" s="1984">
        <f>+'Receitas (mensais)'!F252</f>
        <v>0</v>
      </c>
      <c r="I191" s="1984">
        <f>+'Receitas (mensais)'!G252</f>
        <v>0</v>
      </c>
      <c r="J191" s="1984">
        <f>+'Receitas (mensais)'!H252</f>
        <v>0</v>
      </c>
      <c r="K191" s="1984">
        <f>+'Receitas (mensais)'!I252</f>
        <v>0</v>
      </c>
      <c r="L191" s="1984">
        <f>+'Receitas (mensais)'!J252</f>
        <v>100</v>
      </c>
      <c r="M191" s="1984">
        <f>+'Receitas (mensais)'!K252</f>
        <v>0</v>
      </c>
      <c r="N191" s="1984">
        <f>+'Receitas (mensais)'!L252</f>
        <v>0</v>
      </c>
      <c r="O191" s="1984">
        <f>+'Receitas (mensais)'!M252</f>
        <v>0</v>
      </c>
      <c r="P191" s="1984">
        <f>+'Receitas (mensais)'!N252</f>
        <v>0</v>
      </c>
      <c r="Q191" s="1984">
        <f>+'Receitas (mensais)'!O252</f>
        <v>0</v>
      </c>
      <c r="R191" s="1984">
        <f>+'Receitas (mensais)'!P252</f>
        <v>0</v>
      </c>
      <c r="S191" s="1980">
        <f t="shared" si="44"/>
        <v>100</v>
      </c>
      <c r="T191" s="2169"/>
      <c r="U191" s="2180">
        <f t="shared" si="42"/>
        <v>100</v>
      </c>
      <c r="V191" s="1854"/>
      <c r="W191" s="2003"/>
      <c r="Y191" s="2008"/>
    </row>
    <row r="192" spans="1:26" s="1866" customFormat="1" ht="26.25">
      <c r="A192" s="1889"/>
      <c r="B192" s="1908" t="s">
        <v>3361</v>
      </c>
      <c r="C192" s="2032" t="str">
        <f>'Receitas (mensais)'!D253</f>
        <v xml:space="preserve">            Serviços de Energia</v>
      </c>
      <c r="D192" s="1911"/>
      <c r="E192" s="1984"/>
      <c r="F192" s="2072"/>
      <c r="G192" s="1984">
        <f>+'Receitas (mensais)'!E253</f>
        <v>0</v>
      </c>
      <c r="H192" s="1984">
        <f>+'Receitas (mensais)'!F253</f>
        <v>0</v>
      </c>
      <c r="I192" s="1984">
        <f>+'Receitas (mensais)'!G253</f>
        <v>0</v>
      </c>
      <c r="J192" s="1984">
        <f>+'Receitas (mensais)'!H253</f>
        <v>0</v>
      </c>
      <c r="K192" s="1984">
        <f>+'Receitas (mensais)'!I253</f>
        <v>0</v>
      </c>
      <c r="L192" s="1984">
        <f>+'Receitas (mensais)'!J253</f>
        <v>0</v>
      </c>
      <c r="M192" s="1984">
        <f>+'Receitas (mensais)'!K253</f>
        <v>0</v>
      </c>
      <c r="N192" s="1984">
        <f>+'Receitas (mensais)'!L253</f>
        <v>0</v>
      </c>
      <c r="O192" s="1984">
        <f>+'Receitas (mensais)'!M253</f>
        <v>0</v>
      </c>
      <c r="P192" s="1984">
        <f>+'Receitas (mensais)'!N253</f>
        <v>0</v>
      </c>
      <c r="Q192" s="1984">
        <f>+'Receitas (mensais)'!O253</f>
        <v>0</v>
      </c>
      <c r="R192" s="1984">
        <f>+'Receitas (mensais)'!P253</f>
        <v>0</v>
      </c>
      <c r="S192" s="1980">
        <f t="shared" si="44"/>
        <v>0</v>
      </c>
      <c r="T192" s="2169"/>
      <c r="U192" s="2178">
        <f t="shared" si="42"/>
        <v>0</v>
      </c>
      <c r="V192" s="1854"/>
      <c r="W192" s="2003"/>
      <c r="Y192" s="2008"/>
    </row>
    <row r="193" spans="1:25" s="1866" customFormat="1" ht="26.25">
      <c r="A193" s="1889"/>
      <c r="B193" s="1908" t="s">
        <v>3362</v>
      </c>
      <c r="C193" s="2032" t="str">
        <f>'Receitas (mensais)'!D254</f>
        <v xml:space="preserve">            Serviços de Educaçao</v>
      </c>
      <c r="D193" s="1911"/>
      <c r="E193" s="1984"/>
      <c r="F193" s="2072"/>
      <c r="G193" s="1984">
        <f>+'Receitas (mensais)'!E254</f>
        <v>0</v>
      </c>
      <c r="H193" s="1984">
        <f>+'Receitas (mensais)'!F254</f>
        <v>0</v>
      </c>
      <c r="I193" s="1984">
        <f>+'Receitas (mensais)'!G254</f>
        <v>0</v>
      </c>
      <c r="J193" s="1984">
        <f>+'Receitas (mensais)'!H254</f>
        <v>0</v>
      </c>
      <c r="K193" s="1984">
        <f>+'Receitas (mensais)'!I254</f>
        <v>0</v>
      </c>
      <c r="L193" s="1984">
        <f>+'Receitas (mensais)'!J254</f>
        <v>0</v>
      </c>
      <c r="M193" s="1984">
        <f>+'Receitas (mensais)'!K254</f>
        <v>0</v>
      </c>
      <c r="N193" s="1984">
        <f>+'Receitas (mensais)'!L254</f>
        <v>0</v>
      </c>
      <c r="O193" s="1984">
        <f>+'Receitas (mensais)'!M254</f>
        <v>0</v>
      </c>
      <c r="P193" s="1984">
        <f>+'Receitas (mensais)'!N254</f>
        <v>0</v>
      </c>
      <c r="Q193" s="1984">
        <f>+'Receitas (mensais)'!O254</f>
        <v>0</v>
      </c>
      <c r="R193" s="1984">
        <f>+'Receitas (mensais)'!P254</f>
        <v>0</v>
      </c>
      <c r="S193" s="1980">
        <f t="shared" si="44"/>
        <v>0</v>
      </c>
      <c r="T193" s="2169"/>
      <c r="U193" s="2178">
        <f t="shared" si="42"/>
        <v>0</v>
      </c>
      <c r="V193" s="1854"/>
      <c r="W193" s="2003"/>
      <c r="Y193" s="2008"/>
    </row>
    <row r="194" spans="1:25" s="1866" customFormat="1" ht="26.25">
      <c r="A194" s="1889"/>
      <c r="B194" s="1908" t="s">
        <v>3363</v>
      </c>
      <c r="C194" s="2032" t="str">
        <f>'Receitas (mensais)'!D255</f>
        <v xml:space="preserve">             Serviços de Protecçao Vegetal</v>
      </c>
      <c r="D194" s="1911"/>
      <c r="E194" s="1984"/>
      <c r="F194" s="2072"/>
      <c r="G194" s="1984">
        <f>+'Receitas (mensais)'!E255</f>
        <v>0</v>
      </c>
      <c r="H194" s="1984">
        <f>+'Receitas (mensais)'!F255</f>
        <v>0</v>
      </c>
      <c r="I194" s="1984">
        <f>+'Receitas (mensais)'!G255</f>
        <v>0</v>
      </c>
      <c r="J194" s="1984">
        <f>+'Receitas (mensais)'!H255</f>
        <v>0</v>
      </c>
      <c r="K194" s="1984">
        <f>+'Receitas (mensais)'!I255</f>
        <v>0</v>
      </c>
      <c r="L194" s="1984">
        <f>+'Receitas (mensais)'!J255</f>
        <v>0</v>
      </c>
      <c r="M194" s="1984">
        <f>+'Receitas (mensais)'!K255</f>
        <v>0</v>
      </c>
      <c r="N194" s="1984">
        <f>+'Receitas (mensais)'!L255</f>
        <v>0</v>
      </c>
      <c r="O194" s="1984">
        <f>+'Receitas (mensais)'!M255</f>
        <v>0</v>
      </c>
      <c r="P194" s="1984">
        <f>+'Receitas (mensais)'!N255</f>
        <v>0</v>
      </c>
      <c r="Q194" s="1984">
        <f>+'Receitas (mensais)'!O255</f>
        <v>0</v>
      </c>
      <c r="R194" s="1984">
        <f>+'Receitas (mensais)'!P255</f>
        <v>0</v>
      </c>
      <c r="S194" s="1980">
        <f t="shared" si="44"/>
        <v>0</v>
      </c>
      <c r="T194" s="2169"/>
      <c r="U194" s="2178">
        <f t="shared" si="42"/>
        <v>0</v>
      </c>
      <c r="V194" s="1854"/>
      <c r="W194" s="2003"/>
      <c r="Y194" s="2008"/>
    </row>
    <row r="195" spans="1:25" s="1866" customFormat="1" ht="26.25">
      <c r="A195" s="1889"/>
      <c r="B195" s="1908" t="s">
        <v>3364</v>
      </c>
      <c r="C195" s="2032" t="str">
        <f>'Receitas (mensais)'!D256</f>
        <v xml:space="preserve">            Serviços de Recursos Naturais</v>
      </c>
      <c r="D195" s="1911"/>
      <c r="E195" s="1984"/>
      <c r="F195" s="2072"/>
      <c r="G195" s="1984">
        <f>+'Receitas (mensais)'!E256</f>
        <v>0</v>
      </c>
      <c r="H195" s="1984">
        <f>+'Receitas (mensais)'!F256</f>
        <v>0</v>
      </c>
      <c r="I195" s="1984">
        <f>+'Receitas (mensais)'!G256</f>
        <v>0</v>
      </c>
      <c r="J195" s="1984">
        <f>+'Receitas (mensais)'!H256</f>
        <v>0</v>
      </c>
      <c r="K195" s="1984">
        <f>+'Receitas (mensais)'!I256</f>
        <v>0</v>
      </c>
      <c r="L195" s="1984">
        <f>+'Receitas (mensais)'!J256</f>
        <v>0</v>
      </c>
      <c r="M195" s="1984">
        <f>+'Receitas (mensais)'!K256</f>
        <v>0</v>
      </c>
      <c r="N195" s="1984">
        <f>+'Receitas (mensais)'!L256</f>
        <v>0</v>
      </c>
      <c r="O195" s="1984">
        <f>+'Receitas (mensais)'!M256</f>
        <v>0</v>
      </c>
      <c r="P195" s="1984">
        <f>+'Receitas (mensais)'!N256</f>
        <v>0</v>
      </c>
      <c r="Q195" s="1984">
        <f>+'Receitas (mensais)'!O256</f>
        <v>0</v>
      </c>
      <c r="R195" s="1984">
        <f>+'Receitas (mensais)'!P256</f>
        <v>0</v>
      </c>
      <c r="S195" s="1980">
        <f t="shared" si="44"/>
        <v>0</v>
      </c>
      <c r="T195" s="2169"/>
      <c r="U195" s="2178">
        <f t="shared" si="42"/>
        <v>0</v>
      </c>
      <c r="V195" s="1854"/>
      <c r="W195" s="2003"/>
      <c r="Y195" s="2008"/>
    </row>
    <row r="196" spans="1:25" s="1866" customFormat="1" ht="26.25">
      <c r="A196" s="1889"/>
      <c r="B196" s="1908" t="s">
        <v>3365</v>
      </c>
      <c r="C196" s="2032" t="str">
        <f>'Receitas (mensais)'!D257</f>
        <v xml:space="preserve">            Publ.Impr.-Estatisticas</v>
      </c>
      <c r="D196" s="1911"/>
      <c r="E196" s="1984"/>
      <c r="F196" s="2072"/>
      <c r="G196" s="1984">
        <f>+'Receitas (mensais)'!E257</f>
        <v>0</v>
      </c>
      <c r="H196" s="1984">
        <f>+'Receitas (mensais)'!F257</f>
        <v>0</v>
      </c>
      <c r="I196" s="1984">
        <f>+'Receitas (mensais)'!G257</f>
        <v>0</v>
      </c>
      <c r="J196" s="1984">
        <f>+'Receitas (mensais)'!H257</f>
        <v>0</v>
      </c>
      <c r="K196" s="1984">
        <f>+'Receitas (mensais)'!I257</f>
        <v>0</v>
      </c>
      <c r="L196" s="1984">
        <f>+'Receitas (mensais)'!J257</f>
        <v>0</v>
      </c>
      <c r="M196" s="1984">
        <f>+'Receitas (mensais)'!K257</f>
        <v>0</v>
      </c>
      <c r="N196" s="1984">
        <f>+'Receitas (mensais)'!L257</f>
        <v>0</v>
      </c>
      <c r="O196" s="1984">
        <f>+'Receitas (mensais)'!M257</f>
        <v>0</v>
      </c>
      <c r="P196" s="1984">
        <f>+'Receitas (mensais)'!N257</f>
        <v>0</v>
      </c>
      <c r="Q196" s="1984">
        <f>+'Receitas (mensais)'!O257</f>
        <v>0</v>
      </c>
      <c r="R196" s="1984">
        <f>+'Receitas (mensais)'!P257</f>
        <v>0</v>
      </c>
      <c r="S196" s="1980">
        <f t="shared" si="44"/>
        <v>0</v>
      </c>
      <c r="T196" s="2169"/>
      <c r="U196" s="2178">
        <f t="shared" si="42"/>
        <v>0</v>
      </c>
      <c r="V196" s="1854"/>
      <c r="W196" s="2003"/>
      <c r="Y196" s="2008"/>
    </row>
    <row r="197" spans="1:25" s="1866" customFormat="1" ht="26.25">
      <c r="A197" s="1889"/>
      <c r="B197" s="1908" t="s">
        <v>3366</v>
      </c>
      <c r="C197" s="2201" t="str">
        <f>'Receitas (mensais)'!D258</f>
        <v xml:space="preserve">            Publ.Impr. - Serv Aduan.</v>
      </c>
      <c r="D197" s="1911"/>
      <c r="E197" s="1984"/>
      <c r="F197" s="2072">
        <v>2000</v>
      </c>
      <c r="G197" s="1984">
        <f>+'Receitas (mensais)'!E258</f>
        <v>0</v>
      </c>
      <c r="H197" s="1984">
        <f>+'Receitas (mensais)'!F258</f>
        <v>0</v>
      </c>
      <c r="I197" s="1984">
        <f>+'Receitas (mensais)'!G258</f>
        <v>3</v>
      </c>
      <c r="J197" s="1984">
        <f>+'Receitas (mensais)'!H258</f>
        <v>1</v>
      </c>
      <c r="K197" s="1984">
        <f>+'Receitas (mensais)'!I258</f>
        <v>5.5</v>
      </c>
      <c r="L197" s="1984">
        <f>+'Receitas (mensais)'!J258</f>
        <v>13.5</v>
      </c>
      <c r="M197" s="1984">
        <f>+'Receitas (mensais)'!K258</f>
        <v>0</v>
      </c>
      <c r="N197" s="1984">
        <f>+'Receitas (mensais)'!L258</f>
        <v>0</v>
      </c>
      <c r="O197" s="1984">
        <f>+'Receitas (mensais)'!M258</f>
        <v>0</v>
      </c>
      <c r="P197" s="1984">
        <f>+'Receitas (mensais)'!N258</f>
        <v>0</v>
      </c>
      <c r="Q197" s="1984">
        <f>+'Receitas (mensais)'!O258</f>
        <v>0</v>
      </c>
      <c r="R197" s="1984">
        <f>+'Receitas (mensais)'!P258</f>
        <v>0</v>
      </c>
      <c r="S197" s="1980">
        <f t="shared" si="44"/>
        <v>23</v>
      </c>
      <c r="T197" s="2169"/>
      <c r="U197" s="2180">
        <f t="shared" si="42"/>
        <v>23</v>
      </c>
      <c r="V197" s="1854"/>
      <c r="W197" s="2003"/>
      <c r="Y197" s="2008"/>
    </row>
    <row r="198" spans="1:25" s="1866" customFormat="1" ht="26.25">
      <c r="A198" s="1889"/>
      <c r="B198" s="1908" t="s">
        <v>3367</v>
      </c>
      <c r="C198" s="2032" t="str">
        <f>'Receitas (mensais)'!D259</f>
        <v xml:space="preserve">            Publ.Impr.- Serv. diversos</v>
      </c>
      <c r="D198" s="1911"/>
      <c r="E198" s="1984"/>
      <c r="F198" s="2072"/>
      <c r="G198" s="1984">
        <f>+'Receitas (mensais)'!E259</f>
        <v>0</v>
      </c>
      <c r="H198" s="1984">
        <f>+'Receitas (mensais)'!F259</f>
        <v>0</v>
      </c>
      <c r="I198" s="1984">
        <f>+'Receitas (mensais)'!G259</f>
        <v>0</v>
      </c>
      <c r="J198" s="1984">
        <f>+'Receitas (mensais)'!H259</f>
        <v>0</v>
      </c>
      <c r="K198" s="1984">
        <f>+'Receitas (mensais)'!I259</f>
        <v>0</v>
      </c>
      <c r="L198" s="1984">
        <f>+'Receitas (mensais)'!J259</f>
        <v>0</v>
      </c>
      <c r="M198" s="1984">
        <f>+'Receitas (mensais)'!K259</f>
        <v>0</v>
      </c>
      <c r="N198" s="1984">
        <f>+'Receitas (mensais)'!L259</f>
        <v>0</v>
      </c>
      <c r="O198" s="1984">
        <f>+'Receitas (mensais)'!M259</f>
        <v>0</v>
      </c>
      <c r="P198" s="1984">
        <f>+'Receitas (mensais)'!N259</f>
        <v>0</v>
      </c>
      <c r="Q198" s="1984">
        <f>+'Receitas (mensais)'!O259</f>
        <v>0</v>
      </c>
      <c r="R198" s="1984">
        <f>+'Receitas (mensais)'!P259</f>
        <v>0</v>
      </c>
      <c r="S198" s="1980">
        <f t="shared" si="44"/>
        <v>0</v>
      </c>
      <c r="T198" s="2169"/>
      <c r="U198" s="2178">
        <f t="shared" si="42"/>
        <v>0</v>
      </c>
      <c r="V198" s="1854"/>
      <c r="W198" s="2003"/>
      <c r="Y198" s="2008"/>
    </row>
    <row r="199" spans="1:25" s="1866" customFormat="1" ht="26.25">
      <c r="A199" s="1889"/>
      <c r="B199" s="1908" t="s">
        <v>3368</v>
      </c>
      <c r="C199" s="2032" t="str">
        <f>'Receitas (mensais)'!D260</f>
        <v xml:space="preserve">            Serviços diversos</v>
      </c>
      <c r="D199" s="1911"/>
      <c r="E199" s="1984"/>
      <c r="F199" s="2072"/>
      <c r="G199" s="1984">
        <f>+'Receitas (mensais)'!E260</f>
        <v>0</v>
      </c>
      <c r="H199" s="1984">
        <f>+'Receitas (mensais)'!F260</f>
        <v>0</v>
      </c>
      <c r="I199" s="1984">
        <f>+'Receitas (mensais)'!G260</f>
        <v>0</v>
      </c>
      <c r="J199" s="1984">
        <f>+'Receitas (mensais)'!H260</f>
        <v>0</v>
      </c>
      <c r="K199" s="1984">
        <f>+'Receitas (mensais)'!I260</f>
        <v>0</v>
      </c>
      <c r="L199" s="1984">
        <f>+'Receitas (mensais)'!J260</f>
        <v>0</v>
      </c>
      <c r="M199" s="1984">
        <f>+'Receitas (mensais)'!K260</f>
        <v>0</v>
      </c>
      <c r="N199" s="1984">
        <f>+'Receitas (mensais)'!L260</f>
        <v>0</v>
      </c>
      <c r="O199" s="1984">
        <f>+'Receitas (mensais)'!M260</f>
        <v>0</v>
      </c>
      <c r="P199" s="1984">
        <f>+'Receitas (mensais)'!N260</f>
        <v>0</v>
      </c>
      <c r="Q199" s="1984">
        <f>+'Receitas (mensais)'!O260</f>
        <v>0</v>
      </c>
      <c r="R199" s="1984">
        <f>+'Receitas (mensais)'!P260</f>
        <v>0</v>
      </c>
      <c r="S199" s="1980">
        <f t="shared" si="44"/>
        <v>0</v>
      </c>
      <c r="T199" s="2169"/>
      <c r="U199" s="2178">
        <f t="shared" si="42"/>
        <v>0</v>
      </c>
      <c r="V199" s="1854"/>
      <c r="W199" s="2003"/>
      <c r="Y199" s="2008"/>
    </row>
    <row r="200" spans="1:25" s="1866" customFormat="1" ht="26.25">
      <c r="A200" s="1889"/>
      <c r="B200" s="1908" t="s">
        <v>3062</v>
      </c>
      <c r="C200" s="2032" t="str">
        <f>'Receitas (mensais)'!D261</f>
        <v>Serviços gerais</v>
      </c>
      <c r="D200" s="1911"/>
      <c r="E200" s="1984"/>
      <c r="F200" s="2072"/>
      <c r="G200" s="1984">
        <f>+'Receitas (mensais)'!E261</f>
        <v>0</v>
      </c>
      <c r="H200" s="1984">
        <f>+'Receitas (mensais)'!F261</f>
        <v>0</v>
      </c>
      <c r="I200" s="1984">
        <f>+'Receitas (mensais)'!G261</f>
        <v>0</v>
      </c>
      <c r="J200" s="1984">
        <f>+'Receitas (mensais)'!H261</f>
        <v>0</v>
      </c>
      <c r="K200" s="1984">
        <f>+'Receitas (mensais)'!I261</f>
        <v>0</v>
      </c>
      <c r="L200" s="1984">
        <f>+'Receitas (mensais)'!J261</f>
        <v>0</v>
      </c>
      <c r="M200" s="1984">
        <f>+'Receitas (mensais)'!K261</f>
        <v>0</v>
      </c>
      <c r="N200" s="1984">
        <f>+'Receitas (mensais)'!L261</f>
        <v>0</v>
      </c>
      <c r="O200" s="1984">
        <f>+'Receitas (mensais)'!M261</f>
        <v>0</v>
      </c>
      <c r="P200" s="1984">
        <f>+'Receitas (mensais)'!N261</f>
        <v>0</v>
      </c>
      <c r="Q200" s="1984">
        <f>+'Receitas (mensais)'!O261</f>
        <v>0</v>
      </c>
      <c r="R200" s="1984">
        <f>+'Receitas (mensais)'!P261</f>
        <v>0</v>
      </c>
      <c r="S200" s="1980">
        <f t="shared" si="44"/>
        <v>0</v>
      </c>
      <c r="T200" s="2169"/>
      <c r="U200" s="2178">
        <f t="shared" si="42"/>
        <v>0</v>
      </c>
      <c r="V200" s="1854"/>
      <c r="W200" s="2003"/>
      <c r="Y200" s="2008"/>
    </row>
    <row r="201" spans="1:25" s="2036" customFormat="1" ht="26.25">
      <c r="B201" s="2063" t="s">
        <v>3369</v>
      </c>
      <c r="C201" s="2036" t="str">
        <f>+'Receitas (mensais)'!D263</f>
        <v>Serviços</v>
      </c>
      <c r="F201" s="2074">
        <f>+F202+F208</f>
        <v>3323482.037</v>
      </c>
      <c r="G201" s="2038">
        <f>+G202+G208</f>
        <v>139456.443</v>
      </c>
      <c r="H201" s="2038">
        <f t="shared" ref="H201:R201" si="57">+H202+H208</f>
        <v>160646.41100000002</v>
      </c>
      <c r="I201" s="2038">
        <f t="shared" si="57"/>
        <v>188229.32800000001</v>
      </c>
      <c r="J201" s="2038">
        <f t="shared" si="57"/>
        <v>120259.965</v>
      </c>
      <c r="K201" s="2038">
        <f t="shared" si="57"/>
        <v>340851.03</v>
      </c>
      <c r="L201" s="2038">
        <f t="shared" si="57"/>
        <v>603049.04</v>
      </c>
      <c r="M201" s="2038">
        <f t="shared" si="57"/>
        <v>496498.39899999998</v>
      </c>
      <c r="N201" s="2038">
        <f t="shared" si="57"/>
        <v>288771.31300000002</v>
      </c>
      <c r="O201" s="2038">
        <f t="shared" si="57"/>
        <v>224603.21600000001</v>
      </c>
      <c r="P201" s="2038">
        <f t="shared" si="57"/>
        <v>173659.01700000002</v>
      </c>
      <c r="Q201" s="2038">
        <f t="shared" si="57"/>
        <v>109055.25199999999</v>
      </c>
      <c r="R201" s="2038">
        <f t="shared" si="57"/>
        <v>152358.10499999998</v>
      </c>
      <c r="S201" s="1980">
        <f t="shared" si="44"/>
        <v>2997437.5189999999</v>
      </c>
      <c r="T201" s="2169"/>
      <c r="U201" s="2178">
        <f t="shared" ref="U201:U264" si="58">+S201-T201</f>
        <v>2997437.5189999999</v>
      </c>
    </row>
    <row r="202" spans="1:25" s="1866" customFormat="1" ht="26.25">
      <c r="A202" s="1889"/>
      <c r="B202" s="1908" t="s">
        <v>3370</v>
      </c>
      <c r="C202" s="2032" t="str">
        <f>+'Receitas (mensais)'!D264</f>
        <v>Administraçoes publicas</v>
      </c>
      <c r="D202" s="1911"/>
      <c r="E202" s="1984"/>
      <c r="F202" s="2072">
        <f>+SUM(F203:F207)</f>
        <v>3323482.037</v>
      </c>
      <c r="G202" s="1984">
        <f>+SUM(G203:G207)</f>
        <v>139456.443</v>
      </c>
      <c r="H202" s="1984">
        <f t="shared" ref="H202:R202" si="59">+SUM(H203:H207)</f>
        <v>160646.41100000002</v>
      </c>
      <c r="I202" s="1984">
        <f t="shared" si="59"/>
        <v>188229.32800000001</v>
      </c>
      <c r="J202" s="1984">
        <f t="shared" si="59"/>
        <v>120259.965</v>
      </c>
      <c r="K202" s="1984">
        <f t="shared" si="59"/>
        <v>340851.03</v>
      </c>
      <c r="L202" s="1984">
        <f t="shared" si="59"/>
        <v>603049.04</v>
      </c>
      <c r="M202" s="1984">
        <f t="shared" si="59"/>
        <v>496498.39899999998</v>
      </c>
      <c r="N202" s="1984">
        <f t="shared" si="59"/>
        <v>288771.31300000002</v>
      </c>
      <c r="O202" s="1984">
        <f t="shared" si="59"/>
        <v>224603.21600000001</v>
      </c>
      <c r="P202" s="1984">
        <f t="shared" si="59"/>
        <v>173659.01700000002</v>
      </c>
      <c r="Q202" s="1984">
        <f t="shared" si="59"/>
        <v>109055.25199999999</v>
      </c>
      <c r="R202" s="1984">
        <f t="shared" si="59"/>
        <v>152358.10499999998</v>
      </c>
      <c r="S202" s="1980">
        <f t="shared" si="44"/>
        <v>2997437.5189999999</v>
      </c>
      <c r="T202" s="2169"/>
      <c r="U202" s="2178">
        <f t="shared" si="58"/>
        <v>2997437.5189999999</v>
      </c>
      <c r="V202" s="1854"/>
      <c r="W202" s="2003"/>
      <c r="Y202" s="2008"/>
    </row>
    <row r="203" spans="1:25" s="1866" customFormat="1" ht="26.25">
      <c r="A203" s="1889"/>
      <c r="B203" s="1908" t="s">
        <v>3372</v>
      </c>
      <c r="C203" s="2032" t="str">
        <f>+'Receitas (mensais)'!D265</f>
        <v xml:space="preserve">            Emol Pess. Admin. Int.</v>
      </c>
      <c r="D203" s="1911"/>
      <c r="E203" s="1984"/>
      <c r="F203" s="2072"/>
      <c r="G203" s="1984">
        <f>+'Receitas (mensais)'!E265</f>
        <v>0</v>
      </c>
      <c r="H203" s="1984">
        <f>+'Receitas (mensais)'!F265</f>
        <v>0</v>
      </c>
      <c r="I203" s="1984">
        <f>+'Receitas (mensais)'!G265</f>
        <v>0</v>
      </c>
      <c r="J203" s="1984">
        <f>+'Receitas (mensais)'!H265</f>
        <v>0</v>
      </c>
      <c r="K203" s="1984">
        <f>+'Receitas (mensais)'!I265</f>
        <v>0</v>
      </c>
      <c r="L203" s="1984">
        <f>+'Receitas (mensais)'!J265</f>
        <v>0</v>
      </c>
      <c r="M203" s="1984">
        <f>+'Receitas (mensais)'!K265</f>
        <v>0</v>
      </c>
      <c r="N203" s="1984">
        <f>+'Receitas (mensais)'!L265</f>
        <v>0</v>
      </c>
      <c r="O203" s="1984">
        <f>+'Receitas (mensais)'!M265</f>
        <v>0</v>
      </c>
      <c r="P203" s="1984">
        <f>+'Receitas (mensais)'!N265</f>
        <v>0</v>
      </c>
      <c r="Q203" s="1984">
        <f>+'Receitas (mensais)'!O265</f>
        <v>0</v>
      </c>
      <c r="R203" s="1984">
        <f>+'Receitas (mensais)'!P265</f>
        <v>0</v>
      </c>
      <c r="S203" s="1980">
        <f t="shared" si="44"/>
        <v>0</v>
      </c>
      <c r="T203" s="2169"/>
      <c r="U203" s="2178">
        <f t="shared" si="58"/>
        <v>0</v>
      </c>
      <c r="V203" s="1854"/>
      <c r="W203" s="2003"/>
      <c r="Y203" s="2008"/>
    </row>
    <row r="204" spans="1:25" s="1866" customFormat="1" ht="26.25">
      <c r="A204" s="1889"/>
      <c r="B204" s="1908" t="s">
        <v>3373</v>
      </c>
      <c r="C204" s="2201" t="str">
        <f>+'Receitas (mensais)'!D266</f>
        <v xml:space="preserve">            Emol Pess. Aduaneiro</v>
      </c>
      <c r="D204" s="1911"/>
      <c r="E204" s="1984"/>
      <c r="F204" s="2072">
        <v>895018.06499999994</v>
      </c>
      <c r="G204" s="1984">
        <f>+'Receitas (mensais)'!E266</f>
        <v>31423.424999999999</v>
      </c>
      <c r="H204" s="1984">
        <f>+'Receitas (mensais)'!F266</f>
        <v>37130.091999999997</v>
      </c>
      <c r="I204" s="1984">
        <f>+'Receitas (mensais)'!G266</f>
        <v>43108.432000000001</v>
      </c>
      <c r="J204" s="1984">
        <f>+'Receitas (mensais)'!H266</f>
        <v>27926.261999999999</v>
      </c>
      <c r="K204" s="1984">
        <f>+'Receitas (mensais)'!I266</f>
        <v>90608.092000000004</v>
      </c>
      <c r="L204" s="1984">
        <f>+'Receitas (mensais)'!J266</f>
        <v>181431.93700000001</v>
      </c>
      <c r="M204" s="1984">
        <f>+'Receitas (mensais)'!K266</f>
        <v>147390.804</v>
      </c>
      <c r="N204" s="1984">
        <f>+'Receitas (mensais)'!L266</f>
        <v>81221.873999999996</v>
      </c>
      <c r="O204" s="1984">
        <f>+'Receitas (mensais)'!M266</f>
        <v>56465.131000000001</v>
      </c>
      <c r="P204" s="1984">
        <f>+'Receitas (mensais)'!N266</f>
        <v>41375.849000000002</v>
      </c>
      <c r="Q204" s="1984">
        <f>+'Receitas (mensais)'!O266</f>
        <v>25270.702000000001</v>
      </c>
      <c r="R204" s="1984">
        <f>+'Receitas (mensais)'!P266</f>
        <v>35808.629999999997</v>
      </c>
      <c r="S204" s="1980">
        <f t="shared" si="44"/>
        <v>799161.2300000001</v>
      </c>
      <c r="T204" s="2169"/>
      <c r="U204" s="2178">
        <f t="shared" si="58"/>
        <v>799161.2300000001</v>
      </c>
      <c r="V204" s="1854"/>
      <c r="W204" s="2003"/>
      <c r="Y204" s="2008"/>
    </row>
    <row r="205" spans="1:25" s="1866" customFormat="1" ht="26.25">
      <c r="A205" s="1889"/>
      <c r="B205" s="1908" t="s">
        <v>3374</v>
      </c>
      <c r="C205" s="2032" t="str">
        <f>+'Receitas (mensais)'!D267</f>
        <v xml:space="preserve">            Emol Pess. Admin Financ.</v>
      </c>
      <c r="D205" s="1911"/>
      <c r="E205" s="1984"/>
      <c r="F205" s="2072"/>
      <c r="G205" s="1984">
        <f>+'Receitas (mensais)'!E267</f>
        <v>0</v>
      </c>
      <c r="H205" s="1984">
        <f>+'Receitas (mensais)'!F267</f>
        <v>0</v>
      </c>
      <c r="I205" s="1984">
        <f>+'Receitas (mensais)'!G267</f>
        <v>0</v>
      </c>
      <c r="J205" s="1984">
        <f>+'Receitas (mensais)'!H267</f>
        <v>0</v>
      </c>
      <c r="K205" s="1984">
        <f>+'Receitas (mensais)'!I267</f>
        <v>0</v>
      </c>
      <c r="L205" s="1984">
        <f>+'Receitas (mensais)'!J267</f>
        <v>0</v>
      </c>
      <c r="M205" s="1984">
        <f>+'Receitas (mensais)'!K267</f>
        <v>0</v>
      </c>
      <c r="N205" s="1984">
        <f>+'Receitas (mensais)'!L267</f>
        <v>0</v>
      </c>
      <c r="O205" s="1984">
        <f>+'Receitas (mensais)'!M267</f>
        <v>0</v>
      </c>
      <c r="P205" s="1984">
        <f>+'Receitas (mensais)'!N267</f>
        <v>0</v>
      </c>
      <c r="Q205" s="1984">
        <f>+'Receitas (mensais)'!O267</f>
        <v>0</v>
      </c>
      <c r="R205" s="1984">
        <f>+'Receitas (mensais)'!P267</f>
        <v>0</v>
      </c>
      <c r="S205" s="1980">
        <f t="shared" si="44"/>
        <v>0</v>
      </c>
      <c r="T205" s="2169"/>
      <c r="U205" s="2178">
        <f t="shared" si="58"/>
        <v>0</v>
      </c>
      <c r="V205" s="1854"/>
      <c r="W205" s="2003"/>
      <c r="Y205" s="2008"/>
    </row>
    <row r="206" spans="1:25" s="1866" customFormat="1" ht="26.25">
      <c r="A206" s="1889"/>
      <c r="B206" s="1908" t="s">
        <v>3375</v>
      </c>
      <c r="C206" s="2201" t="str">
        <f>+'Receitas (mensais)'!D268</f>
        <v xml:space="preserve">            Particip em multas</v>
      </c>
      <c r="D206" s="1911"/>
      <c r="E206" s="1984"/>
      <c r="F206" s="2072"/>
      <c r="G206" s="1984">
        <f>+'Receitas (mensais)'!E268</f>
        <v>1961.249</v>
      </c>
      <c r="H206" s="1984">
        <f>+'Receitas (mensais)'!F268</f>
        <v>847.89300000000003</v>
      </c>
      <c r="I206" s="1984">
        <f>+'Receitas (mensais)'!G268</f>
        <v>142.75</v>
      </c>
      <c r="J206" s="1984">
        <f>+'Receitas (mensais)'!H268</f>
        <v>93.75</v>
      </c>
      <c r="K206" s="1984">
        <f>+'Receitas (mensais)'!I268</f>
        <v>462</v>
      </c>
      <c r="L206" s="1984">
        <f>+'Receitas (mensais)'!J268</f>
        <v>413.73899999999998</v>
      </c>
      <c r="M206" s="1984">
        <f>+'Receitas (mensais)'!K268</f>
        <v>976.072</v>
      </c>
      <c r="N206" s="1984">
        <f>+'Receitas (mensais)'!L268</f>
        <v>993.75</v>
      </c>
      <c r="O206" s="1984">
        <f>+'Receitas (mensais)'!M268</f>
        <v>1200.1400000000001</v>
      </c>
      <c r="P206" s="1984">
        <f>+'Receitas (mensais)'!N268</f>
        <v>1178.1769999999999</v>
      </c>
      <c r="Q206" s="1984">
        <f>+'Receitas (mensais)'!O268</f>
        <v>122.495</v>
      </c>
      <c r="R206" s="1984">
        <f>+'Receitas (mensais)'!P268</f>
        <v>196.02</v>
      </c>
      <c r="S206" s="1980">
        <f t="shared" si="44"/>
        <v>8588.0350000000017</v>
      </c>
      <c r="T206" s="2169"/>
      <c r="U206" s="2180">
        <f t="shared" si="58"/>
        <v>8588.0350000000017</v>
      </c>
      <c r="V206" s="1854"/>
      <c r="W206" s="2003"/>
      <c r="Y206" s="2008"/>
    </row>
    <row r="207" spans="1:25" s="1866" customFormat="1" ht="26.25">
      <c r="A207" s="1889"/>
      <c r="B207" s="1908" t="s">
        <v>3376</v>
      </c>
      <c r="C207" s="2201" t="str">
        <f>+'Receitas (mensais)'!D269</f>
        <v xml:space="preserve">            Desloc., Aj. custo, Transp</v>
      </c>
      <c r="D207" s="1911"/>
      <c r="E207" s="1984"/>
      <c r="F207" s="2072">
        <v>2428463.9720000001</v>
      </c>
      <c r="G207" s="1984">
        <f>+'Receitas (mensais)'!E269</f>
        <v>106071.769</v>
      </c>
      <c r="H207" s="1984">
        <f>+'Receitas (mensais)'!F269</f>
        <v>122668.42600000001</v>
      </c>
      <c r="I207" s="1984">
        <f>+'Receitas (mensais)'!G269</f>
        <v>144978.14600000001</v>
      </c>
      <c r="J207" s="1984">
        <f>+'Receitas (mensais)'!H269</f>
        <v>92239.952999999994</v>
      </c>
      <c r="K207" s="1984">
        <f>+'Receitas (mensais)'!I269</f>
        <v>249780.93799999999</v>
      </c>
      <c r="L207" s="1984">
        <f>+'Receitas (mensais)'!J269</f>
        <v>421203.364</v>
      </c>
      <c r="M207" s="1984">
        <f>+'Receitas (mensais)'!K269</f>
        <v>348131.52299999999</v>
      </c>
      <c r="N207" s="1984">
        <f>+'Receitas (mensais)'!L269</f>
        <v>206555.68900000001</v>
      </c>
      <c r="O207" s="1984">
        <f>+'Receitas (mensais)'!M269</f>
        <v>166937.94500000001</v>
      </c>
      <c r="P207" s="1984">
        <f>+'Receitas (mensais)'!N269</f>
        <v>131104.99100000001</v>
      </c>
      <c r="Q207" s="1984">
        <f>+'Receitas (mensais)'!O269</f>
        <v>83662.054999999993</v>
      </c>
      <c r="R207" s="1984">
        <f>+'Receitas (mensais)'!P269</f>
        <v>116353.455</v>
      </c>
      <c r="S207" s="1980">
        <f t="shared" si="44"/>
        <v>2189688.2539999997</v>
      </c>
      <c r="T207" s="2169"/>
      <c r="U207" s="2178">
        <f t="shared" si="58"/>
        <v>2189688.2539999997</v>
      </c>
      <c r="V207" s="1854"/>
      <c r="W207" s="2003"/>
      <c r="Y207" s="2008"/>
    </row>
    <row r="208" spans="1:25" s="1866" customFormat="1" ht="26.25">
      <c r="A208" s="1889"/>
      <c r="B208" s="1908" t="s">
        <v>3371</v>
      </c>
      <c r="C208" s="2032" t="str">
        <f>+'Receitas (mensais)'!D270</f>
        <v>Outros sectores</v>
      </c>
      <c r="D208" s="1911"/>
      <c r="E208" s="1984"/>
      <c r="F208" s="2072">
        <f>+SUM(F209:F228)</f>
        <v>0</v>
      </c>
      <c r="G208" s="1984">
        <f>+SUM(G209:G228)</f>
        <v>0</v>
      </c>
      <c r="H208" s="1984">
        <f t="shared" ref="H208:T208" si="60">+SUM(H209:H228)</f>
        <v>0</v>
      </c>
      <c r="I208" s="1984">
        <f t="shared" si="60"/>
        <v>0</v>
      </c>
      <c r="J208" s="1984">
        <f t="shared" si="60"/>
        <v>0</v>
      </c>
      <c r="K208" s="1984">
        <f t="shared" si="60"/>
        <v>0</v>
      </c>
      <c r="L208" s="1984">
        <f t="shared" si="60"/>
        <v>0</v>
      </c>
      <c r="M208" s="1984">
        <f t="shared" si="60"/>
        <v>0</v>
      </c>
      <c r="N208" s="1984">
        <f t="shared" si="60"/>
        <v>0</v>
      </c>
      <c r="O208" s="1984">
        <f t="shared" si="60"/>
        <v>0</v>
      </c>
      <c r="P208" s="1984">
        <f t="shared" si="60"/>
        <v>0</v>
      </c>
      <c r="Q208" s="1984">
        <f t="shared" si="60"/>
        <v>0</v>
      </c>
      <c r="R208" s="1984">
        <f t="shared" si="60"/>
        <v>0</v>
      </c>
      <c r="S208" s="1980">
        <f t="shared" si="44"/>
        <v>0</v>
      </c>
      <c r="T208" s="2173">
        <f t="shared" si="60"/>
        <v>0</v>
      </c>
      <c r="U208" s="2178">
        <f t="shared" si="58"/>
        <v>0</v>
      </c>
      <c r="V208" s="1854"/>
      <c r="W208" s="2003"/>
      <c r="Y208" s="2008"/>
    </row>
    <row r="209" spans="1:25" s="1866" customFormat="1" ht="26.25">
      <c r="A209" s="1889"/>
      <c r="B209" s="1908" t="s">
        <v>3377</v>
      </c>
      <c r="C209" s="2032" t="str">
        <f>+'Receitas (mensais)'!D271</f>
        <v xml:space="preserve">           Emol Pess. Serv. Portuar</v>
      </c>
      <c r="D209" s="1911"/>
      <c r="E209" s="1984"/>
      <c r="F209" s="2072"/>
      <c r="G209" s="1984">
        <f>+'Receitas (mensais)'!E271</f>
        <v>0</v>
      </c>
      <c r="H209" s="1984">
        <f>+'Receitas (mensais)'!F271</f>
        <v>0</v>
      </c>
      <c r="I209" s="1984">
        <f>+'Receitas (mensais)'!G271</f>
        <v>0</v>
      </c>
      <c r="J209" s="1984">
        <f>+'Receitas (mensais)'!H271</f>
        <v>0</v>
      </c>
      <c r="K209" s="1984">
        <f>+'Receitas (mensais)'!I271</f>
        <v>0</v>
      </c>
      <c r="L209" s="1984">
        <f>+'Receitas (mensais)'!J271</f>
        <v>0</v>
      </c>
      <c r="M209" s="1984">
        <f>+'Receitas (mensais)'!K271</f>
        <v>0</v>
      </c>
      <c r="N209" s="1984">
        <f>+'Receitas (mensais)'!L271</f>
        <v>0</v>
      </c>
      <c r="O209" s="1984">
        <f>+'Receitas (mensais)'!M271</f>
        <v>0</v>
      </c>
      <c r="P209" s="1984">
        <f>+'Receitas (mensais)'!N271</f>
        <v>0</v>
      </c>
      <c r="Q209" s="1984">
        <f>+'Receitas (mensais)'!O271</f>
        <v>0</v>
      </c>
      <c r="R209" s="1984">
        <f>+'Receitas (mensais)'!P271</f>
        <v>0</v>
      </c>
      <c r="S209" s="1980">
        <f t="shared" si="44"/>
        <v>0</v>
      </c>
      <c r="T209" s="2169">
        <v>0</v>
      </c>
      <c r="U209" s="2178">
        <f t="shared" si="58"/>
        <v>0</v>
      </c>
      <c r="V209" s="1854"/>
      <c r="W209" s="2003"/>
      <c r="Y209" s="2008"/>
    </row>
    <row r="210" spans="1:25" s="1866" customFormat="1" ht="26.25">
      <c r="A210" s="1889"/>
      <c r="B210" s="1908" t="s">
        <v>3378</v>
      </c>
      <c r="C210" s="2032" t="str">
        <f>+'Receitas (mensais)'!D272</f>
        <v xml:space="preserve">           Transgress Regul Industr</v>
      </c>
      <c r="D210" s="1911"/>
      <c r="E210" s="1984"/>
      <c r="F210" s="2072"/>
      <c r="G210" s="1984">
        <f>+'Receitas (mensais)'!E272</f>
        <v>0</v>
      </c>
      <c r="H210" s="1984">
        <f>+'Receitas (mensais)'!F272</f>
        <v>0</v>
      </c>
      <c r="I210" s="1984">
        <f>+'Receitas (mensais)'!G272</f>
        <v>0</v>
      </c>
      <c r="J210" s="1984">
        <f>+'Receitas (mensais)'!H272</f>
        <v>0</v>
      </c>
      <c r="K210" s="1984">
        <f>+'Receitas (mensais)'!I272</f>
        <v>0</v>
      </c>
      <c r="L210" s="1984">
        <f>+'Receitas (mensais)'!J272</f>
        <v>0</v>
      </c>
      <c r="M210" s="1984">
        <f>+'Receitas (mensais)'!K272</f>
        <v>0</v>
      </c>
      <c r="N210" s="1984">
        <f>+'Receitas (mensais)'!L272</f>
        <v>0</v>
      </c>
      <c r="O210" s="1984">
        <f>+'Receitas (mensais)'!M272</f>
        <v>0</v>
      </c>
      <c r="P210" s="1984">
        <f>+'Receitas (mensais)'!N272</f>
        <v>0</v>
      </c>
      <c r="Q210" s="1984">
        <f>+'Receitas (mensais)'!O272</f>
        <v>0</v>
      </c>
      <c r="R210" s="1984">
        <f>+'Receitas (mensais)'!P272</f>
        <v>0</v>
      </c>
      <c r="S210" s="1980">
        <f t="shared" si="44"/>
        <v>0</v>
      </c>
      <c r="T210" s="2169">
        <v>0</v>
      </c>
      <c r="U210" s="2178">
        <f t="shared" si="58"/>
        <v>0</v>
      </c>
      <c r="V210" s="1854"/>
      <c r="W210" s="2003"/>
      <c r="Y210" s="2008"/>
    </row>
    <row r="211" spans="1:25" s="1866" customFormat="1" ht="26.25">
      <c r="A211" s="1889"/>
      <c r="B211" s="1908" t="s">
        <v>3379</v>
      </c>
      <c r="C211" s="2032" t="str">
        <f>+'Receitas (mensais)'!D273</f>
        <v xml:space="preserve">            Emol Pess Medical</v>
      </c>
      <c r="D211" s="1911"/>
      <c r="E211" s="1984"/>
      <c r="F211" s="2072"/>
      <c r="G211" s="1984">
        <f>+'Receitas (mensais)'!E273</f>
        <v>0</v>
      </c>
      <c r="H211" s="1984">
        <f>+'Receitas (mensais)'!F273</f>
        <v>0</v>
      </c>
      <c r="I211" s="1984">
        <f>+'Receitas (mensais)'!G273</f>
        <v>0</v>
      </c>
      <c r="J211" s="1984">
        <f>+'Receitas (mensais)'!H273</f>
        <v>0</v>
      </c>
      <c r="K211" s="1984">
        <f>+'Receitas (mensais)'!I273</f>
        <v>0</v>
      </c>
      <c r="L211" s="1984">
        <f>+'Receitas (mensais)'!J273</f>
        <v>0</v>
      </c>
      <c r="M211" s="1984">
        <f>+'Receitas (mensais)'!K273</f>
        <v>0</v>
      </c>
      <c r="N211" s="1984">
        <f>+'Receitas (mensais)'!L273</f>
        <v>0</v>
      </c>
      <c r="O211" s="1984">
        <f>+'Receitas (mensais)'!M273</f>
        <v>0</v>
      </c>
      <c r="P211" s="1984">
        <f>+'Receitas (mensais)'!N273</f>
        <v>0</v>
      </c>
      <c r="Q211" s="1984">
        <f>+'Receitas (mensais)'!O273</f>
        <v>0</v>
      </c>
      <c r="R211" s="1984">
        <f>+'Receitas (mensais)'!P273</f>
        <v>0</v>
      </c>
      <c r="S211" s="1980">
        <f t="shared" ref="S211:S231" si="61">+SUM(G211:R211)</f>
        <v>0</v>
      </c>
      <c r="T211" s="2169">
        <v>0</v>
      </c>
      <c r="U211" s="2178">
        <f t="shared" si="58"/>
        <v>0</v>
      </c>
      <c r="V211" s="1854"/>
      <c r="W211" s="2003"/>
      <c r="Y211" s="2008"/>
    </row>
    <row r="212" spans="1:25" s="1866" customFormat="1" ht="26.25">
      <c r="A212" s="1889"/>
      <c r="B212" s="1908" t="s">
        <v>3380</v>
      </c>
      <c r="C212" s="2032" t="str">
        <f>+'Receitas (mensais)'!D274</f>
        <v xml:space="preserve">            Vistorias-Serv Comercio</v>
      </c>
      <c r="D212" s="1911"/>
      <c r="E212" s="1984"/>
      <c r="F212" s="2072"/>
      <c r="G212" s="1984">
        <f>+'Receitas (mensais)'!E274</f>
        <v>0</v>
      </c>
      <c r="H212" s="1984">
        <f>+'Receitas (mensais)'!F274</f>
        <v>0</v>
      </c>
      <c r="I212" s="1984">
        <f>+'Receitas (mensais)'!G274</f>
        <v>0</v>
      </c>
      <c r="J212" s="1984">
        <f>+'Receitas (mensais)'!H274</f>
        <v>0</v>
      </c>
      <c r="K212" s="1984">
        <f>+'Receitas (mensais)'!I274</f>
        <v>0</v>
      </c>
      <c r="L212" s="1984">
        <f>+'Receitas (mensais)'!J274</f>
        <v>0</v>
      </c>
      <c r="M212" s="1984">
        <f>+'Receitas (mensais)'!K274</f>
        <v>0</v>
      </c>
      <c r="N212" s="1984">
        <f>+'Receitas (mensais)'!L274</f>
        <v>0</v>
      </c>
      <c r="O212" s="1984">
        <f>+'Receitas (mensais)'!M274</f>
        <v>0</v>
      </c>
      <c r="P212" s="1984">
        <f>+'Receitas (mensais)'!N274</f>
        <v>0</v>
      </c>
      <c r="Q212" s="1984">
        <f>+'Receitas (mensais)'!O274</f>
        <v>0</v>
      </c>
      <c r="R212" s="1984">
        <f>+'Receitas (mensais)'!P274</f>
        <v>0</v>
      </c>
      <c r="S212" s="1980">
        <f t="shared" si="61"/>
        <v>0</v>
      </c>
      <c r="T212" s="2169">
        <v>0</v>
      </c>
      <c r="U212" s="2178">
        <f t="shared" si="58"/>
        <v>0</v>
      </c>
      <c r="V212" s="1854"/>
      <c r="W212" s="2003"/>
      <c r="Y212" s="2008"/>
    </row>
    <row r="213" spans="1:25" s="1866" customFormat="1" ht="26.25">
      <c r="A213" s="1889"/>
      <c r="B213" s="1908" t="s">
        <v>3381</v>
      </c>
      <c r="C213" s="2032" t="str">
        <f>+'Receitas (mensais)'!D275</f>
        <v xml:space="preserve">            Vistorias-Serv Maritimos</v>
      </c>
      <c r="D213" s="1911"/>
      <c r="E213" s="1984"/>
      <c r="F213" s="2072"/>
      <c r="G213" s="1984">
        <f>+'Receitas (mensais)'!E275</f>
        <v>0</v>
      </c>
      <c r="H213" s="1984">
        <f>+'Receitas (mensais)'!F275</f>
        <v>0</v>
      </c>
      <c r="I213" s="1984">
        <f>+'Receitas (mensais)'!G275</f>
        <v>0</v>
      </c>
      <c r="J213" s="1984">
        <f>+'Receitas (mensais)'!H275</f>
        <v>0</v>
      </c>
      <c r="K213" s="1984">
        <f>+'Receitas (mensais)'!I275</f>
        <v>0</v>
      </c>
      <c r="L213" s="1984">
        <f>+'Receitas (mensais)'!J275</f>
        <v>0</v>
      </c>
      <c r="M213" s="1984">
        <f>+'Receitas (mensais)'!K275</f>
        <v>0</v>
      </c>
      <c r="N213" s="1984">
        <f>+'Receitas (mensais)'!L275</f>
        <v>0</v>
      </c>
      <c r="O213" s="1984">
        <f>+'Receitas (mensais)'!M275</f>
        <v>0</v>
      </c>
      <c r="P213" s="1984">
        <f>+'Receitas (mensais)'!N275</f>
        <v>0</v>
      </c>
      <c r="Q213" s="1984">
        <f>+'Receitas (mensais)'!O275</f>
        <v>0</v>
      </c>
      <c r="R213" s="1984">
        <f>+'Receitas (mensais)'!P275</f>
        <v>0</v>
      </c>
      <c r="S213" s="1980">
        <f t="shared" si="61"/>
        <v>0</v>
      </c>
      <c r="T213" s="2169">
        <v>0</v>
      </c>
      <c r="U213" s="2178">
        <f t="shared" si="58"/>
        <v>0</v>
      </c>
      <c r="V213" s="1854"/>
      <c r="W213" s="2003"/>
      <c r="Y213" s="2008"/>
    </row>
    <row r="214" spans="1:25" s="1866" customFormat="1" ht="26.25">
      <c r="A214" s="1889"/>
      <c r="B214" s="1908" t="s">
        <v>3382</v>
      </c>
      <c r="C214" s="2032" t="str">
        <f>+'Receitas (mensais)'!D276</f>
        <v xml:space="preserve">            Vistorias-Serv de Viaçao</v>
      </c>
      <c r="D214" s="1911"/>
      <c r="E214" s="1984"/>
      <c r="F214" s="2072"/>
      <c r="G214" s="1984">
        <f>+'Receitas (mensais)'!E276</f>
        <v>0</v>
      </c>
      <c r="H214" s="1984">
        <f>+'Receitas (mensais)'!F276</f>
        <v>0</v>
      </c>
      <c r="I214" s="1984">
        <f>+'Receitas (mensais)'!G276</f>
        <v>0</v>
      </c>
      <c r="J214" s="1984">
        <f>+'Receitas (mensais)'!H276</f>
        <v>0</v>
      </c>
      <c r="K214" s="1984">
        <f>+'Receitas (mensais)'!I276</f>
        <v>0</v>
      </c>
      <c r="L214" s="1984">
        <f>+'Receitas (mensais)'!J276</f>
        <v>0</v>
      </c>
      <c r="M214" s="1984">
        <f>+'Receitas (mensais)'!K276</f>
        <v>0</v>
      </c>
      <c r="N214" s="1984">
        <f>+'Receitas (mensais)'!L276</f>
        <v>0</v>
      </c>
      <c r="O214" s="1984">
        <f>+'Receitas (mensais)'!M276</f>
        <v>0</v>
      </c>
      <c r="P214" s="1984">
        <f>+'Receitas (mensais)'!N276</f>
        <v>0</v>
      </c>
      <c r="Q214" s="1984">
        <f>+'Receitas (mensais)'!O276</f>
        <v>0</v>
      </c>
      <c r="R214" s="1984">
        <f>+'Receitas (mensais)'!P276</f>
        <v>0</v>
      </c>
      <c r="S214" s="1980">
        <f t="shared" si="61"/>
        <v>0</v>
      </c>
      <c r="T214" s="2169">
        <v>0</v>
      </c>
      <c r="U214" s="2178">
        <f t="shared" si="58"/>
        <v>0</v>
      </c>
      <c r="V214" s="1854"/>
      <c r="W214" s="2003"/>
      <c r="Y214" s="2008"/>
    </row>
    <row r="215" spans="1:25" s="1866" customFormat="1" ht="26.25">
      <c r="A215" s="1889"/>
      <c r="B215" s="1908" t="s">
        <v>3383</v>
      </c>
      <c r="C215" s="2032" t="str">
        <f>+'Receitas (mensais)'!D277</f>
        <v xml:space="preserve">            Vistorias-Serv diversos</v>
      </c>
      <c r="D215" s="1911"/>
      <c r="E215" s="1984"/>
      <c r="F215" s="2072"/>
      <c r="G215" s="1984">
        <f>+'Receitas (mensais)'!E277</f>
        <v>0</v>
      </c>
      <c r="H215" s="1984">
        <f>+'Receitas (mensais)'!F277</f>
        <v>0</v>
      </c>
      <c r="I215" s="1984">
        <f>+'Receitas (mensais)'!G277</f>
        <v>0</v>
      </c>
      <c r="J215" s="1984">
        <f>+'Receitas (mensais)'!H277</f>
        <v>0</v>
      </c>
      <c r="K215" s="1984">
        <f>+'Receitas (mensais)'!I277</f>
        <v>0</v>
      </c>
      <c r="L215" s="1984">
        <f>+'Receitas (mensais)'!J277</f>
        <v>0</v>
      </c>
      <c r="M215" s="1984">
        <f>+'Receitas (mensais)'!K277</f>
        <v>0</v>
      </c>
      <c r="N215" s="1984">
        <f>+'Receitas (mensais)'!L277</f>
        <v>0</v>
      </c>
      <c r="O215" s="1984">
        <f>+'Receitas (mensais)'!M277</f>
        <v>0</v>
      </c>
      <c r="P215" s="1984">
        <f>+'Receitas (mensais)'!N277</f>
        <v>0</v>
      </c>
      <c r="Q215" s="1984">
        <f>+'Receitas (mensais)'!O277</f>
        <v>0</v>
      </c>
      <c r="R215" s="1984">
        <f>+'Receitas (mensais)'!P277</f>
        <v>0</v>
      </c>
      <c r="S215" s="1980">
        <f t="shared" si="61"/>
        <v>0</v>
      </c>
      <c r="T215" s="2169">
        <v>0</v>
      </c>
      <c r="U215" s="2178">
        <f t="shared" si="58"/>
        <v>0</v>
      </c>
      <c r="V215" s="1854"/>
      <c r="W215" s="2003"/>
      <c r="Y215" s="2008"/>
    </row>
    <row r="216" spans="1:25" s="1866" customFormat="1" ht="26.25">
      <c r="A216" s="1889"/>
      <c r="B216" s="1908" t="s">
        <v>3384</v>
      </c>
      <c r="C216" s="2032" t="str">
        <f>+'Receitas (mensais)'!D278</f>
        <v xml:space="preserve">             Serv. Recursos agro-flor.</v>
      </c>
      <c r="D216" s="1911"/>
      <c r="E216" s="1984"/>
      <c r="F216" s="2072"/>
      <c r="G216" s="1984">
        <f>+'Receitas (mensais)'!E278</f>
        <v>0</v>
      </c>
      <c r="H216" s="1984">
        <f>+'Receitas (mensais)'!F278</f>
        <v>0</v>
      </c>
      <c r="I216" s="1984">
        <f>+'Receitas (mensais)'!G278</f>
        <v>0</v>
      </c>
      <c r="J216" s="1984">
        <f>+'Receitas (mensais)'!H278</f>
        <v>0</v>
      </c>
      <c r="K216" s="1984">
        <f>+'Receitas (mensais)'!I278</f>
        <v>0</v>
      </c>
      <c r="L216" s="1984">
        <f>+'Receitas (mensais)'!J278</f>
        <v>0</v>
      </c>
      <c r="M216" s="1984">
        <f>+'Receitas (mensais)'!K278</f>
        <v>0</v>
      </c>
      <c r="N216" s="1984">
        <f>+'Receitas (mensais)'!L278</f>
        <v>0</v>
      </c>
      <c r="O216" s="1984">
        <f>+'Receitas (mensais)'!M278</f>
        <v>0</v>
      </c>
      <c r="P216" s="1984">
        <f>+'Receitas (mensais)'!N278</f>
        <v>0</v>
      </c>
      <c r="Q216" s="1984">
        <f>+'Receitas (mensais)'!O278</f>
        <v>0</v>
      </c>
      <c r="R216" s="1984">
        <f>+'Receitas (mensais)'!P278</f>
        <v>0</v>
      </c>
      <c r="S216" s="1980">
        <f t="shared" si="61"/>
        <v>0</v>
      </c>
      <c r="T216" s="2169">
        <v>0</v>
      </c>
      <c r="U216" s="2178">
        <f t="shared" si="58"/>
        <v>0</v>
      </c>
      <c r="V216" s="1854"/>
      <c r="W216" s="2003"/>
      <c r="Y216" s="2008"/>
    </row>
    <row r="217" spans="1:25" s="1866" customFormat="1" ht="26.25">
      <c r="A217" s="1889"/>
      <c r="B217" s="1908" t="s">
        <v>3385</v>
      </c>
      <c r="C217" s="2032" t="str">
        <f>+'Receitas (mensais)'!D279</f>
        <v xml:space="preserve">             Serv. Aduan. - Armazen.</v>
      </c>
      <c r="D217" s="1911"/>
      <c r="E217" s="1984"/>
      <c r="F217" s="2072"/>
      <c r="G217" s="1984">
        <f>+'Receitas (mensais)'!E279</f>
        <v>0</v>
      </c>
      <c r="H217" s="1984">
        <f>+'Receitas (mensais)'!F279</f>
        <v>0</v>
      </c>
      <c r="I217" s="1984">
        <f>+'Receitas (mensais)'!G279</f>
        <v>0</v>
      </c>
      <c r="J217" s="1984">
        <f>+'Receitas (mensais)'!H279</f>
        <v>0</v>
      </c>
      <c r="K217" s="1984">
        <f>+'Receitas (mensais)'!I279</f>
        <v>0</v>
      </c>
      <c r="L217" s="1984">
        <f>+'Receitas (mensais)'!J279</f>
        <v>0</v>
      </c>
      <c r="M217" s="1984">
        <f>+'Receitas (mensais)'!K279</f>
        <v>0</v>
      </c>
      <c r="N217" s="1984">
        <f>+'Receitas (mensais)'!L279</f>
        <v>0</v>
      </c>
      <c r="O217" s="1984">
        <f>+'Receitas (mensais)'!M279</f>
        <v>0</v>
      </c>
      <c r="P217" s="1984">
        <f>+'Receitas (mensais)'!N279</f>
        <v>0</v>
      </c>
      <c r="Q217" s="1984">
        <f>+'Receitas (mensais)'!O279</f>
        <v>0</v>
      </c>
      <c r="R217" s="1984">
        <f>+'Receitas (mensais)'!P279</f>
        <v>0</v>
      </c>
      <c r="S217" s="1980">
        <f t="shared" si="61"/>
        <v>0</v>
      </c>
      <c r="T217" s="2169">
        <v>0</v>
      </c>
      <c r="U217" s="2178">
        <f t="shared" si="58"/>
        <v>0</v>
      </c>
      <c r="V217" s="1854"/>
      <c r="W217" s="2003"/>
      <c r="Y217" s="2008"/>
    </row>
    <row r="218" spans="1:25" s="1866" customFormat="1" ht="26.25">
      <c r="A218" s="1889"/>
      <c r="B218" s="1908" t="s">
        <v>3386</v>
      </c>
      <c r="C218" s="2032" t="str">
        <f>+'Receitas (mensais)'!D280</f>
        <v xml:space="preserve">             Serv Aduan. - Imp. tonelag</v>
      </c>
      <c r="D218" s="1911"/>
      <c r="E218" s="1984"/>
      <c r="F218" s="2072"/>
      <c r="G218" s="1984">
        <f>+'Receitas (mensais)'!E280</f>
        <v>0</v>
      </c>
      <c r="H218" s="1984">
        <f>+'Receitas (mensais)'!F280</f>
        <v>0</v>
      </c>
      <c r="I218" s="1984">
        <f>+'Receitas (mensais)'!G280</f>
        <v>0</v>
      </c>
      <c r="J218" s="1984">
        <f>+'Receitas (mensais)'!H280</f>
        <v>0</v>
      </c>
      <c r="K218" s="1984">
        <f>+'Receitas (mensais)'!I280</f>
        <v>0</v>
      </c>
      <c r="L218" s="1984">
        <f>+'Receitas (mensais)'!J280</f>
        <v>0</v>
      </c>
      <c r="M218" s="1984">
        <f>+'Receitas (mensais)'!K280</f>
        <v>0</v>
      </c>
      <c r="N218" s="1984">
        <f>+'Receitas (mensais)'!L280</f>
        <v>0</v>
      </c>
      <c r="O218" s="1984">
        <f>+'Receitas (mensais)'!M280</f>
        <v>0</v>
      </c>
      <c r="P218" s="1984">
        <f>+'Receitas (mensais)'!N280</f>
        <v>0</v>
      </c>
      <c r="Q218" s="1984">
        <f>+'Receitas (mensais)'!O280</f>
        <v>0</v>
      </c>
      <c r="R218" s="1984">
        <f>+'Receitas (mensais)'!P280</f>
        <v>0</v>
      </c>
      <c r="S218" s="1980">
        <f t="shared" si="61"/>
        <v>0</v>
      </c>
      <c r="T218" s="2169">
        <v>0</v>
      </c>
      <c r="U218" s="2178">
        <f t="shared" si="58"/>
        <v>0</v>
      </c>
      <c r="V218" s="1854"/>
      <c r="W218" s="2003"/>
      <c r="Y218" s="2008"/>
    </row>
    <row r="219" spans="1:25" s="1866" customFormat="1" ht="26.25">
      <c r="A219" s="1889"/>
      <c r="B219" s="1908" t="s">
        <v>3387</v>
      </c>
      <c r="C219" s="2032" t="str">
        <f>+'Receitas (mensais)'!D281</f>
        <v xml:space="preserve">             Serv. de Farmacia</v>
      </c>
      <c r="D219" s="1911"/>
      <c r="E219" s="1984"/>
      <c r="F219" s="2072"/>
      <c r="G219" s="1984">
        <f>+'Receitas (mensais)'!E281</f>
        <v>0</v>
      </c>
      <c r="H219" s="1984">
        <f>+'Receitas (mensais)'!F281</f>
        <v>0</v>
      </c>
      <c r="I219" s="1984">
        <f>+'Receitas (mensais)'!G281</f>
        <v>0</v>
      </c>
      <c r="J219" s="1984">
        <f>+'Receitas (mensais)'!H281</f>
        <v>0</v>
      </c>
      <c r="K219" s="1984">
        <f>+'Receitas (mensais)'!I281</f>
        <v>0</v>
      </c>
      <c r="L219" s="1984">
        <f>+'Receitas (mensais)'!J281</f>
        <v>0</v>
      </c>
      <c r="M219" s="1984">
        <f>+'Receitas (mensais)'!K281</f>
        <v>0</v>
      </c>
      <c r="N219" s="1984">
        <f>+'Receitas (mensais)'!L281</f>
        <v>0</v>
      </c>
      <c r="O219" s="1984">
        <f>+'Receitas (mensais)'!M281</f>
        <v>0</v>
      </c>
      <c r="P219" s="1984">
        <f>+'Receitas (mensais)'!N281</f>
        <v>0</v>
      </c>
      <c r="Q219" s="1984">
        <f>+'Receitas (mensais)'!O281</f>
        <v>0</v>
      </c>
      <c r="R219" s="1984">
        <f>+'Receitas (mensais)'!P281</f>
        <v>0</v>
      </c>
      <c r="S219" s="1980">
        <f t="shared" si="61"/>
        <v>0</v>
      </c>
      <c r="T219" s="2169">
        <v>0</v>
      </c>
      <c r="U219" s="2178">
        <f t="shared" si="58"/>
        <v>0</v>
      </c>
      <c r="V219" s="1854"/>
      <c r="W219" s="2003"/>
      <c r="Y219" s="2008"/>
    </row>
    <row r="220" spans="1:25" s="1866" customFormat="1" ht="26.25">
      <c r="A220" s="1889"/>
      <c r="B220" s="1908" t="s">
        <v>3388</v>
      </c>
      <c r="C220" s="2032" t="str">
        <f>+'Receitas (mensais)'!D282</f>
        <v xml:space="preserve">             Serv. médico-hospitalares</v>
      </c>
      <c r="D220" s="1911"/>
      <c r="E220" s="1984"/>
      <c r="F220" s="2072"/>
      <c r="G220" s="1984">
        <f>+'Receitas (mensais)'!E282</f>
        <v>0</v>
      </c>
      <c r="H220" s="1984">
        <f>+'Receitas (mensais)'!F282</f>
        <v>0</v>
      </c>
      <c r="I220" s="1984">
        <f>+'Receitas (mensais)'!G282</f>
        <v>0</v>
      </c>
      <c r="J220" s="1984">
        <f>+'Receitas (mensais)'!H282</f>
        <v>0</v>
      </c>
      <c r="K220" s="1984">
        <f>+'Receitas (mensais)'!I282</f>
        <v>0</v>
      </c>
      <c r="L220" s="1984">
        <f>+'Receitas (mensais)'!J282</f>
        <v>0</v>
      </c>
      <c r="M220" s="1984">
        <f>+'Receitas (mensais)'!K282</f>
        <v>0</v>
      </c>
      <c r="N220" s="1984">
        <f>+'Receitas (mensais)'!L282</f>
        <v>0</v>
      </c>
      <c r="O220" s="1984">
        <f>+'Receitas (mensais)'!M282</f>
        <v>0</v>
      </c>
      <c r="P220" s="1984">
        <f>+'Receitas (mensais)'!N282</f>
        <v>0</v>
      </c>
      <c r="Q220" s="1984">
        <f>+'Receitas (mensais)'!O282</f>
        <v>0</v>
      </c>
      <c r="R220" s="1984">
        <f>+'Receitas (mensais)'!P282</f>
        <v>0</v>
      </c>
      <c r="S220" s="1980">
        <f t="shared" si="61"/>
        <v>0</v>
      </c>
      <c r="T220" s="2169">
        <v>0</v>
      </c>
      <c r="U220" s="2178">
        <f t="shared" si="58"/>
        <v>0</v>
      </c>
      <c r="V220" s="1854"/>
      <c r="W220" s="2003"/>
      <c r="Y220" s="2008"/>
    </row>
    <row r="221" spans="1:25" s="1866" customFormat="1" ht="26.25">
      <c r="A221" s="1889"/>
      <c r="B221" s="1908" t="s">
        <v>3389</v>
      </c>
      <c r="C221" s="2032" t="str">
        <f>+'Receitas (mensais)'!D283</f>
        <v xml:space="preserve">             Serv. de Laboratorios</v>
      </c>
      <c r="D221" s="1911"/>
      <c r="E221" s="1984"/>
      <c r="F221" s="2072"/>
      <c r="G221" s="1984">
        <f>+'Receitas (mensais)'!E283</f>
        <v>0</v>
      </c>
      <c r="H221" s="1984">
        <f>+'Receitas (mensais)'!F283</f>
        <v>0</v>
      </c>
      <c r="I221" s="1984">
        <f>+'Receitas (mensais)'!G283</f>
        <v>0</v>
      </c>
      <c r="J221" s="1984">
        <f>+'Receitas (mensais)'!H283</f>
        <v>0</v>
      </c>
      <c r="K221" s="1984">
        <f>+'Receitas (mensais)'!I283</f>
        <v>0</v>
      </c>
      <c r="L221" s="1984">
        <f>+'Receitas (mensais)'!J283</f>
        <v>0</v>
      </c>
      <c r="M221" s="1984">
        <f>+'Receitas (mensais)'!K283</f>
        <v>0</v>
      </c>
      <c r="N221" s="1984">
        <f>+'Receitas (mensais)'!L283</f>
        <v>0</v>
      </c>
      <c r="O221" s="1984">
        <f>+'Receitas (mensais)'!M283</f>
        <v>0</v>
      </c>
      <c r="P221" s="1984">
        <f>+'Receitas (mensais)'!N283</f>
        <v>0</v>
      </c>
      <c r="Q221" s="1984">
        <f>+'Receitas (mensais)'!O283</f>
        <v>0</v>
      </c>
      <c r="R221" s="1984">
        <f>+'Receitas (mensais)'!P283</f>
        <v>0</v>
      </c>
      <c r="S221" s="1980">
        <f t="shared" si="61"/>
        <v>0</v>
      </c>
      <c r="T221" s="2169">
        <v>0</v>
      </c>
      <c r="U221" s="2178">
        <f t="shared" si="58"/>
        <v>0</v>
      </c>
      <c r="V221" s="1854"/>
      <c r="W221" s="2003"/>
      <c r="Y221" s="2008"/>
    </row>
    <row r="222" spans="1:25" s="1866" customFormat="1" ht="26.25">
      <c r="A222" s="1889"/>
      <c r="B222" s="1908" t="s">
        <v>3390</v>
      </c>
      <c r="C222" s="2032" t="str">
        <f>+'Receitas (mensais)'!D284</f>
        <v xml:space="preserve">             Serv. Radiol. Fisioter.</v>
      </c>
      <c r="D222" s="1911"/>
      <c r="E222" s="1984"/>
      <c r="F222" s="2072"/>
      <c r="G222" s="1984">
        <f>+'Receitas (mensais)'!E284</f>
        <v>0</v>
      </c>
      <c r="H222" s="1984">
        <f>+'Receitas (mensais)'!F284</f>
        <v>0</v>
      </c>
      <c r="I222" s="1984">
        <f>+'Receitas (mensais)'!G284</f>
        <v>0</v>
      </c>
      <c r="J222" s="1984">
        <f>+'Receitas (mensais)'!H284</f>
        <v>0</v>
      </c>
      <c r="K222" s="1984">
        <f>+'Receitas (mensais)'!I284</f>
        <v>0</v>
      </c>
      <c r="L222" s="1984">
        <f>+'Receitas (mensais)'!J284</f>
        <v>0</v>
      </c>
      <c r="M222" s="1984">
        <f>+'Receitas (mensais)'!K284</f>
        <v>0</v>
      </c>
      <c r="N222" s="1984">
        <f>+'Receitas (mensais)'!L284</f>
        <v>0</v>
      </c>
      <c r="O222" s="1984">
        <f>+'Receitas (mensais)'!M284</f>
        <v>0</v>
      </c>
      <c r="P222" s="1984">
        <f>+'Receitas (mensais)'!N284</f>
        <v>0</v>
      </c>
      <c r="Q222" s="1984">
        <f>+'Receitas (mensais)'!O284</f>
        <v>0</v>
      </c>
      <c r="R222" s="1984">
        <f>+'Receitas (mensais)'!P284</f>
        <v>0</v>
      </c>
      <c r="S222" s="1980">
        <f t="shared" si="61"/>
        <v>0</v>
      </c>
      <c r="T222" s="2169">
        <v>0</v>
      </c>
      <c r="U222" s="2178">
        <f t="shared" si="58"/>
        <v>0</v>
      </c>
      <c r="V222" s="1854"/>
      <c r="W222" s="2003"/>
      <c r="Y222" s="2008"/>
    </row>
    <row r="223" spans="1:25" s="1866" customFormat="1" ht="26.25">
      <c r="A223" s="1889"/>
      <c r="B223" s="1908" t="s">
        <v>3391</v>
      </c>
      <c r="C223" s="2032" t="str">
        <f>+'Receitas (mensais)'!D285</f>
        <v xml:space="preserve">             Serv. de Jornais</v>
      </c>
      <c r="D223" s="1911"/>
      <c r="E223" s="1984"/>
      <c r="F223" s="2072"/>
      <c r="G223" s="1984">
        <f>+'Receitas (mensais)'!E285</f>
        <v>0</v>
      </c>
      <c r="H223" s="1984">
        <f>+'Receitas (mensais)'!F285</f>
        <v>0</v>
      </c>
      <c r="I223" s="1984">
        <f>+'Receitas (mensais)'!G285</f>
        <v>0</v>
      </c>
      <c r="J223" s="1984">
        <f>+'Receitas (mensais)'!H285</f>
        <v>0</v>
      </c>
      <c r="K223" s="1984">
        <f>+'Receitas (mensais)'!I285</f>
        <v>0</v>
      </c>
      <c r="L223" s="1984">
        <f>+'Receitas (mensais)'!J285</f>
        <v>0</v>
      </c>
      <c r="M223" s="1984">
        <f>+'Receitas (mensais)'!K285</f>
        <v>0</v>
      </c>
      <c r="N223" s="1984">
        <f>+'Receitas (mensais)'!L285</f>
        <v>0</v>
      </c>
      <c r="O223" s="1984">
        <f>+'Receitas (mensais)'!M285</f>
        <v>0</v>
      </c>
      <c r="P223" s="1984">
        <f>+'Receitas (mensais)'!N285</f>
        <v>0</v>
      </c>
      <c r="Q223" s="1984">
        <f>+'Receitas (mensais)'!O285</f>
        <v>0</v>
      </c>
      <c r="R223" s="1984">
        <f>+'Receitas (mensais)'!P285</f>
        <v>0</v>
      </c>
      <c r="S223" s="1980">
        <f t="shared" si="61"/>
        <v>0</v>
      </c>
      <c r="T223" s="2169">
        <v>0</v>
      </c>
      <c r="U223" s="2178">
        <f t="shared" si="58"/>
        <v>0</v>
      </c>
      <c r="V223" s="1854"/>
      <c r="W223" s="2003"/>
      <c r="Y223" s="2008"/>
    </row>
    <row r="224" spans="1:25" s="1866" customFormat="1" ht="26.25">
      <c r="A224" s="1889"/>
      <c r="B224" s="1908" t="s">
        <v>3392</v>
      </c>
      <c r="C224" s="2032" t="str">
        <f>+'Receitas (mensais)'!D286</f>
        <v xml:space="preserve">             Serv. de Radiodifusao</v>
      </c>
      <c r="D224" s="1911"/>
      <c r="E224" s="1984"/>
      <c r="F224" s="2072"/>
      <c r="G224" s="1984">
        <f>+'Receitas (mensais)'!E286</f>
        <v>0</v>
      </c>
      <c r="H224" s="1984">
        <f>+'Receitas (mensais)'!F286</f>
        <v>0</v>
      </c>
      <c r="I224" s="1984">
        <f>+'Receitas (mensais)'!G286</f>
        <v>0</v>
      </c>
      <c r="J224" s="1984">
        <f>+'Receitas (mensais)'!H286</f>
        <v>0</v>
      </c>
      <c r="K224" s="1984">
        <f>+'Receitas (mensais)'!I286</f>
        <v>0</v>
      </c>
      <c r="L224" s="1984">
        <f>+'Receitas (mensais)'!J286</f>
        <v>0</v>
      </c>
      <c r="M224" s="1984">
        <f>+'Receitas (mensais)'!K286</f>
        <v>0</v>
      </c>
      <c r="N224" s="1984">
        <f>+'Receitas (mensais)'!L286</f>
        <v>0</v>
      </c>
      <c r="O224" s="1984">
        <f>+'Receitas (mensais)'!M286</f>
        <v>0</v>
      </c>
      <c r="P224" s="1984">
        <f>+'Receitas (mensais)'!N286</f>
        <v>0</v>
      </c>
      <c r="Q224" s="1984">
        <f>+'Receitas (mensais)'!O286</f>
        <v>0</v>
      </c>
      <c r="R224" s="1984">
        <f>+'Receitas (mensais)'!P286</f>
        <v>0</v>
      </c>
      <c r="S224" s="1980">
        <f t="shared" si="61"/>
        <v>0</v>
      </c>
      <c r="T224" s="2169">
        <v>0</v>
      </c>
      <c r="U224" s="2178">
        <f t="shared" si="58"/>
        <v>0</v>
      </c>
      <c r="V224" s="1854"/>
      <c r="W224" s="2003"/>
      <c r="Y224" s="2008"/>
    </row>
    <row r="225" spans="1:26" s="1866" customFormat="1" ht="26.25">
      <c r="A225" s="1889"/>
      <c r="B225" s="1908" t="s">
        <v>3393</v>
      </c>
      <c r="C225" s="2032" t="str">
        <f>+'Receitas (mensais)'!D287</f>
        <v xml:space="preserve">             Serv. Activ. Desp./Cultur</v>
      </c>
      <c r="D225" s="1911"/>
      <c r="E225" s="1984"/>
      <c r="F225" s="2072"/>
      <c r="G225" s="1984">
        <f>+'Receitas (mensais)'!E287</f>
        <v>0</v>
      </c>
      <c r="H225" s="1984">
        <f>+'Receitas (mensais)'!F287</f>
        <v>0</v>
      </c>
      <c r="I225" s="1984">
        <f>+'Receitas (mensais)'!G287</f>
        <v>0</v>
      </c>
      <c r="J225" s="1984">
        <f>+'Receitas (mensais)'!H287</f>
        <v>0</v>
      </c>
      <c r="K225" s="1984">
        <f>+'Receitas (mensais)'!I287</f>
        <v>0</v>
      </c>
      <c r="L225" s="1984">
        <f>+'Receitas (mensais)'!J287</f>
        <v>0</v>
      </c>
      <c r="M225" s="1984">
        <f>+'Receitas (mensais)'!K287</f>
        <v>0</v>
      </c>
      <c r="N225" s="1984">
        <f>+'Receitas (mensais)'!L287</f>
        <v>0</v>
      </c>
      <c r="O225" s="1984">
        <f>+'Receitas (mensais)'!M287</f>
        <v>0</v>
      </c>
      <c r="P225" s="1984">
        <f>+'Receitas (mensais)'!N287</f>
        <v>0</v>
      </c>
      <c r="Q225" s="1984">
        <f>+'Receitas (mensais)'!O287</f>
        <v>0</v>
      </c>
      <c r="R225" s="1984">
        <f>+'Receitas (mensais)'!P287</f>
        <v>0</v>
      </c>
      <c r="S225" s="1980">
        <f t="shared" si="61"/>
        <v>0</v>
      </c>
      <c r="T225" s="2169">
        <v>0</v>
      </c>
      <c r="U225" s="2178">
        <f t="shared" si="58"/>
        <v>0</v>
      </c>
      <c r="V225" s="1854"/>
      <c r="W225" s="2003"/>
      <c r="Y225" s="2008"/>
    </row>
    <row r="226" spans="1:26" s="1866" customFormat="1" ht="26.25">
      <c r="A226" s="1889"/>
      <c r="B226" s="1908" t="s">
        <v>3394</v>
      </c>
      <c r="C226" s="2032" t="str">
        <f>+'Receitas (mensais)'!D288</f>
        <v xml:space="preserve">             Serv. Rec. Natur Captaçao</v>
      </c>
      <c r="D226" s="1911"/>
      <c r="E226" s="1984"/>
      <c r="F226" s="2072"/>
      <c r="G226" s="1984">
        <f>+'Receitas (mensais)'!E288</f>
        <v>0</v>
      </c>
      <c r="H226" s="1984">
        <f>+'Receitas (mensais)'!F288</f>
        <v>0</v>
      </c>
      <c r="I226" s="1984">
        <f>+'Receitas (mensais)'!G288</f>
        <v>0</v>
      </c>
      <c r="J226" s="1984">
        <f>+'Receitas (mensais)'!H288</f>
        <v>0</v>
      </c>
      <c r="K226" s="1984">
        <f>+'Receitas (mensais)'!I288</f>
        <v>0</v>
      </c>
      <c r="L226" s="1984">
        <f>+'Receitas (mensais)'!J288</f>
        <v>0</v>
      </c>
      <c r="M226" s="1984">
        <f>+'Receitas (mensais)'!K288</f>
        <v>0</v>
      </c>
      <c r="N226" s="1984">
        <f>+'Receitas (mensais)'!L288</f>
        <v>0</v>
      </c>
      <c r="O226" s="1984">
        <f>+'Receitas (mensais)'!M288</f>
        <v>0</v>
      </c>
      <c r="P226" s="1984">
        <f>+'Receitas (mensais)'!N288</f>
        <v>0</v>
      </c>
      <c r="Q226" s="1984">
        <f>+'Receitas (mensais)'!O288</f>
        <v>0</v>
      </c>
      <c r="R226" s="1984">
        <f>+'Receitas (mensais)'!P288</f>
        <v>0</v>
      </c>
      <c r="S226" s="1980">
        <f t="shared" si="61"/>
        <v>0</v>
      </c>
      <c r="T226" s="2169">
        <v>0</v>
      </c>
      <c r="U226" s="2178">
        <f t="shared" si="58"/>
        <v>0</v>
      </c>
      <c r="V226" s="1854"/>
      <c r="W226" s="2003"/>
      <c r="Y226" s="2008"/>
    </row>
    <row r="227" spans="1:26" s="1866" customFormat="1" ht="26.25">
      <c r="A227" s="1889"/>
      <c r="B227" s="1908" t="s">
        <v>3395</v>
      </c>
      <c r="C227" s="2032" t="str">
        <f>+'Receitas (mensais)'!D289</f>
        <v xml:space="preserve">             Serv. Rec. Natur Conserv.</v>
      </c>
      <c r="D227" s="1911"/>
      <c r="E227" s="1984"/>
      <c r="F227" s="2072"/>
      <c r="G227" s="1984">
        <f>+'Receitas (mensais)'!E289</f>
        <v>0</v>
      </c>
      <c r="H227" s="1984">
        <f>+'Receitas (mensais)'!F289</f>
        <v>0</v>
      </c>
      <c r="I227" s="1984">
        <f>+'Receitas (mensais)'!G289</f>
        <v>0</v>
      </c>
      <c r="J227" s="1984">
        <f>+'Receitas (mensais)'!H289</f>
        <v>0</v>
      </c>
      <c r="K227" s="1984">
        <f>+'Receitas (mensais)'!I289</f>
        <v>0</v>
      </c>
      <c r="L227" s="1984">
        <f>+'Receitas (mensais)'!J289</f>
        <v>0</v>
      </c>
      <c r="M227" s="1984">
        <f>+'Receitas (mensais)'!K289</f>
        <v>0</v>
      </c>
      <c r="N227" s="1984">
        <f>+'Receitas (mensais)'!L289</f>
        <v>0</v>
      </c>
      <c r="O227" s="1984">
        <f>+'Receitas (mensais)'!M289</f>
        <v>0</v>
      </c>
      <c r="P227" s="1984">
        <f>+'Receitas (mensais)'!N289</f>
        <v>0</v>
      </c>
      <c r="Q227" s="1984">
        <f>+'Receitas (mensais)'!O289</f>
        <v>0</v>
      </c>
      <c r="R227" s="1984">
        <f>+'Receitas (mensais)'!P289</f>
        <v>0</v>
      </c>
      <c r="S227" s="1980">
        <f t="shared" si="61"/>
        <v>0</v>
      </c>
      <c r="T227" s="2169">
        <v>0</v>
      </c>
      <c r="U227" s="2178">
        <f t="shared" si="58"/>
        <v>0</v>
      </c>
      <c r="V227" s="1854"/>
      <c r="W227" s="2003"/>
      <c r="Y227" s="2008"/>
    </row>
    <row r="228" spans="1:26" s="1866" customFormat="1" ht="26.25">
      <c r="A228" s="1889"/>
      <c r="B228" s="1908" t="s">
        <v>3396</v>
      </c>
      <c r="C228" s="2032" t="str">
        <f>+'Receitas (mensais)'!D290</f>
        <v xml:space="preserve">             Serv. Constr Obras Hidr.</v>
      </c>
      <c r="D228" s="1911"/>
      <c r="E228" s="1984"/>
      <c r="F228" s="2072"/>
      <c r="G228" s="1984">
        <f>+'Receitas (mensais)'!E290</f>
        <v>0</v>
      </c>
      <c r="H228" s="1984">
        <f>+'Receitas (mensais)'!F290</f>
        <v>0</v>
      </c>
      <c r="I228" s="1984">
        <f>+'Receitas (mensais)'!G290</f>
        <v>0</v>
      </c>
      <c r="J228" s="1984">
        <f>+'Receitas (mensais)'!H290</f>
        <v>0</v>
      </c>
      <c r="K228" s="1984">
        <f>+'Receitas (mensais)'!I290</f>
        <v>0</v>
      </c>
      <c r="L228" s="1984">
        <f>+'Receitas (mensais)'!J290</f>
        <v>0</v>
      </c>
      <c r="M228" s="1984">
        <f>+'Receitas (mensais)'!K290</f>
        <v>0</v>
      </c>
      <c r="N228" s="1984">
        <f>+'Receitas (mensais)'!L290</f>
        <v>0</v>
      </c>
      <c r="O228" s="1984">
        <f>+'Receitas (mensais)'!M290</f>
        <v>0</v>
      </c>
      <c r="P228" s="1984">
        <f>+'Receitas (mensais)'!N290</f>
        <v>0</v>
      </c>
      <c r="Q228" s="1984">
        <f>+'Receitas (mensais)'!O290</f>
        <v>0</v>
      </c>
      <c r="R228" s="1984">
        <f>+'Receitas (mensais)'!P290</f>
        <v>0</v>
      </c>
      <c r="S228" s="1980">
        <f t="shared" si="61"/>
        <v>0</v>
      </c>
      <c r="T228" s="2169">
        <v>0</v>
      </c>
      <c r="U228" s="2178">
        <f t="shared" si="58"/>
        <v>0</v>
      </c>
      <c r="V228" s="1854"/>
      <c r="W228" s="2003"/>
      <c r="Y228" s="2008"/>
    </row>
    <row r="229" spans="1:26" s="2036" customFormat="1" ht="26.25">
      <c r="B229" s="2063" t="s">
        <v>3397</v>
      </c>
      <c r="C229" s="2036" t="str">
        <f>+'Receitas (mensais)'!D292</f>
        <v>Venda do pescado</v>
      </c>
      <c r="F229" s="2074">
        <f t="shared" ref="F229:R229" si="62">+F230+F231</f>
        <v>687746.58900000004</v>
      </c>
      <c r="G229" s="2038">
        <f t="shared" si="62"/>
        <v>0</v>
      </c>
      <c r="H229" s="2038">
        <f t="shared" si="62"/>
        <v>43179.35</v>
      </c>
      <c r="I229" s="2038">
        <f t="shared" si="62"/>
        <v>0</v>
      </c>
      <c r="J229" s="2038">
        <f t="shared" si="62"/>
        <v>64402.15</v>
      </c>
      <c r="K229" s="2038">
        <f t="shared" si="62"/>
        <v>15002.6</v>
      </c>
      <c r="L229" s="2038">
        <f t="shared" si="62"/>
        <v>0</v>
      </c>
      <c r="M229" s="2038">
        <f t="shared" si="62"/>
        <v>0</v>
      </c>
      <c r="N229" s="2038">
        <f t="shared" si="62"/>
        <v>39209.949999999997</v>
      </c>
      <c r="O229" s="2038">
        <f t="shared" si="62"/>
        <v>0</v>
      </c>
      <c r="P229" s="2038">
        <f t="shared" si="62"/>
        <v>0</v>
      </c>
      <c r="Q229" s="2038">
        <f t="shared" si="62"/>
        <v>0</v>
      </c>
      <c r="R229" s="2038">
        <f t="shared" si="62"/>
        <v>38649.5</v>
      </c>
      <c r="S229" s="1980">
        <f t="shared" si="61"/>
        <v>200443.55</v>
      </c>
      <c r="T229" s="2169">
        <f t="shared" ref="T229" si="63">+T230+T231</f>
        <v>0</v>
      </c>
      <c r="U229" s="2178">
        <f t="shared" si="58"/>
        <v>200443.55</v>
      </c>
    </row>
    <row r="230" spans="1:26" s="1866" customFormat="1" ht="26.25">
      <c r="A230" s="1889"/>
      <c r="B230" s="1908" t="s">
        <v>3398</v>
      </c>
      <c r="C230" s="2032" t="str">
        <f>+'Receitas (mensais)'!D293</f>
        <v>- Mercado interno</v>
      </c>
      <c r="D230" s="1911"/>
      <c r="E230" s="1984"/>
      <c r="F230" s="2072">
        <v>687746.58900000004</v>
      </c>
      <c r="G230" s="1984">
        <f>+'Receitas (mensais)'!E293</f>
        <v>0</v>
      </c>
      <c r="H230" s="1984">
        <f>+'Receitas (mensais)'!F293</f>
        <v>43179.35</v>
      </c>
      <c r="I230" s="1984">
        <f>+'Receitas (mensais)'!G293</f>
        <v>0</v>
      </c>
      <c r="J230" s="1984">
        <f>+'Receitas (mensais)'!H293</f>
        <v>64402.15</v>
      </c>
      <c r="K230" s="1984">
        <f>+'Receitas (mensais)'!I293</f>
        <v>15002.6</v>
      </c>
      <c r="L230" s="1984">
        <f>+'Receitas (mensais)'!J293</f>
        <v>0</v>
      </c>
      <c r="M230" s="1984">
        <f>+'Receitas (mensais)'!K293</f>
        <v>0</v>
      </c>
      <c r="N230" s="1984">
        <f>+'Receitas (mensais)'!L293</f>
        <v>39209.949999999997</v>
      </c>
      <c r="O230" s="1984">
        <f>+'Receitas (mensais)'!M293</f>
        <v>0</v>
      </c>
      <c r="P230" s="1984">
        <f>+'Receitas (mensais)'!N293</f>
        <v>0</v>
      </c>
      <c r="Q230" s="1984">
        <f>+'Receitas (mensais)'!O293</f>
        <v>0</v>
      </c>
      <c r="R230" s="1984">
        <f>+'Receitas (mensais)'!P293</f>
        <v>38649.5</v>
      </c>
      <c r="S230" s="1980">
        <f t="shared" si="61"/>
        <v>200443.55</v>
      </c>
      <c r="T230" s="2169">
        <f>[30]receitas2019!$BZ$132/1000</f>
        <v>0</v>
      </c>
      <c r="U230" s="2181">
        <f t="shared" si="58"/>
        <v>200443.55</v>
      </c>
      <c r="V230" s="1854"/>
      <c r="W230" s="2003"/>
      <c r="Y230" s="2008"/>
    </row>
    <row r="231" spans="1:26" s="1866" customFormat="1" ht="26.25">
      <c r="A231" s="1889"/>
      <c r="B231" s="1908" t="s">
        <v>3399</v>
      </c>
      <c r="C231" s="2032" t="str">
        <f>+'Receitas (mensais)'!D294</f>
        <v>- Mercado externo</v>
      </c>
      <c r="D231" s="1911"/>
      <c r="E231" s="1984"/>
      <c r="F231" s="2072"/>
      <c r="G231" s="1984">
        <f>+'Receitas (mensais)'!E294</f>
        <v>0</v>
      </c>
      <c r="H231" s="1984">
        <f>+'Receitas (mensais)'!F294</f>
        <v>0</v>
      </c>
      <c r="I231" s="1984">
        <f>+'Receitas (mensais)'!G294</f>
        <v>0</v>
      </c>
      <c r="J231" s="1984">
        <f>+'Receitas (mensais)'!H294</f>
        <v>0</v>
      </c>
      <c r="K231" s="1984">
        <f>+'Receitas (mensais)'!I294</f>
        <v>0</v>
      </c>
      <c r="L231" s="1984">
        <f>+'Receitas (mensais)'!J294</f>
        <v>0</v>
      </c>
      <c r="M231" s="1984">
        <f>+'Receitas (mensais)'!K294</f>
        <v>0</v>
      </c>
      <c r="N231" s="1984">
        <f>+'Receitas (mensais)'!L294</f>
        <v>0</v>
      </c>
      <c r="O231" s="1984">
        <f>+'Receitas (mensais)'!M294</f>
        <v>0</v>
      </c>
      <c r="P231" s="1984">
        <f>+'Receitas (mensais)'!N294</f>
        <v>0</v>
      </c>
      <c r="Q231" s="1984">
        <f>+'Receitas (mensais)'!O294</f>
        <v>0</v>
      </c>
      <c r="R231" s="1984">
        <f>+'Receitas (mensais)'!P294</f>
        <v>0</v>
      </c>
      <c r="S231" s="1980">
        <f t="shared" si="61"/>
        <v>0</v>
      </c>
      <c r="T231" s="2169">
        <v>0</v>
      </c>
      <c r="U231" s="2178">
        <f t="shared" si="58"/>
        <v>0</v>
      </c>
      <c r="V231" s="1854"/>
      <c r="W231" s="2003"/>
      <c r="Y231" s="2008"/>
    </row>
    <row r="232" spans="1:26" s="2056" customFormat="1" ht="26.25">
      <c r="A232" s="2047"/>
      <c r="B232" s="2048" t="s">
        <v>420</v>
      </c>
      <c r="C232" s="2049" t="s">
        <v>3400</v>
      </c>
      <c r="D232" s="2050"/>
      <c r="E232" s="2051">
        <f>+[28]Tofe!$Q$21+[28]Tofe!$Q$14</f>
        <v>5609331.3669999996</v>
      </c>
      <c r="F232" s="2070">
        <v>107672595.93700001</v>
      </c>
      <c r="G232" s="2052">
        <f>G233+G240+G269</f>
        <v>0</v>
      </c>
      <c r="H232" s="2052">
        <f t="shared" ref="H232:R232" si="64">H233+H240+H269</f>
        <v>1033.615</v>
      </c>
      <c r="I232" s="2052">
        <f t="shared" si="64"/>
        <v>5639716.0899999999</v>
      </c>
      <c r="J232" s="2052">
        <f t="shared" si="64"/>
        <v>646.47900000000004</v>
      </c>
      <c r="K232" s="2052">
        <f t="shared" si="64"/>
        <v>1662.826</v>
      </c>
      <c r="L232" s="2052">
        <f t="shared" si="64"/>
        <v>7243.375</v>
      </c>
      <c r="M232" s="2052">
        <f t="shared" si="64"/>
        <v>1525.2080000000001</v>
      </c>
      <c r="N232" s="2052">
        <f t="shared" si="64"/>
        <v>62.5</v>
      </c>
      <c r="O232" s="2052">
        <f t="shared" si="64"/>
        <v>203.78899999999999</v>
      </c>
      <c r="P232" s="2052">
        <f t="shared" si="64"/>
        <v>75.007000000000005</v>
      </c>
      <c r="Q232" s="2052">
        <f t="shared" si="64"/>
        <v>0</v>
      </c>
      <c r="R232" s="2052">
        <f t="shared" si="64"/>
        <v>64.12</v>
      </c>
      <c r="S232" s="2051">
        <f>SUM(G232:R232)</f>
        <v>5652233.0090000005</v>
      </c>
      <c r="T232" s="2167">
        <f>([30]receitas2019!$BZ$119/1000)</f>
        <v>0</v>
      </c>
      <c r="U232" s="2178">
        <f t="shared" si="58"/>
        <v>5652233.0090000005</v>
      </c>
      <c r="V232" s="2053"/>
      <c r="W232" s="2054"/>
      <c r="X232" s="2055"/>
      <c r="Y232" s="2056">
        <f t="shared" si="30"/>
        <v>5652.2330090000005</v>
      </c>
      <c r="Z232" s="2057"/>
    </row>
    <row r="233" spans="1:26" s="2036" customFormat="1" ht="26.25">
      <c r="B233" s="2063" t="s">
        <v>3084</v>
      </c>
      <c r="C233" s="2036" t="str">
        <f>LOWER('Receitas (mensais)'!D296)</f>
        <v>venda de bens de investimento</v>
      </c>
      <c r="F233" s="2075"/>
      <c r="G233" s="2064">
        <f>+G234+G237+G238+G239</f>
        <v>0</v>
      </c>
      <c r="H233" s="2064">
        <f t="shared" ref="H233:R233" si="65">+H234+H237+H238+H239</f>
        <v>0</v>
      </c>
      <c r="I233" s="2064">
        <f t="shared" si="65"/>
        <v>0</v>
      </c>
      <c r="J233" s="2064">
        <f t="shared" si="65"/>
        <v>0</v>
      </c>
      <c r="K233" s="2064">
        <f t="shared" si="65"/>
        <v>0</v>
      </c>
      <c r="L233" s="2064">
        <f t="shared" si="65"/>
        <v>6476.5</v>
      </c>
      <c r="M233" s="2064">
        <f t="shared" si="65"/>
        <v>0</v>
      </c>
      <c r="N233" s="2064">
        <f t="shared" si="65"/>
        <v>0</v>
      </c>
      <c r="O233" s="2064">
        <f t="shared" si="65"/>
        <v>0</v>
      </c>
      <c r="P233" s="2064">
        <f t="shared" si="65"/>
        <v>0</v>
      </c>
      <c r="Q233" s="2064">
        <f t="shared" si="65"/>
        <v>0</v>
      </c>
      <c r="R233" s="2064">
        <f t="shared" si="65"/>
        <v>0</v>
      </c>
      <c r="S233" s="2065">
        <f t="shared" si="15"/>
        <v>6476.5</v>
      </c>
      <c r="T233" s="2169">
        <f>+[30]receitas2019!$BZ$121</f>
        <v>8611035</v>
      </c>
      <c r="U233" s="2181">
        <f t="shared" si="58"/>
        <v>-8604558.5</v>
      </c>
    </row>
    <row r="234" spans="1:26" s="1866" customFormat="1" ht="26.25">
      <c r="A234" s="1889"/>
      <c r="B234" s="1908" t="s">
        <v>3086</v>
      </c>
      <c r="C234" s="2032" t="str">
        <f>'Receitas (mensais)'!D298</f>
        <v>Terrenos e edificios</v>
      </c>
      <c r="D234" s="1911"/>
      <c r="E234" s="1984"/>
      <c r="F234" s="2072"/>
      <c r="G234" s="1984">
        <f>G235+G236</f>
        <v>0</v>
      </c>
      <c r="H234" s="1984">
        <f>H235+H236</f>
        <v>0</v>
      </c>
      <c r="I234" s="1984">
        <f t="shared" ref="I234:R234" si="66">I235+I236</f>
        <v>0</v>
      </c>
      <c r="J234" s="1984">
        <f t="shared" si="66"/>
        <v>0</v>
      </c>
      <c r="K234" s="1984">
        <f t="shared" si="66"/>
        <v>0</v>
      </c>
      <c r="L234" s="1984">
        <f t="shared" si="66"/>
        <v>0</v>
      </c>
      <c r="M234" s="1984">
        <f t="shared" si="66"/>
        <v>0</v>
      </c>
      <c r="N234" s="1984">
        <f t="shared" si="66"/>
        <v>0</v>
      </c>
      <c r="O234" s="1984">
        <f t="shared" si="66"/>
        <v>0</v>
      </c>
      <c r="P234" s="1984">
        <f t="shared" si="66"/>
        <v>0</v>
      </c>
      <c r="Q234" s="1984">
        <f t="shared" si="66"/>
        <v>0</v>
      </c>
      <c r="R234" s="1984">
        <f t="shared" si="66"/>
        <v>0</v>
      </c>
      <c r="S234" s="1980">
        <f t="shared" si="15"/>
        <v>0</v>
      </c>
      <c r="T234" s="2169">
        <f>T235+T236</f>
        <v>0</v>
      </c>
      <c r="U234" s="2178">
        <f t="shared" si="58"/>
        <v>0</v>
      </c>
      <c r="V234" s="1854"/>
      <c r="W234" s="2003"/>
      <c r="Y234" s="2008"/>
    </row>
    <row r="235" spans="1:26" s="1866" customFormat="1" ht="26.25">
      <c r="A235" s="1889"/>
      <c r="B235" s="1908" t="s">
        <v>3403</v>
      </c>
      <c r="C235" s="2060" t="str">
        <f>'Receitas (mensais)'!D299</f>
        <v>Terrenos</v>
      </c>
      <c r="D235" s="1911"/>
      <c r="E235" s="1984"/>
      <c r="F235" s="2072"/>
      <c r="G235" s="1984">
        <f>+'Receitas (mensais)'!E299</f>
        <v>0</v>
      </c>
      <c r="H235" s="1984">
        <f>+'Receitas (mensais)'!F299</f>
        <v>0</v>
      </c>
      <c r="I235" s="1984">
        <f>+'Receitas (mensais)'!G299</f>
        <v>0</v>
      </c>
      <c r="J235" s="1984">
        <f>+'Receitas (mensais)'!H299</f>
        <v>0</v>
      </c>
      <c r="K235" s="1984">
        <f>+'Receitas (mensais)'!I299</f>
        <v>0</v>
      </c>
      <c r="L235" s="1984">
        <f>+'Receitas (mensais)'!J299</f>
        <v>0</v>
      </c>
      <c r="M235" s="1984">
        <f>+'Receitas (mensais)'!K299</f>
        <v>0</v>
      </c>
      <c r="N235" s="1984">
        <f>+'Receitas (mensais)'!L299</f>
        <v>0</v>
      </c>
      <c r="O235" s="1984">
        <f>+'Receitas (mensais)'!M299</f>
        <v>0</v>
      </c>
      <c r="P235" s="1984">
        <f>+'Receitas (mensais)'!N299</f>
        <v>0</v>
      </c>
      <c r="Q235" s="1984">
        <f>+'Receitas (mensais)'!O299</f>
        <v>0</v>
      </c>
      <c r="R235" s="1984">
        <f>+'Receitas (mensais)'!P299</f>
        <v>0</v>
      </c>
      <c r="S235" s="1980">
        <f t="shared" si="15"/>
        <v>0</v>
      </c>
      <c r="T235" s="2169">
        <v>0</v>
      </c>
      <c r="U235" s="2178">
        <f t="shared" si="58"/>
        <v>0</v>
      </c>
      <c r="V235" s="1854"/>
      <c r="W235" s="2003"/>
      <c r="Y235" s="2008"/>
    </row>
    <row r="236" spans="1:26" s="1866" customFormat="1" ht="26.25">
      <c r="A236" s="1889"/>
      <c r="B236" s="1908" t="s">
        <v>3404</v>
      </c>
      <c r="C236" s="2060" t="str">
        <f>'Receitas (mensais)'!D300</f>
        <v>Edificios</v>
      </c>
      <c r="D236" s="1911"/>
      <c r="E236" s="1984"/>
      <c r="F236" s="2072"/>
      <c r="G236" s="1984">
        <f>+'Receitas (mensais)'!E300</f>
        <v>0</v>
      </c>
      <c r="H236" s="1984">
        <f>+'Receitas (mensais)'!F300</f>
        <v>0</v>
      </c>
      <c r="I236" s="1984">
        <f>+'Receitas (mensais)'!G300</f>
        <v>0</v>
      </c>
      <c r="J236" s="1984">
        <f>+'Receitas (mensais)'!H300</f>
        <v>0</v>
      </c>
      <c r="K236" s="1984">
        <f>+'Receitas (mensais)'!I300</f>
        <v>0</v>
      </c>
      <c r="L236" s="1984">
        <f>+'Receitas (mensais)'!J300</f>
        <v>0</v>
      </c>
      <c r="M236" s="1984">
        <f>+'Receitas (mensais)'!K300</f>
        <v>0</v>
      </c>
      <c r="N236" s="1984">
        <f>+'Receitas (mensais)'!L300</f>
        <v>0</v>
      </c>
      <c r="O236" s="1984">
        <f>+'Receitas (mensais)'!M300</f>
        <v>0</v>
      </c>
      <c r="P236" s="1984">
        <f>+'Receitas (mensais)'!N300</f>
        <v>0</v>
      </c>
      <c r="Q236" s="1984">
        <f>+'Receitas (mensais)'!O300</f>
        <v>0</v>
      </c>
      <c r="R236" s="1984">
        <f>+'Receitas (mensais)'!P300</f>
        <v>0</v>
      </c>
      <c r="S236" s="1980">
        <f t="shared" si="15"/>
        <v>0</v>
      </c>
      <c r="T236" s="2169">
        <v>0</v>
      </c>
      <c r="U236" s="2178">
        <f t="shared" si="58"/>
        <v>0</v>
      </c>
      <c r="V236" s="1854"/>
      <c r="W236" s="2003"/>
      <c r="Y236" s="2008"/>
    </row>
    <row r="237" spans="1:26" s="1866" customFormat="1" ht="26.25">
      <c r="A237" s="1889"/>
      <c r="B237" s="1908" t="s">
        <v>3087</v>
      </c>
      <c r="C237" s="2032" t="str">
        <f>'Receitas (mensais)'!D301</f>
        <v>Material de transporte</v>
      </c>
      <c r="D237" s="1911"/>
      <c r="E237" s="1984"/>
      <c r="F237" s="2072"/>
      <c r="G237" s="1984">
        <f>+'Receitas (mensais)'!E301</f>
        <v>0</v>
      </c>
      <c r="H237" s="1984">
        <f>+'Receitas (mensais)'!F301</f>
        <v>0</v>
      </c>
      <c r="I237" s="1984">
        <f>+'Receitas (mensais)'!G301</f>
        <v>0</v>
      </c>
      <c r="J237" s="1984">
        <f>+'Receitas (mensais)'!H301</f>
        <v>0</v>
      </c>
      <c r="K237" s="1984">
        <f>+'Receitas (mensais)'!I301</f>
        <v>0</v>
      </c>
      <c r="L237" s="1984">
        <f>+'Receitas (mensais)'!J301</f>
        <v>0</v>
      </c>
      <c r="M237" s="1984">
        <f>+'Receitas (mensais)'!K301</f>
        <v>0</v>
      </c>
      <c r="N237" s="1984">
        <f>+'Receitas (mensais)'!L301</f>
        <v>0</v>
      </c>
      <c r="O237" s="1984">
        <f>+'Receitas (mensais)'!M301</f>
        <v>0</v>
      </c>
      <c r="P237" s="1984">
        <f>+'Receitas (mensais)'!N301</f>
        <v>0</v>
      </c>
      <c r="Q237" s="1984">
        <f>+'Receitas (mensais)'!O301</f>
        <v>0</v>
      </c>
      <c r="R237" s="1984">
        <f>+'Receitas (mensais)'!P301</f>
        <v>0</v>
      </c>
      <c r="S237" s="1980">
        <f t="shared" si="15"/>
        <v>0</v>
      </c>
      <c r="T237" s="2169">
        <v>0</v>
      </c>
      <c r="U237" s="2178">
        <f t="shared" si="58"/>
        <v>0</v>
      </c>
      <c r="V237" s="1854"/>
      <c r="W237" s="2003"/>
      <c r="Y237" s="2008"/>
    </row>
    <row r="238" spans="1:26" s="1866" customFormat="1" ht="26.25">
      <c r="A238" s="1889"/>
      <c r="B238" s="1908" t="s">
        <v>3088</v>
      </c>
      <c r="C238" s="2032" t="str">
        <f>'Receitas (mensais)'!D303</f>
        <v>Maquinaria e equipamentos</v>
      </c>
      <c r="D238" s="1911"/>
      <c r="E238" s="1984"/>
      <c r="F238" s="2072"/>
      <c r="G238" s="1984">
        <f>+'Receitas (mensais)'!E303</f>
        <v>0</v>
      </c>
      <c r="H238" s="1984">
        <f>+'Receitas (mensais)'!F303</f>
        <v>0</v>
      </c>
      <c r="I238" s="1984">
        <f>+'Receitas (mensais)'!G303</f>
        <v>0</v>
      </c>
      <c r="J238" s="1984">
        <f>+'Receitas (mensais)'!H303</f>
        <v>0</v>
      </c>
      <c r="K238" s="1984">
        <f>+'Receitas (mensais)'!I303</f>
        <v>0</v>
      </c>
      <c r="L238" s="1984">
        <f>+'Receitas (mensais)'!J303</f>
        <v>0</v>
      </c>
      <c r="M238" s="1984">
        <f>+'Receitas (mensais)'!K303</f>
        <v>0</v>
      </c>
      <c r="N238" s="1984">
        <f>+'Receitas (mensais)'!L303</f>
        <v>0</v>
      </c>
      <c r="O238" s="1984">
        <f>+'Receitas (mensais)'!M303</f>
        <v>0</v>
      </c>
      <c r="P238" s="1984">
        <f>+'Receitas (mensais)'!N303</f>
        <v>0</v>
      </c>
      <c r="Q238" s="1984">
        <f>+'Receitas (mensais)'!O303</f>
        <v>0</v>
      </c>
      <c r="R238" s="1984">
        <f>+'Receitas (mensais)'!P303</f>
        <v>0</v>
      </c>
      <c r="S238" s="1980">
        <f t="shared" si="15"/>
        <v>0</v>
      </c>
      <c r="T238" s="2169">
        <v>0</v>
      </c>
      <c r="U238" s="2178">
        <f t="shared" si="58"/>
        <v>0</v>
      </c>
      <c r="V238" s="1854"/>
      <c r="W238" s="2003"/>
      <c r="Y238" s="2008"/>
    </row>
    <row r="239" spans="1:26" s="1866" customFormat="1" ht="26.25">
      <c r="A239" s="1889"/>
      <c r="B239" s="1908" t="s">
        <v>3405</v>
      </c>
      <c r="C239" s="2032" t="str">
        <f>'Receitas (mensais)'!D305</f>
        <v>Animais e outros investimentos</v>
      </c>
      <c r="D239" s="1911"/>
      <c r="E239" s="1984"/>
      <c r="F239" s="2072"/>
      <c r="G239" s="1984">
        <f>+'Receitas (mensais)'!E305</f>
        <v>0</v>
      </c>
      <c r="H239" s="1984">
        <f>+'Receitas (mensais)'!F305</f>
        <v>0</v>
      </c>
      <c r="I239" s="1984">
        <f>+'Receitas (mensais)'!G305</f>
        <v>0</v>
      </c>
      <c r="J239" s="1984">
        <f>+'Receitas (mensais)'!H305</f>
        <v>0</v>
      </c>
      <c r="K239" s="1984">
        <f>+'Receitas (mensais)'!I305</f>
        <v>0</v>
      </c>
      <c r="L239" s="1984">
        <f>+'Receitas (mensais)'!J305</f>
        <v>6476.5</v>
      </c>
      <c r="M239" s="1984">
        <f>+'Receitas (mensais)'!K305</f>
        <v>0</v>
      </c>
      <c r="N239" s="1984">
        <f>+'Receitas (mensais)'!L305</f>
        <v>0</v>
      </c>
      <c r="O239" s="1984">
        <f>+'Receitas (mensais)'!M305</f>
        <v>0</v>
      </c>
      <c r="P239" s="1984">
        <f>+'Receitas (mensais)'!N305</f>
        <v>0</v>
      </c>
      <c r="Q239" s="1984">
        <f>+'Receitas (mensais)'!O305</f>
        <v>0</v>
      </c>
      <c r="R239" s="1984">
        <f>+'Receitas (mensais)'!P305</f>
        <v>0</v>
      </c>
      <c r="S239" s="1980">
        <f t="shared" si="15"/>
        <v>6476.5</v>
      </c>
      <c r="T239" s="2169">
        <f>+[30]receitas2019!$BZ$121</f>
        <v>8611035</v>
      </c>
      <c r="U239" s="2181">
        <f t="shared" si="58"/>
        <v>-8604558.5</v>
      </c>
      <c r="V239" s="1854"/>
      <c r="W239" s="2003"/>
      <c r="Y239" s="2008"/>
    </row>
    <row r="240" spans="1:26" s="2036" customFormat="1" ht="26.25">
      <c r="B240" s="2063" t="s">
        <v>3085</v>
      </c>
      <c r="C240" s="2036" t="s">
        <v>3401</v>
      </c>
      <c r="F240" s="2075"/>
      <c r="G240" s="2038">
        <f>+G241+G244+G247+G249+G252+G258+G266</f>
        <v>0</v>
      </c>
      <c r="H240" s="2038">
        <f t="shared" ref="H240:R240" si="67">+H241+H244+H247+H249+H252+H258+H266</f>
        <v>0</v>
      </c>
      <c r="I240" s="2038">
        <f t="shared" si="67"/>
        <v>5639113.0300000003</v>
      </c>
      <c r="J240" s="2038">
        <f t="shared" si="67"/>
        <v>0</v>
      </c>
      <c r="K240" s="2038">
        <f t="shared" si="67"/>
        <v>0</v>
      </c>
      <c r="L240" s="2038">
        <f t="shared" si="67"/>
        <v>0</v>
      </c>
      <c r="M240" s="2038">
        <f t="shared" si="67"/>
        <v>0</v>
      </c>
      <c r="N240" s="2038">
        <f t="shared" si="67"/>
        <v>0</v>
      </c>
      <c r="O240" s="2038">
        <f t="shared" si="67"/>
        <v>0</v>
      </c>
      <c r="P240" s="2038">
        <f t="shared" si="67"/>
        <v>0</v>
      </c>
      <c r="Q240" s="2038">
        <f t="shared" si="67"/>
        <v>0</v>
      </c>
      <c r="R240" s="2038">
        <f t="shared" si="67"/>
        <v>0</v>
      </c>
      <c r="S240" s="2038">
        <f t="shared" si="15"/>
        <v>5639113.0300000003</v>
      </c>
      <c r="T240" s="2169">
        <f>+[30]receitas2019!$BZ$97/1000</f>
        <v>0</v>
      </c>
      <c r="U240" s="2181">
        <f t="shared" si="58"/>
        <v>5639113.0300000003</v>
      </c>
    </row>
    <row r="241" spans="1:25" s="1866" customFormat="1" ht="52.5">
      <c r="A241" s="1889"/>
      <c r="B241" s="1908" t="s">
        <v>3406</v>
      </c>
      <c r="C241" s="2066" t="str">
        <f>'Receitas (mensais)'!D166</f>
        <v xml:space="preserve">Dividendo e Participação nos Lucros de Sociedades / Quasi-Sociedade Não Financeira </v>
      </c>
      <c r="D241" s="1911"/>
      <c r="E241" s="1984"/>
      <c r="F241" s="2072"/>
      <c r="G241" s="1984">
        <f>+G242</f>
        <v>0</v>
      </c>
      <c r="H241" s="1984">
        <f t="shared" ref="H241:R242" si="68">+H242</f>
        <v>0</v>
      </c>
      <c r="I241" s="1984">
        <f t="shared" si="68"/>
        <v>0</v>
      </c>
      <c r="J241" s="1984">
        <f t="shared" si="68"/>
        <v>0</v>
      </c>
      <c r="K241" s="1984">
        <f t="shared" si="68"/>
        <v>0</v>
      </c>
      <c r="L241" s="1984">
        <f t="shared" si="68"/>
        <v>0</v>
      </c>
      <c r="M241" s="1984">
        <f t="shared" si="68"/>
        <v>0</v>
      </c>
      <c r="N241" s="1984">
        <f t="shared" si="68"/>
        <v>0</v>
      </c>
      <c r="O241" s="1984">
        <f t="shared" si="68"/>
        <v>0</v>
      </c>
      <c r="P241" s="1984">
        <f t="shared" si="68"/>
        <v>0</v>
      </c>
      <c r="Q241" s="1984">
        <f t="shared" si="68"/>
        <v>0</v>
      </c>
      <c r="R241" s="1984">
        <f t="shared" si="68"/>
        <v>0</v>
      </c>
      <c r="S241" s="1980">
        <f t="shared" si="15"/>
        <v>0</v>
      </c>
      <c r="T241" s="2169">
        <f>+T242</f>
        <v>0</v>
      </c>
      <c r="U241" s="2178">
        <f t="shared" si="58"/>
        <v>0</v>
      </c>
      <c r="V241" s="1854"/>
      <c r="W241" s="2003"/>
      <c r="Y241" s="2008"/>
    </row>
    <row r="242" spans="1:25" s="1866" customFormat="1" ht="26.25">
      <c r="A242" s="1889"/>
      <c r="B242" s="1908" t="s">
        <v>3408</v>
      </c>
      <c r="C242" s="2060" t="str">
        <f>'Receitas (mensais)'!D167</f>
        <v>Empresas publicas ou equiparadas</v>
      </c>
      <c r="D242" s="1911"/>
      <c r="E242" s="1984"/>
      <c r="F242" s="2072"/>
      <c r="G242" s="1984">
        <f>+G243</f>
        <v>0</v>
      </c>
      <c r="H242" s="1984">
        <f t="shared" si="68"/>
        <v>0</v>
      </c>
      <c r="I242" s="1984">
        <f t="shared" si="68"/>
        <v>0</v>
      </c>
      <c r="J242" s="1984">
        <f t="shared" si="68"/>
        <v>0</v>
      </c>
      <c r="K242" s="1984">
        <f t="shared" si="68"/>
        <v>0</v>
      </c>
      <c r="L242" s="1984">
        <f t="shared" si="68"/>
        <v>0</v>
      </c>
      <c r="M242" s="1984">
        <f t="shared" si="68"/>
        <v>0</v>
      </c>
      <c r="N242" s="1984">
        <f t="shared" si="68"/>
        <v>0</v>
      </c>
      <c r="O242" s="1984">
        <f t="shared" si="68"/>
        <v>0</v>
      </c>
      <c r="P242" s="1984">
        <f t="shared" si="68"/>
        <v>0</v>
      </c>
      <c r="Q242" s="1984">
        <f t="shared" si="68"/>
        <v>0</v>
      </c>
      <c r="R242" s="1984">
        <f t="shared" si="68"/>
        <v>0</v>
      </c>
      <c r="S242" s="1980">
        <f t="shared" si="15"/>
        <v>0</v>
      </c>
      <c r="T242" s="2169">
        <f>+T243</f>
        <v>0</v>
      </c>
      <c r="U242" s="2178">
        <f t="shared" si="58"/>
        <v>0</v>
      </c>
      <c r="V242" s="1854"/>
      <c r="W242" s="2003"/>
      <c r="Y242" s="2008"/>
    </row>
    <row r="243" spans="1:25" s="1866" customFormat="1" ht="26.25">
      <c r="A243" s="1889"/>
      <c r="B243" s="1908" t="s">
        <v>3409</v>
      </c>
      <c r="C243" s="2060" t="str">
        <f>+'Receitas (mensais)'!D168</f>
        <v xml:space="preserve">      -Participação Lucros Empr. Públicas</v>
      </c>
      <c r="D243" s="1911"/>
      <c r="E243" s="1984"/>
      <c r="F243" s="2072"/>
      <c r="G243" s="1984">
        <f>+'Receitas (mensais)'!E168</f>
        <v>0</v>
      </c>
      <c r="H243" s="1984">
        <f>+'Receitas (mensais)'!F168</f>
        <v>0</v>
      </c>
      <c r="I243" s="1984">
        <f>+'Receitas (mensais)'!G168</f>
        <v>0</v>
      </c>
      <c r="J243" s="1984">
        <f>+'Receitas (mensais)'!H168</f>
        <v>0</v>
      </c>
      <c r="K243" s="1984">
        <f>+'Receitas (mensais)'!I168</f>
        <v>0</v>
      </c>
      <c r="L243" s="1984">
        <f>+'Receitas (mensais)'!J168</f>
        <v>0</v>
      </c>
      <c r="M243" s="1984">
        <f>+'Receitas (mensais)'!K168</f>
        <v>0</v>
      </c>
      <c r="N243" s="1984">
        <f>+'Receitas (mensais)'!L168</f>
        <v>0</v>
      </c>
      <c r="O243" s="1984">
        <f>+'Receitas (mensais)'!M168</f>
        <v>0</v>
      </c>
      <c r="P243" s="1984">
        <f>+'Receitas (mensais)'!N168</f>
        <v>0</v>
      </c>
      <c r="Q243" s="1984">
        <f>+'Receitas (mensais)'!O168</f>
        <v>0</v>
      </c>
      <c r="R243" s="1984">
        <f>+'Receitas (mensais)'!P168</f>
        <v>0</v>
      </c>
      <c r="S243" s="1980">
        <f t="shared" si="15"/>
        <v>0</v>
      </c>
      <c r="T243" s="2169">
        <v>0</v>
      </c>
      <c r="U243" s="2178">
        <f t="shared" si="58"/>
        <v>0</v>
      </c>
      <c r="V243" s="1854"/>
      <c r="W243" s="2003"/>
      <c r="Y243" s="2008"/>
    </row>
    <row r="244" spans="1:25" s="1866" customFormat="1" ht="26.25">
      <c r="A244" s="1889"/>
      <c r="B244" s="1908" t="s">
        <v>3407</v>
      </c>
      <c r="C244" s="2032" t="str">
        <f>'Receitas (mensais)'!D169</f>
        <v>Dividendo e Participação nos Lucros de Institutos de Crédito</v>
      </c>
      <c r="D244" s="1911"/>
      <c r="E244" s="1984"/>
      <c r="F244" s="2072"/>
      <c r="G244" s="1984">
        <f>+G245+G246</f>
        <v>0</v>
      </c>
      <c r="H244" s="1984">
        <f t="shared" ref="H244:R244" si="69">+H245+H246</f>
        <v>0</v>
      </c>
      <c r="I244" s="1984">
        <f t="shared" si="69"/>
        <v>5000000</v>
      </c>
      <c r="J244" s="1984">
        <f t="shared" si="69"/>
        <v>0</v>
      </c>
      <c r="K244" s="1984">
        <f t="shared" si="69"/>
        <v>0</v>
      </c>
      <c r="L244" s="1984">
        <f t="shared" si="69"/>
        <v>0</v>
      </c>
      <c r="M244" s="1984">
        <f t="shared" si="69"/>
        <v>0</v>
      </c>
      <c r="N244" s="1984">
        <f t="shared" si="69"/>
        <v>0</v>
      </c>
      <c r="O244" s="1984">
        <f t="shared" si="69"/>
        <v>0</v>
      </c>
      <c r="P244" s="1984">
        <f t="shared" si="69"/>
        <v>0</v>
      </c>
      <c r="Q244" s="1984">
        <f t="shared" si="69"/>
        <v>0</v>
      </c>
      <c r="R244" s="1984">
        <f t="shared" si="69"/>
        <v>0</v>
      </c>
      <c r="S244" s="1980">
        <f t="shared" si="15"/>
        <v>5000000</v>
      </c>
      <c r="T244" s="2169">
        <f>+T245+T246</f>
        <v>5000000</v>
      </c>
      <c r="U244" s="2178">
        <f t="shared" si="58"/>
        <v>0</v>
      </c>
      <c r="V244" s="1854"/>
      <c r="W244" s="2003"/>
      <c r="Y244" s="2008"/>
    </row>
    <row r="245" spans="1:25" s="1866" customFormat="1" ht="26.25">
      <c r="A245" s="1889"/>
      <c r="B245" s="1908" t="s">
        <v>3411</v>
      </c>
      <c r="C245" s="2060" t="str">
        <f>'Receitas (mensais)'!D170</f>
        <v>BCEAO</v>
      </c>
      <c r="D245" s="1911"/>
      <c r="E245" s="1984"/>
      <c r="F245" s="2072"/>
      <c r="G245" s="1984">
        <f>+'Receitas (mensais)'!E170</f>
        <v>0</v>
      </c>
      <c r="H245" s="1984">
        <f>+'Receitas (mensais)'!F170</f>
        <v>0</v>
      </c>
      <c r="I245" s="1984">
        <f>+'Receitas (mensais)'!G170</f>
        <v>5000000</v>
      </c>
      <c r="J245" s="1984">
        <f>+'Receitas (mensais)'!H170</f>
        <v>0</v>
      </c>
      <c r="K245" s="1984">
        <f>+'Receitas (mensais)'!I170</f>
        <v>0</v>
      </c>
      <c r="L245" s="1984">
        <f>+'Receitas (mensais)'!J170</f>
        <v>0</v>
      </c>
      <c r="M245" s="1984">
        <f>+'Receitas (mensais)'!K170</f>
        <v>0</v>
      </c>
      <c r="N245" s="1984">
        <f>+'Receitas (mensais)'!L170</f>
        <v>0</v>
      </c>
      <c r="O245" s="1984">
        <f>+'Receitas (mensais)'!M170</f>
        <v>0</v>
      </c>
      <c r="P245" s="1984">
        <f>+'Receitas (mensais)'!N170</f>
        <v>0</v>
      </c>
      <c r="Q245" s="1984">
        <f>+'Receitas (mensais)'!O170</f>
        <v>0</v>
      </c>
      <c r="R245" s="1984">
        <f>+'Receitas (mensais)'!P170</f>
        <v>0</v>
      </c>
      <c r="S245" s="1980">
        <f t="shared" si="15"/>
        <v>5000000</v>
      </c>
      <c r="T245" s="2169">
        <v>5000000</v>
      </c>
      <c r="U245" s="2178">
        <f t="shared" si="58"/>
        <v>0</v>
      </c>
      <c r="V245" s="1854"/>
      <c r="W245" s="2003"/>
      <c r="Y245" s="2008"/>
    </row>
    <row r="246" spans="1:25" s="1866" customFormat="1" ht="26.25">
      <c r="A246" s="1889"/>
      <c r="B246" s="1908" t="s">
        <v>3412</v>
      </c>
      <c r="C246" s="2060" t="str">
        <f>'Receitas (mensais)'!D171</f>
        <v>Banco Internacional da G-Bissau</v>
      </c>
      <c r="D246" s="1911"/>
      <c r="E246" s="1984"/>
      <c r="F246" s="2072"/>
      <c r="G246" s="1984">
        <f>+'Receitas (mensais)'!E171</f>
        <v>0</v>
      </c>
      <c r="H246" s="1984">
        <f>+'Receitas (mensais)'!F171</f>
        <v>0</v>
      </c>
      <c r="I246" s="1984">
        <f>+'Receitas (mensais)'!G171</f>
        <v>0</v>
      </c>
      <c r="J246" s="1984">
        <f>+'Receitas (mensais)'!H171</f>
        <v>0</v>
      </c>
      <c r="K246" s="1984">
        <f>+'Receitas (mensais)'!I171</f>
        <v>0</v>
      </c>
      <c r="L246" s="1984">
        <f>+'Receitas (mensais)'!J171</f>
        <v>0</v>
      </c>
      <c r="M246" s="1984">
        <f>+'Receitas (mensais)'!K171</f>
        <v>0</v>
      </c>
      <c r="N246" s="1984">
        <f>+'Receitas (mensais)'!L171</f>
        <v>0</v>
      </c>
      <c r="O246" s="1984">
        <f>+'Receitas (mensais)'!M171</f>
        <v>0</v>
      </c>
      <c r="P246" s="1984">
        <f>+'Receitas (mensais)'!N171</f>
        <v>0</v>
      </c>
      <c r="Q246" s="1984">
        <f>+'Receitas (mensais)'!O171</f>
        <v>0</v>
      </c>
      <c r="R246" s="1984">
        <f>+'Receitas (mensais)'!P171</f>
        <v>0</v>
      </c>
      <c r="S246" s="1980">
        <f t="shared" si="15"/>
        <v>0</v>
      </c>
      <c r="T246" s="2169">
        <v>0</v>
      </c>
      <c r="U246" s="2178">
        <f t="shared" si="58"/>
        <v>0</v>
      </c>
      <c r="V246" s="1854"/>
      <c r="W246" s="2003"/>
      <c r="Y246" s="2008"/>
    </row>
    <row r="247" spans="1:25" s="1866" customFormat="1" ht="26.25">
      <c r="A247" s="1889"/>
      <c r="B247" s="1908" t="s">
        <v>3410</v>
      </c>
      <c r="C247" s="2032" t="str">
        <f>'Receitas (mensais)'!D173</f>
        <v>Dividendo e Participação nos Lucros de Empresas de Seguros</v>
      </c>
      <c r="D247" s="1911"/>
      <c r="E247" s="1984"/>
      <c r="F247" s="2072"/>
      <c r="G247" s="1984">
        <f>+G248</f>
        <v>0</v>
      </c>
      <c r="H247" s="1984">
        <f t="shared" ref="H247:R247" si="70">+H248</f>
        <v>0</v>
      </c>
      <c r="I247" s="1984">
        <f t="shared" si="70"/>
        <v>0</v>
      </c>
      <c r="J247" s="1984">
        <f t="shared" si="70"/>
        <v>0</v>
      </c>
      <c r="K247" s="1984">
        <f t="shared" si="70"/>
        <v>0</v>
      </c>
      <c r="L247" s="1984">
        <f t="shared" si="70"/>
        <v>0</v>
      </c>
      <c r="M247" s="1984">
        <f t="shared" si="70"/>
        <v>0</v>
      </c>
      <c r="N247" s="1984">
        <f t="shared" si="70"/>
        <v>0</v>
      </c>
      <c r="O247" s="1984">
        <f t="shared" si="70"/>
        <v>0</v>
      </c>
      <c r="P247" s="1984">
        <f t="shared" si="70"/>
        <v>0</v>
      </c>
      <c r="Q247" s="1984">
        <f t="shared" si="70"/>
        <v>0</v>
      </c>
      <c r="R247" s="1984">
        <f t="shared" si="70"/>
        <v>0</v>
      </c>
      <c r="S247" s="1980">
        <f t="shared" si="15"/>
        <v>0</v>
      </c>
      <c r="T247" s="2169">
        <v>0</v>
      </c>
      <c r="U247" s="2178">
        <f t="shared" si="58"/>
        <v>0</v>
      </c>
      <c r="V247" s="1854"/>
      <c r="W247" s="2003"/>
      <c r="Y247" s="2008"/>
    </row>
    <row r="248" spans="1:25" s="1866" customFormat="1" ht="26.25">
      <c r="A248" s="1889"/>
      <c r="B248" s="1908" t="s">
        <v>3414</v>
      </c>
      <c r="C248" s="2060" t="str">
        <f>'Receitas (mensais)'!D174</f>
        <v>I.N.S.P.S.</v>
      </c>
      <c r="D248" s="1911"/>
      <c r="E248" s="1984"/>
      <c r="F248" s="2072"/>
      <c r="G248" s="1984">
        <f>+'Receitas (mensais)'!E174</f>
        <v>0</v>
      </c>
      <c r="H248" s="1984">
        <f>+'Receitas (mensais)'!F174</f>
        <v>0</v>
      </c>
      <c r="I248" s="1984">
        <f>+'Receitas (mensais)'!G174</f>
        <v>0</v>
      </c>
      <c r="J248" s="1984">
        <f>+'Receitas (mensais)'!H174</f>
        <v>0</v>
      </c>
      <c r="K248" s="1984">
        <f>+'Receitas (mensais)'!I174</f>
        <v>0</v>
      </c>
      <c r="L248" s="1984">
        <f>+'Receitas (mensais)'!J174</f>
        <v>0</v>
      </c>
      <c r="M248" s="1984">
        <f>+'Receitas (mensais)'!K174</f>
        <v>0</v>
      </c>
      <c r="N248" s="1984">
        <f>+'Receitas (mensais)'!L174</f>
        <v>0</v>
      </c>
      <c r="O248" s="1984">
        <f>+'Receitas (mensais)'!M174</f>
        <v>0</v>
      </c>
      <c r="P248" s="1984">
        <f>+'Receitas (mensais)'!N174</f>
        <v>0</v>
      </c>
      <c r="Q248" s="1984">
        <f>+'Receitas (mensais)'!O174</f>
        <v>0</v>
      </c>
      <c r="R248" s="1984">
        <f>+'Receitas (mensais)'!P174</f>
        <v>0</v>
      </c>
      <c r="S248" s="1980">
        <f t="shared" si="15"/>
        <v>0</v>
      </c>
      <c r="T248" s="2169">
        <v>0</v>
      </c>
      <c r="U248" s="2178">
        <f t="shared" si="58"/>
        <v>0</v>
      </c>
      <c r="V248" s="1854"/>
      <c r="W248" s="2003"/>
      <c r="Y248" s="2008"/>
    </row>
    <row r="249" spans="1:25" s="1866" customFormat="1" ht="26.25">
      <c r="A249" s="1889"/>
      <c r="B249" s="1908" t="s">
        <v>3413</v>
      </c>
      <c r="C249" s="2032" t="str">
        <f>'Receitas (mensais)'!D176</f>
        <v>Rendimentos diversos</v>
      </c>
      <c r="D249" s="1911"/>
      <c r="E249" s="1984"/>
      <c r="F249" s="2072"/>
      <c r="G249" s="1984">
        <f>G250+G251</f>
        <v>0</v>
      </c>
      <c r="H249" s="1984">
        <f t="shared" ref="H249:R249" si="71">H250+H251</f>
        <v>0</v>
      </c>
      <c r="I249" s="1984">
        <f t="shared" si="71"/>
        <v>639113.03</v>
      </c>
      <c r="J249" s="1984">
        <f t="shared" si="71"/>
        <v>0</v>
      </c>
      <c r="K249" s="1984">
        <f t="shared" si="71"/>
        <v>0</v>
      </c>
      <c r="L249" s="1984">
        <f t="shared" si="71"/>
        <v>0</v>
      </c>
      <c r="M249" s="1984">
        <f t="shared" si="71"/>
        <v>0</v>
      </c>
      <c r="N249" s="1984">
        <f t="shared" si="71"/>
        <v>0</v>
      </c>
      <c r="O249" s="1984">
        <f t="shared" si="71"/>
        <v>0</v>
      </c>
      <c r="P249" s="1984">
        <f t="shared" si="71"/>
        <v>0</v>
      </c>
      <c r="Q249" s="1984">
        <f t="shared" si="71"/>
        <v>0</v>
      </c>
      <c r="R249" s="1984">
        <f t="shared" si="71"/>
        <v>0</v>
      </c>
      <c r="S249" s="1980">
        <f t="shared" si="15"/>
        <v>639113.03</v>
      </c>
      <c r="T249" s="2169">
        <f>+S249</f>
        <v>639113.03</v>
      </c>
      <c r="U249" s="2178">
        <f t="shared" si="58"/>
        <v>0</v>
      </c>
      <c r="V249" s="1854"/>
      <c r="W249" s="2003"/>
      <c r="Y249" s="2008"/>
    </row>
    <row r="250" spans="1:25" s="1866" customFormat="1" ht="26.25">
      <c r="A250" s="1889"/>
      <c r="B250" s="1908" t="s">
        <v>3416</v>
      </c>
      <c r="C250" s="2060" t="str">
        <f>'Receitas (mensais)'!D177</f>
        <v>Juros - Sector Publico -BCEAO</v>
      </c>
      <c r="D250" s="1911"/>
      <c r="E250" s="1984"/>
      <c r="F250" s="2072"/>
      <c r="G250" s="1984">
        <f>+'Receitas (mensais)'!E177</f>
        <v>0</v>
      </c>
      <c r="H250" s="1984">
        <f>+'Receitas (mensais)'!F177</f>
        <v>0</v>
      </c>
      <c r="I250" s="1984">
        <f>+'Receitas (mensais)'!G177</f>
        <v>639113.03</v>
      </c>
      <c r="J250" s="1984">
        <f>+'Receitas (mensais)'!H177</f>
        <v>0</v>
      </c>
      <c r="K250" s="1984">
        <f>+'Receitas (mensais)'!I177</f>
        <v>0</v>
      </c>
      <c r="L250" s="1984">
        <f>+'Receitas (mensais)'!J177</f>
        <v>0</v>
      </c>
      <c r="M250" s="1984">
        <f>+'Receitas (mensais)'!K177</f>
        <v>0</v>
      </c>
      <c r="N250" s="1984">
        <f>+'Receitas (mensais)'!L177</f>
        <v>0</v>
      </c>
      <c r="O250" s="1984">
        <f>+'Receitas (mensais)'!M177</f>
        <v>0</v>
      </c>
      <c r="P250" s="1984">
        <f>+'Receitas (mensais)'!N177</f>
        <v>0</v>
      </c>
      <c r="Q250" s="1984">
        <f>+'Receitas (mensais)'!O177</f>
        <v>0</v>
      </c>
      <c r="R250" s="1984">
        <f>+'Receitas (mensais)'!P177</f>
        <v>0</v>
      </c>
      <c r="S250" s="1980">
        <f t="shared" si="15"/>
        <v>639113.03</v>
      </c>
      <c r="T250" s="2169">
        <f>+S250</f>
        <v>639113.03</v>
      </c>
      <c r="U250" s="2178">
        <f t="shared" si="58"/>
        <v>0</v>
      </c>
      <c r="V250" s="1854"/>
      <c r="W250" s="2003"/>
      <c r="Y250" s="2008"/>
    </row>
    <row r="251" spans="1:25" s="1866" customFormat="1" ht="26.25">
      <c r="A251" s="1889"/>
      <c r="B251" s="1908" t="s">
        <v>3417</v>
      </c>
      <c r="C251" s="2060" t="str">
        <f>'Receitas (mensais)'!D178</f>
        <v>Juros - Sector Publico - Outros</v>
      </c>
      <c r="D251" s="1911"/>
      <c r="E251" s="1984"/>
      <c r="F251" s="2072"/>
      <c r="G251" s="1984">
        <f>+'Receitas (mensais)'!E178</f>
        <v>0</v>
      </c>
      <c r="H251" s="1984">
        <f>+'Receitas (mensais)'!F178</f>
        <v>0</v>
      </c>
      <c r="I251" s="1984">
        <f>+'Receitas (mensais)'!G178</f>
        <v>0</v>
      </c>
      <c r="J251" s="1984">
        <f>+'Receitas (mensais)'!H178</f>
        <v>0</v>
      </c>
      <c r="K251" s="1984">
        <f>+'Receitas (mensais)'!I178</f>
        <v>0</v>
      </c>
      <c r="L251" s="1984">
        <f>+'Receitas (mensais)'!J178</f>
        <v>0</v>
      </c>
      <c r="M251" s="1984">
        <f>+'Receitas (mensais)'!K178</f>
        <v>0</v>
      </c>
      <c r="N251" s="1984">
        <f>+'Receitas (mensais)'!L178</f>
        <v>0</v>
      </c>
      <c r="O251" s="1984">
        <f>+'Receitas (mensais)'!M178</f>
        <v>0</v>
      </c>
      <c r="P251" s="1984">
        <f>+'Receitas (mensais)'!N178</f>
        <v>0</v>
      </c>
      <c r="Q251" s="1984">
        <f>+'Receitas (mensais)'!O178</f>
        <v>0</v>
      </c>
      <c r="R251" s="1984">
        <f>+'Receitas (mensais)'!P178</f>
        <v>0</v>
      </c>
      <c r="S251" s="1980">
        <f t="shared" si="15"/>
        <v>0</v>
      </c>
      <c r="T251" s="2169">
        <v>0</v>
      </c>
      <c r="U251" s="2178">
        <f t="shared" si="58"/>
        <v>0</v>
      </c>
      <c r="V251" s="1854"/>
      <c r="W251" s="2003"/>
      <c r="Y251" s="2008"/>
    </row>
    <row r="252" spans="1:25" s="1866" customFormat="1" ht="26.25">
      <c r="A252" s="1889"/>
      <c r="B252" s="1908" t="s">
        <v>3415</v>
      </c>
      <c r="C252" s="2032" t="str">
        <f>'Receitas (mensais)'!D180</f>
        <v>Rendas de terrenos</v>
      </c>
      <c r="D252" s="1911"/>
      <c r="E252" s="1984"/>
      <c r="F252" s="2072"/>
      <c r="G252" s="1984">
        <f>SUM(G253:G257)</f>
        <v>0</v>
      </c>
      <c r="H252" s="1984">
        <f t="shared" ref="H252:R252" si="72">SUM(H253:H257)</f>
        <v>0</v>
      </c>
      <c r="I252" s="1984">
        <f t="shared" si="72"/>
        <v>0</v>
      </c>
      <c r="J252" s="1984">
        <f t="shared" si="72"/>
        <v>0</v>
      </c>
      <c r="K252" s="1984">
        <f t="shared" si="72"/>
        <v>0</v>
      </c>
      <c r="L252" s="1984">
        <f t="shared" si="72"/>
        <v>0</v>
      </c>
      <c r="M252" s="1984">
        <f t="shared" si="72"/>
        <v>0</v>
      </c>
      <c r="N252" s="1984">
        <f t="shared" si="72"/>
        <v>0</v>
      </c>
      <c r="O252" s="1984">
        <f t="shared" si="72"/>
        <v>0</v>
      </c>
      <c r="P252" s="1984">
        <f t="shared" si="72"/>
        <v>0</v>
      </c>
      <c r="Q252" s="1984">
        <f t="shared" si="72"/>
        <v>0</v>
      </c>
      <c r="R252" s="1984">
        <f t="shared" si="72"/>
        <v>0</v>
      </c>
      <c r="S252" s="1980">
        <f t="shared" si="15"/>
        <v>0</v>
      </c>
      <c r="T252" s="2169">
        <v>0</v>
      </c>
      <c r="U252" s="2178">
        <f t="shared" si="58"/>
        <v>0</v>
      </c>
      <c r="V252" s="1854"/>
      <c r="W252" s="2003"/>
      <c r="Y252" s="2008"/>
    </row>
    <row r="253" spans="1:25" s="1866" customFormat="1" ht="26.25">
      <c r="A253" s="1889"/>
      <c r="B253" s="1908" t="s">
        <v>3419</v>
      </c>
      <c r="C253" s="2060" t="str">
        <f>'Receitas (mensais)'!D181</f>
        <v>Soc. e quasi-soc. nao financeiras</v>
      </c>
      <c r="D253" s="1911"/>
      <c r="E253" s="1984"/>
      <c r="F253" s="2072"/>
      <c r="G253" s="1984">
        <f>+'Receitas (mensais)'!E181</f>
        <v>0</v>
      </c>
      <c r="H253" s="1984">
        <f>+'Receitas (mensais)'!F181</f>
        <v>0</v>
      </c>
      <c r="I253" s="1984">
        <f>+'Receitas (mensais)'!G181</f>
        <v>0</v>
      </c>
      <c r="J253" s="1984">
        <f>+'Receitas (mensais)'!H181</f>
        <v>0</v>
      </c>
      <c r="K253" s="1984">
        <f>+'Receitas (mensais)'!I181</f>
        <v>0</v>
      </c>
      <c r="L253" s="1984">
        <f>+'Receitas (mensais)'!J181</f>
        <v>0</v>
      </c>
      <c r="M253" s="1984">
        <f>+'Receitas (mensais)'!K181</f>
        <v>0</v>
      </c>
      <c r="N253" s="1984">
        <f>+'Receitas (mensais)'!L181</f>
        <v>0</v>
      </c>
      <c r="O253" s="1984">
        <f>+'Receitas (mensais)'!M181</f>
        <v>0</v>
      </c>
      <c r="P253" s="1984">
        <f>+'Receitas (mensais)'!N181</f>
        <v>0</v>
      </c>
      <c r="Q253" s="1984">
        <f>+'Receitas (mensais)'!O181</f>
        <v>0</v>
      </c>
      <c r="R253" s="1984">
        <f>+'Receitas (mensais)'!P181</f>
        <v>0</v>
      </c>
      <c r="S253" s="1980">
        <f t="shared" si="15"/>
        <v>0</v>
      </c>
      <c r="T253" s="2169">
        <f>+'Receitas (mensais)'!R181</f>
        <v>0</v>
      </c>
      <c r="U253" s="2178">
        <f t="shared" si="58"/>
        <v>0</v>
      </c>
      <c r="V253" s="1854"/>
      <c r="W253" s="2003"/>
      <c r="Y253" s="2008"/>
    </row>
    <row r="254" spans="1:25" s="1866" customFormat="1" ht="26.25">
      <c r="A254" s="1889"/>
      <c r="B254" s="1908" t="s">
        <v>3420</v>
      </c>
      <c r="C254" s="2060" t="str">
        <f>'Receitas (mensais)'!D182</f>
        <v>Administraçoes publicas</v>
      </c>
      <c r="D254" s="1911"/>
      <c r="E254" s="1984"/>
      <c r="F254" s="2072"/>
      <c r="G254" s="1984">
        <f>+'Receitas (mensais)'!E182</f>
        <v>0</v>
      </c>
      <c r="H254" s="1984">
        <f>+'Receitas (mensais)'!F182</f>
        <v>0</v>
      </c>
      <c r="I254" s="1984">
        <f>+'Receitas (mensais)'!G182</f>
        <v>0</v>
      </c>
      <c r="J254" s="1984">
        <f>+'Receitas (mensais)'!H182</f>
        <v>0</v>
      </c>
      <c r="K254" s="1984">
        <f>+'Receitas (mensais)'!I182</f>
        <v>0</v>
      </c>
      <c r="L254" s="1984">
        <f>+'Receitas (mensais)'!J182</f>
        <v>0</v>
      </c>
      <c r="M254" s="1984">
        <f>+'Receitas (mensais)'!K182</f>
        <v>0</v>
      </c>
      <c r="N254" s="1984">
        <f>+'Receitas (mensais)'!L182</f>
        <v>0</v>
      </c>
      <c r="O254" s="1984">
        <f>+'Receitas (mensais)'!M182</f>
        <v>0</v>
      </c>
      <c r="P254" s="1984">
        <f>+'Receitas (mensais)'!N182</f>
        <v>0</v>
      </c>
      <c r="Q254" s="1984">
        <f>+'Receitas (mensais)'!O182</f>
        <v>0</v>
      </c>
      <c r="R254" s="1984">
        <f>+'Receitas (mensais)'!P182</f>
        <v>0</v>
      </c>
      <c r="S254" s="1980">
        <f t="shared" si="15"/>
        <v>0</v>
      </c>
      <c r="T254" s="2169">
        <v>0</v>
      </c>
      <c r="U254" s="2178">
        <f t="shared" si="58"/>
        <v>0</v>
      </c>
      <c r="V254" s="1854"/>
      <c r="W254" s="2003"/>
      <c r="Y254" s="2008"/>
    </row>
    <row r="255" spans="1:25" s="1866" customFormat="1" ht="26.25">
      <c r="A255" s="1889"/>
      <c r="B255" s="1908" t="s">
        <v>3421</v>
      </c>
      <c r="C255" s="2060" t="str">
        <f>'Receitas (mensais)'!D183</f>
        <v>Administraçoes privadas</v>
      </c>
      <c r="D255" s="1911"/>
      <c r="E255" s="1984"/>
      <c r="F255" s="2072"/>
      <c r="G255" s="1984">
        <f>+'Receitas (mensais)'!E183</f>
        <v>0</v>
      </c>
      <c r="H255" s="1984">
        <f>+'Receitas (mensais)'!F183</f>
        <v>0</v>
      </c>
      <c r="I255" s="1984">
        <f>+'Receitas (mensais)'!G183</f>
        <v>0</v>
      </c>
      <c r="J255" s="1984">
        <f>+'Receitas (mensais)'!H183</f>
        <v>0</v>
      </c>
      <c r="K255" s="1984">
        <f>+'Receitas (mensais)'!I183</f>
        <v>0</v>
      </c>
      <c r="L255" s="1984">
        <f>+'Receitas (mensais)'!J183</f>
        <v>0</v>
      </c>
      <c r="M255" s="1984">
        <f>+'Receitas (mensais)'!K183</f>
        <v>0</v>
      </c>
      <c r="N255" s="1984">
        <f>+'Receitas (mensais)'!L183</f>
        <v>0</v>
      </c>
      <c r="O255" s="1984">
        <f>+'Receitas (mensais)'!M183</f>
        <v>0</v>
      </c>
      <c r="P255" s="1984">
        <f>+'Receitas (mensais)'!N183</f>
        <v>0</v>
      </c>
      <c r="Q255" s="1984">
        <f>+'Receitas (mensais)'!O183</f>
        <v>0</v>
      </c>
      <c r="R255" s="1984">
        <f>+'Receitas (mensais)'!P183</f>
        <v>0</v>
      </c>
      <c r="S255" s="1980">
        <f t="shared" si="15"/>
        <v>0</v>
      </c>
      <c r="T255" s="2169">
        <v>0</v>
      </c>
      <c r="U255" s="2178">
        <f t="shared" si="58"/>
        <v>0</v>
      </c>
      <c r="V255" s="1854"/>
      <c r="W255" s="2003"/>
      <c r="Y255" s="2008"/>
    </row>
    <row r="256" spans="1:25" s="1866" customFormat="1" ht="26.25">
      <c r="A256" s="1889"/>
      <c r="B256" s="1908" t="s">
        <v>3422</v>
      </c>
      <c r="C256" s="2060" t="str">
        <f>'Receitas (mensais)'!D184</f>
        <v>Exterior</v>
      </c>
      <c r="D256" s="1911"/>
      <c r="E256" s="1984"/>
      <c r="F256" s="2072"/>
      <c r="G256" s="1984">
        <f>+'Receitas (mensais)'!E184</f>
        <v>0</v>
      </c>
      <c r="H256" s="1984">
        <f>+'Receitas (mensais)'!F184</f>
        <v>0</v>
      </c>
      <c r="I256" s="1984">
        <f>+'Receitas (mensais)'!G184</f>
        <v>0</v>
      </c>
      <c r="J256" s="1984">
        <f>+'Receitas (mensais)'!H184</f>
        <v>0</v>
      </c>
      <c r="K256" s="1984">
        <f>+'Receitas (mensais)'!I184</f>
        <v>0</v>
      </c>
      <c r="L256" s="1984">
        <f>+'Receitas (mensais)'!J184</f>
        <v>0</v>
      </c>
      <c r="M256" s="1984">
        <f>+'Receitas (mensais)'!K184</f>
        <v>0</v>
      </c>
      <c r="N256" s="1984">
        <f>+'Receitas (mensais)'!L184</f>
        <v>0</v>
      </c>
      <c r="O256" s="1984">
        <f>+'Receitas (mensais)'!M184</f>
        <v>0</v>
      </c>
      <c r="P256" s="1984">
        <f>+'Receitas (mensais)'!N184</f>
        <v>0</v>
      </c>
      <c r="Q256" s="1984">
        <f>+'Receitas (mensais)'!O184</f>
        <v>0</v>
      </c>
      <c r="R256" s="1984">
        <f>+'Receitas (mensais)'!P184</f>
        <v>0</v>
      </c>
      <c r="S256" s="1980">
        <f t="shared" si="15"/>
        <v>0</v>
      </c>
      <c r="T256" s="2169">
        <v>0</v>
      </c>
      <c r="U256" s="2178">
        <f t="shared" si="58"/>
        <v>0</v>
      </c>
      <c r="V256" s="1854"/>
      <c r="W256" s="2003"/>
      <c r="Y256" s="2008"/>
    </row>
    <row r="257" spans="1:25" s="1866" customFormat="1" ht="26.25">
      <c r="A257" s="1889"/>
      <c r="B257" s="1908" t="s">
        <v>3423</v>
      </c>
      <c r="C257" s="2060" t="str">
        <f>'Receitas (mensais)'!D185</f>
        <v>Outros</v>
      </c>
      <c r="D257" s="1911"/>
      <c r="E257" s="1984"/>
      <c r="F257" s="2072"/>
      <c r="G257" s="1984">
        <f>+'Receitas (mensais)'!E185</f>
        <v>0</v>
      </c>
      <c r="H257" s="1984">
        <f>+'Receitas (mensais)'!F185</f>
        <v>0</v>
      </c>
      <c r="I257" s="1984">
        <f>+'Receitas (mensais)'!G185</f>
        <v>0</v>
      </c>
      <c r="J257" s="1984">
        <f>+'Receitas (mensais)'!H185</f>
        <v>0</v>
      </c>
      <c r="K257" s="1984">
        <f>+'Receitas (mensais)'!I185</f>
        <v>0</v>
      </c>
      <c r="L257" s="1984">
        <f>+'Receitas (mensais)'!J185</f>
        <v>0</v>
      </c>
      <c r="M257" s="1984">
        <f>+'Receitas (mensais)'!K185</f>
        <v>0</v>
      </c>
      <c r="N257" s="1984">
        <f>+'Receitas (mensais)'!L185</f>
        <v>0</v>
      </c>
      <c r="O257" s="1984">
        <f>+'Receitas (mensais)'!M185</f>
        <v>0</v>
      </c>
      <c r="P257" s="1984">
        <f>+'Receitas (mensais)'!N185</f>
        <v>0</v>
      </c>
      <c r="Q257" s="1984">
        <f>+'Receitas (mensais)'!O185</f>
        <v>0</v>
      </c>
      <c r="R257" s="1984">
        <f>+'Receitas (mensais)'!P185</f>
        <v>0</v>
      </c>
      <c r="S257" s="1980">
        <f t="shared" si="15"/>
        <v>0</v>
      </c>
      <c r="T257" s="2169">
        <v>0</v>
      </c>
      <c r="U257" s="2178">
        <f t="shared" si="58"/>
        <v>0</v>
      </c>
      <c r="V257" s="1854"/>
      <c r="W257" s="2003"/>
      <c r="Y257" s="2008"/>
    </row>
    <row r="258" spans="1:25" s="1866" customFormat="1" ht="26.25">
      <c r="A258" s="1889"/>
      <c r="B258" s="1908" t="s">
        <v>3418</v>
      </c>
      <c r="C258" s="2032" t="str">
        <f>'Receitas (mensais)'!D187</f>
        <v>Rendas de construçoes</v>
      </c>
      <c r="D258" s="1911"/>
      <c r="E258" s="1984"/>
      <c r="F258" s="2072"/>
      <c r="G258" s="1984">
        <f>+SUM(G259:G261)</f>
        <v>0</v>
      </c>
      <c r="H258" s="1984">
        <f t="shared" ref="H258:R258" si="73">+SUM(H259:H261)</f>
        <v>0</v>
      </c>
      <c r="I258" s="1984">
        <f t="shared" si="73"/>
        <v>0</v>
      </c>
      <c r="J258" s="1984">
        <f t="shared" si="73"/>
        <v>0</v>
      </c>
      <c r="K258" s="1984">
        <f t="shared" si="73"/>
        <v>0</v>
      </c>
      <c r="L258" s="1984">
        <f t="shared" si="73"/>
        <v>0</v>
      </c>
      <c r="M258" s="1984">
        <f t="shared" si="73"/>
        <v>0</v>
      </c>
      <c r="N258" s="1984">
        <f t="shared" si="73"/>
        <v>0</v>
      </c>
      <c r="O258" s="1984">
        <f t="shared" si="73"/>
        <v>0</v>
      </c>
      <c r="P258" s="1984">
        <f t="shared" si="73"/>
        <v>0</v>
      </c>
      <c r="Q258" s="1984">
        <f t="shared" si="73"/>
        <v>0</v>
      </c>
      <c r="R258" s="1984">
        <f t="shared" si="73"/>
        <v>0</v>
      </c>
      <c r="S258" s="1980">
        <f t="shared" si="15"/>
        <v>0</v>
      </c>
      <c r="T258" s="2169">
        <v>0</v>
      </c>
      <c r="U258" s="2178">
        <f t="shared" si="58"/>
        <v>0</v>
      </c>
      <c r="V258" s="1854"/>
      <c r="W258" s="2003"/>
      <c r="Y258" s="2008"/>
    </row>
    <row r="259" spans="1:25" s="1866" customFormat="1" ht="26.25">
      <c r="A259" s="1889"/>
      <c r="B259" s="1908" t="s">
        <v>3425</v>
      </c>
      <c r="C259" s="2060" t="str">
        <f>'Receitas (mensais)'!D188</f>
        <v>Habitaçoes</v>
      </c>
      <c r="D259" s="1911"/>
      <c r="E259" s="1984"/>
      <c r="F259" s="2072"/>
      <c r="G259" s="1984">
        <f>+'Receitas (mensais)'!E188</f>
        <v>0</v>
      </c>
      <c r="H259" s="1984">
        <f>+'Receitas (mensais)'!F188</f>
        <v>0</v>
      </c>
      <c r="I259" s="1984">
        <f>+'Receitas (mensais)'!G188</f>
        <v>0</v>
      </c>
      <c r="J259" s="1984">
        <f>+'Receitas (mensais)'!H188</f>
        <v>0</v>
      </c>
      <c r="K259" s="1984">
        <f>+'Receitas (mensais)'!I188</f>
        <v>0</v>
      </c>
      <c r="L259" s="1984">
        <f>+'Receitas (mensais)'!J188</f>
        <v>0</v>
      </c>
      <c r="M259" s="1984">
        <f>+'Receitas (mensais)'!K188</f>
        <v>0</v>
      </c>
      <c r="N259" s="1984">
        <f>+'Receitas (mensais)'!L188</f>
        <v>0</v>
      </c>
      <c r="O259" s="1984">
        <f>+'Receitas (mensais)'!M188</f>
        <v>0</v>
      </c>
      <c r="P259" s="1984">
        <f>+'Receitas (mensais)'!N188</f>
        <v>0</v>
      </c>
      <c r="Q259" s="1984">
        <f>+'Receitas (mensais)'!O188</f>
        <v>0</v>
      </c>
      <c r="R259" s="1984">
        <f>+'Receitas (mensais)'!P188</f>
        <v>0</v>
      </c>
      <c r="S259" s="1980">
        <f t="shared" si="15"/>
        <v>0</v>
      </c>
      <c r="T259" s="2169">
        <v>0</v>
      </c>
      <c r="U259" s="2178">
        <f t="shared" si="58"/>
        <v>0</v>
      </c>
      <c r="V259" s="1854"/>
      <c r="W259" s="2003"/>
      <c r="Y259" s="2008"/>
    </row>
    <row r="260" spans="1:25" s="1866" customFormat="1" ht="26.25">
      <c r="A260" s="1889"/>
      <c r="B260" s="1908" t="s">
        <v>3426</v>
      </c>
      <c r="C260" s="2060" t="str">
        <f>'Receitas (mensais)'!D189</f>
        <v>Edificios</v>
      </c>
      <c r="D260" s="1911"/>
      <c r="E260" s="1984"/>
      <c r="F260" s="2072"/>
      <c r="G260" s="1984">
        <f>+'Receitas (mensais)'!E189</f>
        <v>0</v>
      </c>
      <c r="H260" s="1984">
        <f>+'Receitas (mensais)'!F189</f>
        <v>0</v>
      </c>
      <c r="I260" s="1984">
        <f>+'Receitas (mensais)'!G189</f>
        <v>0</v>
      </c>
      <c r="J260" s="1984">
        <f>+'Receitas (mensais)'!H189</f>
        <v>0</v>
      </c>
      <c r="K260" s="1984">
        <f>+'Receitas (mensais)'!I189</f>
        <v>0</v>
      </c>
      <c r="L260" s="1984">
        <f>+'Receitas (mensais)'!J189</f>
        <v>0</v>
      </c>
      <c r="M260" s="1984">
        <f>+'Receitas (mensais)'!K189</f>
        <v>0</v>
      </c>
      <c r="N260" s="1984">
        <f>+'Receitas (mensais)'!L189</f>
        <v>0</v>
      </c>
      <c r="O260" s="1984">
        <f>+'Receitas (mensais)'!M189</f>
        <v>0</v>
      </c>
      <c r="P260" s="1984">
        <f>+'Receitas (mensais)'!N189</f>
        <v>0</v>
      </c>
      <c r="Q260" s="1984">
        <f>+'Receitas (mensais)'!O189</f>
        <v>0</v>
      </c>
      <c r="R260" s="1984">
        <f>+'Receitas (mensais)'!P189</f>
        <v>0</v>
      </c>
      <c r="S260" s="1980">
        <f t="shared" si="15"/>
        <v>0</v>
      </c>
      <c r="T260" s="2169">
        <v>0</v>
      </c>
      <c r="U260" s="2178">
        <f t="shared" si="58"/>
        <v>0</v>
      </c>
      <c r="V260" s="1854"/>
      <c r="W260" s="2003"/>
      <c r="Y260" s="2008"/>
    </row>
    <row r="261" spans="1:25" s="1866" customFormat="1" ht="26.25">
      <c r="A261" s="1889"/>
      <c r="B261" s="1908" t="s">
        <v>3427</v>
      </c>
      <c r="C261" s="2060" t="str">
        <f>'Receitas (mensais)'!D190</f>
        <v>Outros</v>
      </c>
      <c r="D261" s="1911"/>
      <c r="E261" s="1984"/>
      <c r="F261" s="2072"/>
      <c r="G261" s="1984">
        <f>+SUM(G262:G265)</f>
        <v>0</v>
      </c>
      <c r="H261" s="1984">
        <f t="shared" ref="H261:R261" si="74">+SUM(H262:H265)</f>
        <v>0</v>
      </c>
      <c r="I261" s="1984">
        <f t="shared" si="74"/>
        <v>0</v>
      </c>
      <c r="J261" s="1984">
        <f t="shared" si="74"/>
        <v>0</v>
      </c>
      <c r="K261" s="1984">
        <f t="shared" si="74"/>
        <v>0</v>
      </c>
      <c r="L261" s="1984">
        <f t="shared" si="74"/>
        <v>0</v>
      </c>
      <c r="M261" s="1984">
        <f t="shared" si="74"/>
        <v>0</v>
      </c>
      <c r="N261" s="1984">
        <f t="shared" si="74"/>
        <v>0</v>
      </c>
      <c r="O261" s="1984">
        <f t="shared" si="74"/>
        <v>0</v>
      </c>
      <c r="P261" s="1984">
        <f t="shared" si="74"/>
        <v>0</v>
      </c>
      <c r="Q261" s="1984">
        <f t="shared" si="74"/>
        <v>0</v>
      </c>
      <c r="R261" s="1984">
        <f t="shared" si="74"/>
        <v>0</v>
      </c>
      <c r="S261" s="1980">
        <f t="shared" si="15"/>
        <v>0</v>
      </c>
      <c r="T261" s="2169">
        <v>0</v>
      </c>
      <c r="U261" s="2178">
        <f t="shared" si="58"/>
        <v>0</v>
      </c>
      <c r="V261" s="1854"/>
      <c r="W261" s="2003"/>
      <c r="Y261" s="2008"/>
    </row>
    <row r="262" spans="1:25" s="1866" customFormat="1" ht="26.25">
      <c r="A262" s="1889"/>
      <c r="B262" s="1908" t="s">
        <v>3428</v>
      </c>
      <c r="C262" s="2060" t="str">
        <f>'Receitas (mensais)'!D191</f>
        <v xml:space="preserve">         M. Defesa</v>
      </c>
      <c r="D262" s="1911"/>
      <c r="E262" s="1984"/>
      <c r="F262" s="2072"/>
      <c r="G262" s="1984">
        <f>+'Receitas (mensais)'!E191</f>
        <v>0</v>
      </c>
      <c r="H262" s="1984">
        <f>+'Receitas (mensais)'!F191</f>
        <v>0</v>
      </c>
      <c r="I262" s="1984">
        <f>+'Receitas (mensais)'!G191</f>
        <v>0</v>
      </c>
      <c r="J262" s="1984">
        <f>+'Receitas (mensais)'!H191</f>
        <v>0</v>
      </c>
      <c r="K262" s="1984">
        <f>+'Receitas (mensais)'!I191</f>
        <v>0</v>
      </c>
      <c r="L262" s="1984">
        <f>+'Receitas (mensais)'!J191</f>
        <v>0</v>
      </c>
      <c r="M262" s="1984">
        <f>+'Receitas (mensais)'!K191</f>
        <v>0</v>
      </c>
      <c r="N262" s="1984">
        <f>+'Receitas (mensais)'!L191</f>
        <v>0</v>
      </c>
      <c r="O262" s="1984">
        <f>+'Receitas (mensais)'!M191</f>
        <v>0</v>
      </c>
      <c r="P262" s="1984">
        <f>+'Receitas (mensais)'!N191</f>
        <v>0</v>
      </c>
      <c r="Q262" s="1984">
        <f>+'Receitas (mensais)'!O191</f>
        <v>0</v>
      </c>
      <c r="R262" s="1984">
        <f>+'Receitas (mensais)'!P191</f>
        <v>0</v>
      </c>
      <c r="S262" s="1980">
        <f t="shared" si="15"/>
        <v>0</v>
      </c>
      <c r="T262" s="2169">
        <v>0</v>
      </c>
      <c r="U262" s="2178">
        <f t="shared" si="58"/>
        <v>0</v>
      </c>
      <c r="V262" s="1854"/>
      <c r="W262" s="2003"/>
      <c r="Y262" s="2008"/>
    </row>
    <row r="263" spans="1:25" s="1866" customFormat="1" ht="26.25">
      <c r="A263" s="1889"/>
      <c r="B263" s="1908" t="s">
        <v>3429</v>
      </c>
      <c r="C263" s="2060" t="str">
        <f>'Receitas (mensais)'!D192</f>
        <v xml:space="preserve">          M. Recursos Naturais</v>
      </c>
      <c r="D263" s="1911"/>
      <c r="E263" s="1984"/>
      <c r="F263" s="2072"/>
      <c r="G263" s="1984">
        <f>+'Receitas (mensais)'!E192</f>
        <v>0</v>
      </c>
      <c r="H263" s="1984">
        <f>+'Receitas (mensais)'!F192</f>
        <v>0</v>
      </c>
      <c r="I263" s="1984">
        <f>+'Receitas (mensais)'!G192</f>
        <v>0</v>
      </c>
      <c r="J263" s="1984">
        <f>+'Receitas (mensais)'!H192</f>
        <v>0</v>
      </c>
      <c r="K263" s="1984">
        <f>+'Receitas (mensais)'!I192</f>
        <v>0</v>
      </c>
      <c r="L263" s="1984">
        <f>+'Receitas (mensais)'!J192</f>
        <v>0</v>
      </c>
      <c r="M263" s="1984">
        <f>+'Receitas (mensais)'!K192</f>
        <v>0</v>
      </c>
      <c r="N263" s="1984">
        <f>+'Receitas (mensais)'!L192</f>
        <v>0</v>
      </c>
      <c r="O263" s="1984">
        <f>+'Receitas (mensais)'!M192</f>
        <v>0</v>
      </c>
      <c r="P263" s="1984">
        <f>+'Receitas (mensais)'!N192</f>
        <v>0</v>
      </c>
      <c r="Q263" s="1984">
        <f>+'Receitas (mensais)'!O192</f>
        <v>0</v>
      </c>
      <c r="R263" s="1984">
        <f>+'Receitas (mensais)'!P192</f>
        <v>0</v>
      </c>
      <c r="S263" s="1980">
        <f t="shared" si="15"/>
        <v>0</v>
      </c>
      <c r="T263" s="2169">
        <v>0</v>
      </c>
      <c r="U263" s="2178">
        <f t="shared" si="58"/>
        <v>0</v>
      </c>
      <c r="V263" s="1854"/>
      <c r="W263" s="2003"/>
      <c r="Y263" s="2008"/>
    </row>
    <row r="264" spans="1:25" s="1866" customFormat="1" ht="26.25">
      <c r="A264" s="1889"/>
      <c r="B264" s="1908" t="s">
        <v>3430</v>
      </c>
      <c r="C264" s="2060" t="str">
        <f>'Receitas (mensais)'!D193</f>
        <v xml:space="preserve">          M. Obras Publicas</v>
      </c>
      <c r="D264" s="1911"/>
      <c r="E264" s="1984"/>
      <c r="F264" s="2072"/>
      <c r="G264" s="1984">
        <f>+'Receitas (mensais)'!E193</f>
        <v>0</v>
      </c>
      <c r="H264" s="1984">
        <f>+'Receitas (mensais)'!F193</f>
        <v>0</v>
      </c>
      <c r="I264" s="1984">
        <f>+'Receitas (mensais)'!G193</f>
        <v>0</v>
      </c>
      <c r="J264" s="1984">
        <f>+'Receitas (mensais)'!H193</f>
        <v>0</v>
      </c>
      <c r="K264" s="1984">
        <f>+'Receitas (mensais)'!I193</f>
        <v>0</v>
      </c>
      <c r="L264" s="1984">
        <f>+'Receitas (mensais)'!J193</f>
        <v>0</v>
      </c>
      <c r="M264" s="1984">
        <f>+'Receitas (mensais)'!K193</f>
        <v>0</v>
      </c>
      <c r="N264" s="1984">
        <f>+'Receitas (mensais)'!L193</f>
        <v>0</v>
      </c>
      <c r="O264" s="1984">
        <f>+'Receitas (mensais)'!M193</f>
        <v>0</v>
      </c>
      <c r="P264" s="1984">
        <f>+'Receitas (mensais)'!N193</f>
        <v>0</v>
      </c>
      <c r="Q264" s="1984">
        <f>+'Receitas (mensais)'!O193</f>
        <v>0</v>
      </c>
      <c r="R264" s="1984">
        <f>+'Receitas (mensais)'!P193</f>
        <v>0</v>
      </c>
      <c r="S264" s="1980">
        <f t="shared" si="15"/>
        <v>0</v>
      </c>
      <c r="T264" s="2169">
        <v>0</v>
      </c>
      <c r="U264" s="2178">
        <f t="shared" si="58"/>
        <v>0</v>
      </c>
      <c r="V264" s="1854"/>
      <c r="W264" s="2003"/>
      <c r="Y264" s="2008"/>
    </row>
    <row r="265" spans="1:25" s="1866" customFormat="1" ht="26.25">
      <c r="A265" s="1889"/>
      <c r="B265" s="1908" t="s">
        <v>3431</v>
      </c>
      <c r="C265" s="2060" t="str">
        <f>'Receitas (mensais)'!D194</f>
        <v xml:space="preserve">          M. Finanças</v>
      </c>
      <c r="D265" s="1911"/>
      <c r="E265" s="1984"/>
      <c r="F265" s="2072"/>
      <c r="G265" s="1984">
        <f>+'Receitas (mensais)'!E194</f>
        <v>0</v>
      </c>
      <c r="H265" s="1984">
        <f>+'Receitas (mensais)'!F194</f>
        <v>0</v>
      </c>
      <c r="I265" s="1984">
        <f>+'Receitas (mensais)'!G194</f>
        <v>0</v>
      </c>
      <c r="J265" s="1984">
        <f>+'Receitas (mensais)'!H194</f>
        <v>0</v>
      </c>
      <c r="K265" s="1984">
        <f>+'Receitas (mensais)'!I194</f>
        <v>0</v>
      </c>
      <c r="L265" s="1984">
        <f>+'Receitas (mensais)'!J194</f>
        <v>0</v>
      </c>
      <c r="M265" s="1984">
        <f>+'Receitas (mensais)'!K194</f>
        <v>0</v>
      </c>
      <c r="N265" s="1984">
        <f>+'Receitas (mensais)'!L194</f>
        <v>0</v>
      </c>
      <c r="O265" s="1984">
        <f>+'Receitas (mensais)'!M194</f>
        <v>0</v>
      </c>
      <c r="P265" s="1984">
        <f>+'Receitas (mensais)'!N194</f>
        <v>0</v>
      </c>
      <c r="Q265" s="1984">
        <f>+'Receitas (mensais)'!O194</f>
        <v>0</v>
      </c>
      <c r="R265" s="1984">
        <f>+'Receitas (mensais)'!P194</f>
        <v>0</v>
      </c>
      <c r="S265" s="1980">
        <f t="shared" si="15"/>
        <v>0</v>
      </c>
      <c r="T265" s="2169">
        <v>0</v>
      </c>
      <c r="U265" s="2178">
        <f t="shared" ref="U265:U328" si="75">+S265-T265</f>
        <v>0</v>
      </c>
      <c r="V265" s="1854"/>
      <c r="W265" s="2003"/>
      <c r="Y265" s="2008"/>
    </row>
    <row r="266" spans="1:25" s="1866" customFormat="1" ht="26.25">
      <c r="A266" s="1889"/>
      <c r="B266" s="1908" t="s">
        <v>3424</v>
      </c>
      <c r="C266" s="2032" t="str">
        <f>'Receitas (mensais)'!D196</f>
        <v>Rendas diversas</v>
      </c>
      <c r="D266" s="1911"/>
      <c r="E266" s="1984"/>
      <c r="F266" s="2072"/>
      <c r="G266" s="1984">
        <f>G267+G268</f>
        <v>0</v>
      </c>
      <c r="H266" s="1984">
        <f t="shared" ref="H266:R266" si="76">H267+H268</f>
        <v>0</v>
      </c>
      <c r="I266" s="1984">
        <f t="shared" si="76"/>
        <v>0</v>
      </c>
      <c r="J266" s="1984">
        <f t="shared" si="76"/>
        <v>0</v>
      </c>
      <c r="K266" s="1984">
        <f t="shared" si="76"/>
        <v>0</v>
      </c>
      <c r="L266" s="1984">
        <f t="shared" si="76"/>
        <v>0</v>
      </c>
      <c r="M266" s="1984">
        <f t="shared" si="76"/>
        <v>0</v>
      </c>
      <c r="N266" s="1984">
        <f t="shared" si="76"/>
        <v>0</v>
      </c>
      <c r="O266" s="1984">
        <f t="shared" si="76"/>
        <v>0</v>
      </c>
      <c r="P266" s="1984">
        <f t="shared" si="76"/>
        <v>0</v>
      </c>
      <c r="Q266" s="1984">
        <f t="shared" si="76"/>
        <v>0</v>
      </c>
      <c r="R266" s="1984">
        <f t="shared" si="76"/>
        <v>0</v>
      </c>
      <c r="S266" s="1980">
        <f t="shared" si="15"/>
        <v>0</v>
      </c>
      <c r="T266" s="2169">
        <f>T267+T268</f>
        <v>0</v>
      </c>
      <c r="U266" s="2178">
        <f t="shared" si="75"/>
        <v>0</v>
      </c>
      <c r="V266" s="1854"/>
      <c r="W266" s="2003"/>
      <c r="Y266" s="2008"/>
    </row>
    <row r="267" spans="1:25" s="1866" customFormat="1" ht="26.25">
      <c r="A267" s="1889"/>
      <c r="B267" s="1908" t="s">
        <v>3432</v>
      </c>
      <c r="C267" s="2060" t="str">
        <f>'Receitas (mensais)'!D197</f>
        <v>Material de transporte</v>
      </c>
      <c r="D267" s="1911"/>
      <c r="E267" s="1984"/>
      <c r="F267" s="2072"/>
      <c r="G267" s="1984">
        <f>+'Receitas (mensais)'!E197</f>
        <v>0</v>
      </c>
      <c r="H267" s="1984">
        <f>+'Receitas (mensais)'!F197</f>
        <v>0</v>
      </c>
      <c r="I267" s="1984">
        <f>+'Receitas (mensais)'!G197</f>
        <v>0</v>
      </c>
      <c r="J267" s="1984">
        <f>+'Receitas (mensais)'!H197</f>
        <v>0</v>
      </c>
      <c r="K267" s="1984">
        <f>+'Receitas (mensais)'!I197</f>
        <v>0</v>
      </c>
      <c r="L267" s="1984">
        <f>+'Receitas (mensais)'!J197</f>
        <v>0</v>
      </c>
      <c r="M267" s="1984">
        <f>+'Receitas (mensais)'!K197</f>
        <v>0</v>
      </c>
      <c r="N267" s="1984">
        <f>+'Receitas (mensais)'!L197</f>
        <v>0</v>
      </c>
      <c r="O267" s="1984">
        <f>+'Receitas (mensais)'!M197</f>
        <v>0</v>
      </c>
      <c r="P267" s="1984">
        <f>+'Receitas (mensais)'!N197</f>
        <v>0</v>
      </c>
      <c r="Q267" s="1984">
        <f>+'Receitas (mensais)'!O197</f>
        <v>0</v>
      </c>
      <c r="R267" s="1984">
        <f>+'Receitas (mensais)'!P197</f>
        <v>0</v>
      </c>
      <c r="S267" s="1980">
        <f t="shared" si="15"/>
        <v>0</v>
      </c>
      <c r="T267" s="2169">
        <v>0</v>
      </c>
      <c r="U267" s="2178">
        <f t="shared" si="75"/>
        <v>0</v>
      </c>
      <c r="V267" s="1854"/>
      <c r="W267" s="2003"/>
      <c r="Y267" s="2008"/>
    </row>
    <row r="268" spans="1:25" s="1866" customFormat="1" ht="26.25">
      <c r="A268" s="1889"/>
      <c r="B268" s="1908" t="s">
        <v>3433</v>
      </c>
      <c r="C268" s="2060" t="str">
        <f>'Receitas (mensais)'!D198</f>
        <v>Outros</v>
      </c>
      <c r="D268" s="1911"/>
      <c r="E268" s="1984"/>
      <c r="F268" s="2072"/>
      <c r="G268" s="1984">
        <f>+'Receitas (mensais)'!E198</f>
        <v>0</v>
      </c>
      <c r="H268" s="1984">
        <f>+'Receitas (mensais)'!F198</f>
        <v>0</v>
      </c>
      <c r="I268" s="1984">
        <f>+'Receitas (mensais)'!G198</f>
        <v>0</v>
      </c>
      <c r="J268" s="1984">
        <f>+'Receitas (mensais)'!H198</f>
        <v>0</v>
      </c>
      <c r="K268" s="1984">
        <f>+'Receitas (mensais)'!I198</f>
        <v>0</v>
      </c>
      <c r="L268" s="1984">
        <f>+'Receitas (mensais)'!J198</f>
        <v>0</v>
      </c>
      <c r="M268" s="1984">
        <f>+'Receitas (mensais)'!K198</f>
        <v>0</v>
      </c>
      <c r="N268" s="1984">
        <f>+'Receitas (mensais)'!L198</f>
        <v>0</v>
      </c>
      <c r="O268" s="1984">
        <f>+'Receitas (mensais)'!M198</f>
        <v>0</v>
      </c>
      <c r="P268" s="1984">
        <f>+'Receitas (mensais)'!N198</f>
        <v>0</v>
      </c>
      <c r="Q268" s="1984">
        <f>+'Receitas (mensais)'!O198</f>
        <v>0</v>
      </c>
      <c r="R268" s="1984">
        <f>+'Receitas (mensais)'!P198</f>
        <v>0</v>
      </c>
      <c r="S268" s="1980">
        <f t="shared" si="15"/>
        <v>0</v>
      </c>
      <c r="T268" s="2169">
        <v>0</v>
      </c>
      <c r="U268" s="2178">
        <f t="shared" si="75"/>
        <v>0</v>
      </c>
      <c r="V268" s="1854"/>
      <c r="W268" s="2003"/>
      <c r="Y268" s="2008"/>
    </row>
    <row r="269" spans="1:25" s="2036" customFormat="1" ht="26.25">
      <c r="B269" s="2063" t="s">
        <v>3089</v>
      </c>
      <c r="C269" s="2036" t="s">
        <v>3402</v>
      </c>
      <c r="F269" s="2075"/>
      <c r="G269" s="2064">
        <f>SUM(G270:G272)</f>
        <v>0</v>
      </c>
      <c r="H269" s="2064">
        <f t="shared" ref="H269:R269" si="77">SUM(H270:H272)</f>
        <v>1033.615</v>
      </c>
      <c r="I269" s="2064">
        <f t="shared" si="77"/>
        <v>603.05999999999995</v>
      </c>
      <c r="J269" s="2064">
        <f t="shared" si="77"/>
        <v>646.47900000000004</v>
      </c>
      <c r="K269" s="2064">
        <f t="shared" si="77"/>
        <v>1662.826</v>
      </c>
      <c r="L269" s="2064">
        <f t="shared" si="77"/>
        <v>766.875</v>
      </c>
      <c r="M269" s="2064">
        <f t="shared" si="77"/>
        <v>1525.2080000000001</v>
      </c>
      <c r="N269" s="2064">
        <f t="shared" si="77"/>
        <v>62.5</v>
      </c>
      <c r="O269" s="2064">
        <f t="shared" si="77"/>
        <v>203.78899999999999</v>
      </c>
      <c r="P269" s="2064">
        <f t="shared" si="77"/>
        <v>75.007000000000005</v>
      </c>
      <c r="Q269" s="2064">
        <f t="shared" si="77"/>
        <v>0</v>
      </c>
      <c r="R269" s="2064">
        <f t="shared" si="77"/>
        <v>64.12</v>
      </c>
      <c r="S269" s="1980">
        <f t="shared" si="15"/>
        <v>6643.4789999999994</v>
      </c>
      <c r="T269" s="2169">
        <f>SUM(T270:T272)</f>
        <v>0</v>
      </c>
      <c r="U269" s="2180">
        <f t="shared" si="75"/>
        <v>6643.4789999999994</v>
      </c>
    </row>
    <row r="270" spans="1:25" s="1866" customFormat="1" ht="26.25">
      <c r="A270" s="1889"/>
      <c r="B270" s="1908" t="s">
        <v>3434</v>
      </c>
      <c r="C270" s="2032" t="str">
        <f>'Receitas (mensais)'!D325</f>
        <v>Excessos de vencimentos</v>
      </c>
      <c r="D270" s="1911"/>
      <c r="E270" s="1984"/>
      <c r="F270" s="2072"/>
      <c r="G270" s="1984">
        <f>'Receitas (mensais)'!E325</f>
        <v>0</v>
      </c>
      <c r="H270" s="1984">
        <f>'Receitas (mensais)'!F325</f>
        <v>0</v>
      </c>
      <c r="I270" s="1984">
        <f>'Receitas (mensais)'!G325</f>
        <v>0</v>
      </c>
      <c r="J270" s="1984">
        <f>'Receitas (mensais)'!H325</f>
        <v>0</v>
      </c>
      <c r="K270" s="1984">
        <f>'Receitas (mensais)'!I325</f>
        <v>0</v>
      </c>
      <c r="L270" s="1984">
        <f>'Receitas (mensais)'!J325</f>
        <v>0</v>
      </c>
      <c r="M270" s="1984">
        <f>'Receitas (mensais)'!K325</f>
        <v>0</v>
      </c>
      <c r="N270" s="1984">
        <f>'Receitas (mensais)'!L325</f>
        <v>0</v>
      </c>
      <c r="O270" s="1984">
        <f>'Receitas (mensais)'!M325</f>
        <v>0</v>
      </c>
      <c r="P270" s="1984">
        <f>'Receitas (mensais)'!N325</f>
        <v>0</v>
      </c>
      <c r="Q270" s="1984">
        <f>'Receitas (mensais)'!O325</f>
        <v>0</v>
      </c>
      <c r="R270" s="1984">
        <f>'Receitas (mensais)'!P325</f>
        <v>0</v>
      </c>
      <c r="S270" s="1980">
        <f t="shared" si="15"/>
        <v>0</v>
      </c>
      <c r="T270" s="2169">
        <f>'Receitas (mensais)'!R325</f>
        <v>0</v>
      </c>
      <c r="U270" s="2178">
        <f t="shared" si="75"/>
        <v>0</v>
      </c>
      <c r="V270" s="1854"/>
      <c r="W270" s="2003"/>
      <c r="Y270" s="2008"/>
    </row>
    <row r="271" spans="1:25" s="1866" customFormat="1" ht="26.25">
      <c r="A271" s="1889"/>
      <c r="B271" s="1908" t="s">
        <v>3435</v>
      </c>
      <c r="C271" s="2032" t="str">
        <f>'Receitas (mensais)'!D326</f>
        <v>Premios e compensaçoes</v>
      </c>
      <c r="D271" s="1911"/>
      <c r="E271" s="1984"/>
      <c r="F271" s="2072"/>
      <c r="G271" s="1984">
        <f>'Receitas (mensais)'!E326</f>
        <v>0</v>
      </c>
      <c r="H271" s="1984">
        <f>'Receitas (mensais)'!F326</f>
        <v>0</v>
      </c>
      <c r="I271" s="1984">
        <f>'Receitas (mensais)'!G326</f>
        <v>0</v>
      </c>
      <c r="J271" s="1984">
        <f>'Receitas (mensais)'!H326</f>
        <v>0</v>
      </c>
      <c r="K271" s="1984">
        <f>'Receitas (mensais)'!I326</f>
        <v>0</v>
      </c>
      <c r="L271" s="1984">
        <f>'Receitas (mensais)'!J326</f>
        <v>0</v>
      </c>
      <c r="M271" s="1984">
        <f>'Receitas (mensais)'!K326</f>
        <v>0</v>
      </c>
      <c r="N271" s="1984">
        <f>'Receitas (mensais)'!L326</f>
        <v>0</v>
      </c>
      <c r="O271" s="1984">
        <f>'Receitas (mensais)'!M326</f>
        <v>0</v>
      </c>
      <c r="P271" s="1984">
        <f>'Receitas (mensais)'!N326</f>
        <v>0</v>
      </c>
      <c r="Q271" s="1984">
        <f>'Receitas (mensais)'!O326</f>
        <v>0</v>
      </c>
      <c r="R271" s="1984">
        <f>'Receitas (mensais)'!P326</f>
        <v>0</v>
      </c>
      <c r="S271" s="1980">
        <f t="shared" si="15"/>
        <v>0</v>
      </c>
      <c r="T271" s="2169">
        <f>'Receitas (mensais)'!R326</f>
        <v>0</v>
      </c>
      <c r="U271" s="2178">
        <f t="shared" si="75"/>
        <v>0</v>
      </c>
      <c r="V271" s="1854"/>
      <c r="W271" s="2003"/>
      <c r="Y271" s="2008"/>
    </row>
    <row r="272" spans="1:25" s="1866" customFormat="1" ht="26.25">
      <c r="A272" s="1889"/>
      <c r="B272" s="1908" t="s">
        <v>3436</v>
      </c>
      <c r="C272" s="2032" t="str">
        <f>'Receitas (mensais)'!D327</f>
        <v>Diversas</v>
      </c>
      <c r="D272" s="1911"/>
      <c r="E272" s="1984"/>
      <c r="F272" s="2072"/>
      <c r="G272" s="1984">
        <f>'Receitas (mensais)'!E327</f>
        <v>0</v>
      </c>
      <c r="H272" s="1984">
        <f>'Receitas (mensais)'!F327</f>
        <v>1033.615</v>
      </c>
      <c r="I272" s="1984">
        <f>'Receitas (mensais)'!G327</f>
        <v>603.05999999999995</v>
      </c>
      <c r="J272" s="1984">
        <f>'Receitas (mensais)'!H327</f>
        <v>646.47900000000004</v>
      </c>
      <c r="K272" s="1984">
        <f>'Receitas (mensais)'!I327</f>
        <v>1662.826</v>
      </c>
      <c r="L272" s="1984">
        <f>'Receitas (mensais)'!J327</f>
        <v>766.875</v>
      </c>
      <c r="M272" s="1984">
        <f>'Receitas (mensais)'!K327</f>
        <v>1525.2080000000001</v>
      </c>
      <c r="N272" s="1984">
        <f>'Receitas (mensais)'!L327</f>
        <v>62.5</v>
      </c>
      <c r="O272" s="1984">
        <f>'Receitas (mensais)'!M327</f>
        <v>203.78899999999999</v>
      </c>
      <c r="P272" s="1984">
        <f>'Receitas (mensais)'!N327</f>
        <v>75.007000000000005</v>
      </c>
      <c r="Q272" s="1984">
        <f>'Receitas (mensais)'!O327</f>
        <v>0</v>
      </c>
      <c r="R272" s="1984">
        <f>'Receitas (mensais)'!P327</f>
        <v>64.12</v>
      </c>
      <c r="S272" s="1980">
        <f t="shared" si="15"/>
        <v>6643.4789999999994</v>
      </c>
      <c r="T272" s="2169">
        <f>'Receitas (mensais)'!R327</f>
        <v>0</v>
      </c>
      <c r="U272" s="2180">
        <f t="shared" si="75"/>
        <v>6643.4789999999994</v>
      </c>
      <c r="V272" s="1854"/>
      <c r="W272" s="2003"/>
      <c r="Y272" s="2008"/>
    </row>
    <row r="273" spans="1:26" s="1863" customFormat="1" ht="26.25">
      <c r="A273" s="1890" t="s">
        <v>187</v>
      </c>
      <c r="B273" s="1923" t="s">
        <v>461</v>
      </c>
      <c r="C273" s="1924" t="s">
        <v>187</v>
      </c>
      <c r="D273" s="1906">
        <f t="shared" ref="D273:R273" si="78">D274+D277</f>
        <v>0</v>
      </c>
      <c r="E273" s="1907">
        <f>E274+E277</f>
        <v>30301714.789856002</v>
      </c>
      <c r="F273" s="2068">
        <f>+F274+F277</f>
        <v>48191508.325999998</v>
      </c>
      <c r="G273" s="1907">
        <f t="shared" si="78"/>
        <v>0</v>
      </c>
      <c r="H273" s="1907">
        <f t="shared" si="78"/>
        <v>1708986.6359999999</v>
      </c>
      <c r="I273" s="1907">
        <f t="shared" si="78"/>
        <v>6351667.6349999998</v>
      </c>
      <c r="J273" s="1907">
        <f t="shared" si="78"/>
        <v>0</v>
      </c>
      <c r="K273" s="1907">
        <f t="shared" si="78"/>
        <v>0</v>
      </c>
      <c r="L273" s="1907">
        <f t="shared" si="78"/>
        <v>6116982.7189999996</v>
      </c>
      <c r="M273" s="1907">
        <f t="shared" si="78"/>
        <v>0</v>
      </c>
      <c r="N273" s="1907">
        <f t="shared" si="78"/>
        <v>0</v>
      </c>
      <c r="O273" s="1907">
        <f t="shared" si="78"/>
        <v>5832614.3799999999</v>
      </c>
      <c r="P273" s="1907">
        <f t="shared" si="78"/>
        <v>0</v>
      </c>
      <c r="Q273" s="1907">
        <f t="shared" si="78"/>
        <v>165000</v>
      </c>
      <c r="R273" s="1907">
        <f t="shared" si="78"/>
        <v>4189325.5199999996</v>
      </c>
      <c r="S273" s="1980">
        <f t="shared" si="15"/>
        <v>24364576.889999997</v>
      </c>
      <c r="T273" s="2169">
        <f t="shared" ref="T273" si="79">T274+T277</f>
        <v>1873986.6359999999</v>
      </c>
      <c r="U273" s="2180">
        <f t="shared" si="75"/>
        <v>22490590.253999997</v>
      </c>
      <c r="V273" s="1862">
        <f>S273/$V$3*100/1000</f>
        <v>3.0138886072661144</v>
      </c>
      <c r="W273" s="2003">
        <f t="shared" ref="W273:W335" si="80">+S273/$W$3*100</f>
        <v>2.9287867399927872</v>
      </c>
      <c r="Y273" s="2008">
        <f t="shared" si="30"/>
        <v>24364.576889999997</v>
      </c>
    </row>
    <row r="274" spans="1:26" s="1855" customFormat="1" ht="26.25">
      <c r="A274" s="1884" t="s">
        <v>463</v>
      </c>
      <c r="B274" s="1918" t="s">
        <v>462</v>
      </c>
      <c r="C274" s="1909" t="s">
        <v>3189</v>
      </c>
      <c r="D274" s="1910">
        <f t="shared" ref="D274:R274" si="81">SUM(D275:D276)</f>
        <v>0</v>
      </c>
      <c r="E274" s="1912">
        <f>SUM(E275:E276)</f>
        <v>0</v>
      </c>
      <c r="F274" s="2072">
        <v>0</v>
      </c>
      <c r="G274" s="1912">
        <f t="shared" si="81"/>
        <v>0</v>
      </c>
      <c r="H274" s="1912">
        <f t="shared" si="81"/>
        <v>0</v>
      </c>
      <c r="I274" s="1912">
        <f t="shared" si="81"/>
        <v>0</v>
      </c>
      <c r="J274" s="1912">
        <f t="shared" si="81"/>
        <v>0</v>
      </c>
      <c r="K274" s="1912">
        <f t="shared" si="81"/>
        <v>0</v>
      </c>
      <c r="L274" s="1912">
        <f t="shared" si="81"/>
        <v>0</v>
      </c>
      <c r="M274" s="1912">
        <f t="shared" si="81"/>
        <v>0</v>
      </c>
      <c r="N274" s="1912">
        <f t="shared" si="81"/>
        <v>0</v>
      </c>
      <c r="O274" s="1912">
        <f t="shared" si="81"/>
        <v>0</v>
      </c>
      <c r="P274" s="1912">
        <f>SUM(P275:P276)</f>
        <v>0</v>
      </c>
      <c r="Q274" s="1912">
        <f>SUM(Q275:Q276)</f>
        <v>0</v>
      </c>
      <c r="R274" s="1912">
        <f t="shared" si="81"/>
        <v>0</v>
      </c>
      <c r="S274" s="1980">
        <f t="shared" si="15"/>
        <v>0</v>
      </c>
      <c r="T274" s="2169">
        <f t="shared" ref="T274" si="82">SUM(T275:T276)</f>
        <v>0</v>
      </c>
      <c r="U274" s="2178">
        <f t="shared" si="75"/>
        <v>0</v>
      </c>
      <c r="V274" s="1854"/>
      <c r="W274" s="2003"/>
      <c r="Y274" s="2008">
        <f t="shared" si="30"/>
        <v>0</v>
      </c>
    </row>
    <row r="275" spans="1:26" s="1855" customFormat="1" ht="26.25">
      <c r="A275" s="1884" t="s">
        <v>465</v>
      </c>
      <c r="B275" s="1918"/>
      <c r="C275" s="1909" t="s">
        <v>670</v>
      </c>
      <c r="D275" s="1910"/>
      <c r="E275" s="1912">
        <v>0</v>
      </c>
      <c r="F275" s="2072">
        <v>0</v>
      </c>
      <c r="G275" s="1912">
        <v>0</v>
      </c>
      <c r="H275" s="1912">
        <v>0</v>
      </c>
      <c r="I275" s="1912">
        <v>0</v>
      </c>
      <c r="J275" s="1912">
        <v>0</v>
      </c>
      <c r="K275" s="1912">
        <v>0</v>
      </c>
      <c r="L275" s="1912">
        <v>0</v>
      </c>
      <c r="M275" s="1912">
        <v>0</v>
      </c>
      <c r="N275" s="1912">
        <v>0</v>
      </c>
      <c r="O275" s="1912">
        <v>0</v>
      </c>
      <c r="P275" s="1912">
        <v>0</v>
      </c>
      <c r="Q275" s="1912">
        <v>0</v>
      </c>
      <c r="R275" s="1912">
        <v>0</v>
      </c>
      <c r="S275" s="1980">
        <f>SUM(G275:R275)</f>
        <v>0</v>
      </c>
      <c r="T275" s="2169">
        <v>0</v>
      </c>
      <c r="U275" s="2178">
        <f t="shared" si="75"/>
        <v>0</v>
      </c>
      <c r="V275" s="1854"/>
      <c r="W275" s="2003"/>
      <c r="Y275" s="2008">
        <f t="shared" si="30"/>
        <v>0</v>
      </c>
    </row>
    <row r="276" spans="1:26" s="1855" customFormat="1" ht="26.25">
      <c r="A276" s="1884" t="s">
        <v>467</v>
      </c>
      <c r="B276" s="1918"/>
      <c r="C276" s="1909" t="s">
        <v>671</v>
      </c>
      <c r="D276" s="1910">
        <v>0</v>
      </c>
      <c r="E276" s="1912">
        <v>0</v>
      </c>
      <c r="F276" s="2072">
        <v>0</v>
      </c>
      <c r="G276" s="1912">
        <v>0</v>
      </c>
      <c r="H276" s="1912">
        <v>0</v>
      </c>
      <c r="I276" s="1912">
        <v>0</v>
      </c>
      <c r="J276" s="1912">
        <v>0</v>
      </c>
      <c r="K276" s="1912">
        <v>0</v>
      </c>
      <c r="L276" s="1912">
        <v>0</v>
      </c>
      <c r="M276" s="1912">
        <v>0</v>
      </c>
      <c r="N276" s="1912">
        <v>0</v>
      </c>
      <c r="O276" s="1912">
        <v>0</v>
      </c>
      <c r="P276" s="1912">
        <v>0</v>
      </c>
      <c r="Q276" s="1912">
        <v>0</v>
      </c>
      <c r="R276" s="1912"/>
      <c r="S276" s="1980">
        <f t="shared" si="15"/>
        <v>0</v>
      </c>
      <c r="T276" s="2169">
        <v>0</v>
      </c>
      <c r="U276" s="2178">
        <f t="shared" si="75"/>
        <v>0</v>
      </c>
      <c r="V276" s="1854"/>
      <c r="W276" s="2003"/>
      <c r="Y276" s="2008">
        <f t="shared" si="30"/>
        <v>0</v>
      </c>
    </row>
    <row r="277" spans="1:26" s="1855" customFormat="1" ht="26.25">
      <c r="A277" s="1884" t="s">
        <v>469</v>
      </c>
      <c r="B277" s="1918" t="s">
        <v>468</v>
      </c>
      <c r="C277" s="1909" t="s">
        <v>3190</v>
      </c>
      <c r="D277" s="1910">
        <f t="shared" ref="D277:R277" si="83">SUM(D278:D280)</f>
        <v>0</v>
      </c>
      <c r="E277" s="1912">
        <f>+E278+E279</f>
        <v>30301714.789856002</v>
      </c>
      <c r="F277" s="2072">
        <f>+F278+F279</f>
        <v>48191508.325999998</v>
      </c>
      <c r="G277" s="1912">
        <f t="shared" si="83"/>
        <v>0</v>
      </c>
      <c r="H277" s="1912">
        <f t="shared" si="83"/>
        <v>1708986.6359999999</v>
      </c>
      <c r="I277" s="1912">
        <f t="shared" si="83"/>
        <v>6351667.6349999998</v>
      </c>
      <c r="J277" s="1912">
        <f t="shared" si="83"/>
        <v>0</v>
      </c>
      <c r="K277" s="1912">
        <f t="shared" si="83"/>
        <v>0</v>
      </c>
      <c r="L277" s="1912">
        <f t="shared" si="83"/>
        <v>6116982.7189999996</v>
      </c>
      <c r="M277" s="1912">
        <f t="shared" si="83"/>
        <v>0</v>
      </c>
      <c r="N277" s="1912">
        <f t="shared" si="83"/>
        <v>0</v>
      </c>
      <c r="O277" s="1912">
        <f t="shared" si="83"/>
        <v>5832614.3799999999</v>
      </c>
      <c r="P277" s="1912">
        <f t="shared" si="83"/>
        <v>0</v>
      </c>
      <c r="Q277" s="1912">
        <f t="shared" si="83"/>
        <v>165000</v>
      </c>
      <c r="R277" s="1912">
        <f t="shared" si="83"/>
        <v>4189325.5199999996</v>
      </c>
      <c r="S277" s="1980">
        <f t="shared" si="15"/>
        <v>24364576.889999997</v>
      </c>
      <c r="T277" s="2169">
        <f t="shared" ref="T277" si="84">SUM(T278:T280)</f>
        <v>1873986.6359999999</v>
      </c>
      <c r="U277" s="2180">
        <f t="shared" si="75"/>
        <v>22490590.253999997</v>
      </c>
      <c r="V277" s="1854"/>
      <c r="W277" s="2003"/>
      <c r="Y277" s="2008">
        <f t="shared" si="30"/>
        <v>24364.576889999997</v>
      </c>
    </row>
    <row r="278" spans="1:26" s="1855" customFormat="1" ht="26.25">
      <c r="A278" s="1884" t="s">
        <v>465</v>
      </c>
      <c r="B278" s="1918" t="s">
        <v>470</v>
      </c>
      <c r="C278" s="1909" t="s">
        <v>3191</v>
      </c>
      <c r="D278" s="1910"/>
      <c r="E278" s="1912">
        <f>+[28]Tofe!$Q$33</f>
        <v>30301714.789856002</v>
      </c>
      <c r="F278" s="2072">
        <v>46482508.325999998</v>
      </c>
      <c r="G278" s="1912">
        <f>+'Appui-Projets'!J32</f>
        <v>0</v>
      </c>
      <c r="H278" s="1912">
        <f>+'Appui-Projets'!K32</f>
        <v>0</v>
      </c>
      <c r="I278" s="1912">
        <f>+'Appui-Projets'!L32</f>
        <v>6351667.6349999998</v>
      </c>
      <c r="J278" s="1912">
        <f>+'Appui-Projets'!M32</f>
        <v>0</v>
      </c>
      <c r="K278" s="1912">
        <f>+'Appui-Projets'!N32</f>
        <v>0</v>
      </c>
      <c r="L278" s="1912">
        <f>+'Appui-Projets'!O32</f>
        <v>6116982.7189999996</v>
      </c>
      <c r="M278" s="1912">
        <f>+'Appui-Projets'!P32</f>
        <v>0</v>
      </c>
      <c r="N278" s="1912">
        <f>+'Appui-Projets'!Q32</f>
        <v>0</v>
      </c>
      <c r="O278" s="1912">
        <f>+'Appui-Projets'!R32</f>
        <v>5832614.3799999999</v>
      </c>
      <c r="P278" s="1912">
        <f>+'Appui-Projets'!S32</f>
        <v>0</v>
      </c>
      <c r="Q278" s="1912">
        <f>+'Appui-Projets'!T32</f>
        <v>0</v>
      </c>
      <c r="R278" s="1912">
        <f>+'Appui-Projets'!U32</f>
        <v>4189325.5199999996</v>
      </c>
      <c r="S278" s="1980">
        <f t="shared" si="15"/>
        <v>22490590.253999997</v>
      </c>
      <c r="T278" s="2169"/>
      <c r="U278" s="2180">
        <f t="shared" si="75"/>
        <v>22490590.253999997</v>
      </c>
      <c r="V278" s="1854"/>
      <c r="W278" s="2003"/>
      <c r="Y278" s="2008">
        <f t="shared" si="30"/>
        <v>22490.590253999995</v>
      </c>
      <c r="Z278" s="2010">
        <f>'[27]QUADRO 19 (2019)'!$AD$10</f>
        <v>11731</v>
      </c>
    </row>
    <row r="279" spans="1:26" s="1855" customFormat="1" ht="26.25">
      <c r="A279" s="1884" t="s">
        <v>473</v>
      </c>
      <c r="B279" s="1918" t="s">
        <v>472</v>
      </c>
      <c r="C279" s="1909" t="s">
        <v>3192</v>
      </c>
      <c r="D279" s="1910"/>
      <c r="E279" s="1912">
        <f>+'Appui-Bud'!E20</f>
        <v>0</v>
      </c>
      <c r="F279" s="2072">
        <v>1709000</v>
      </c>
      <c r="G279" s="1912">
        <f>+'Appui-Bud'!G20</f>
        <v>0</v>
      </c>
      <c r="H279" s="1912">
        <f>+'Appui-Bud'!H20</f>
        <v>1708986.6359999999</v>
      </c>
      <c r="I279" s="1912">
        <f>+'Appui-Bud'!I20</f>
        <v>0</v>
      </c>
      <c r="J279" s="1912">
        <f>+'Appui-Bud'!J20</f>
        <v>0</v>
      </c>
      <c r="K279" s="1912">
        <f>+'Appui-Bud'!K20</f>
        <v>0</v>
      </c>
      <c r="L279" s="1912">
        <f>+'Appui-Bud'!L20</f>
        <v>0</v>
      </c>
      <c r="M279" s="1912">
        <f>+'Appui-Bud'!M20</f>
        <v>0</v>
      </c>
      <c r="N279" s="1912">
        <f>+'Appui-Bud'!N20</f>
        <v>0</v>
      </c>
      <c r="O279" s="1912">
        <f>+'Appui-Bud'!O20</f>
        <v>0</v>
      </c>
      <c r="P279" s="1912">
        <f>+'Appui-Bud'!P20</f>
        <v>0</v>
      </c>
      <c r="Q279" s="1912">
        <f>+'Appui-Bud'!Q20</f>
        <v>165000</v>
      </c>
      <c r="R279" s="1912">
        <f>+'Appui-Bud'!R20</f>
        <v>0</v>
      </c>
      <c r="S279" s="1980">
        <f t="shared" si="15"/>
        <v>1873986.6359999999</v>
      </c>
      <c r="T279" s="2169">
        <v>1873986.6359999999</v>
      </c>
      <c r="U279" s="2178">
        <f t="shared" si="75"/>
        <v>0</v>
      </c>
      <c r="V279" s="1854"/>
      <c r="W279" s="2003"/>
      <c r="Y279" s="2008">
        <f t="shared" si="30"/>
        <v>1873.9866359999999</v>
      </c>
      <c r="Z279" s="2010">
        <f>'[27]QUADRO 19 (2019)'!$AD$14</f>
        <v>1708.9866360000001</v>
      </c>
    </row>
    <row r="280" spans="1:26" s="1855" customFormat="1" ht="26.25">
      <c r="A280" s="1884" t="s">
        <v>476</v>
      </c>
      <c r="B280" s="1918"/>
      <c r="C280" s="1909" t="s">
        <v>477</v>
      </c>
      <c r="D280" s="1910">
        <v>0</v>
      </c>
      <c r="E280" s="1912">
        <v>-2</v>
      </c>
      <c r="F280" s="2072">
        <v>-1</v>
      </c>
      <c r="G280" s="1912">
        <v>0</v>
      </c>
      <c r="H280" s="1912">
        <v>0</v>
      </c>
      <c r="I280" s="1912">
        <v>0</v>
      </c>
      <c r="J280" s="1912">
        <v>0</v>
      </c>
      <c r="K280" s="1912">
        <v>0</v>
      </c>
      <c r="L280" s="1912">
        <v>0</v>
      </c>
      <c r="M280" s="1912">
        <v>0</v>
      </c>
      <c r="N280" s="1912">
        <v>0</v>
      </c>
      <c r="O280" s="1912">
        <v>0</v>
      </c>
      <c r="P280" s="1912">
        <v>0</v>
      </c>
      <c r="Q280" s="1912">
        <v>0</v>
      </c>
      <c r="R280" s="1912">
        <v>0</v>
      </c>
      <c r="S280" s="1980">
        <f t="shared" si="15"/>
        <v>0</v>
      </c>
      <c r="T280" s="2169">
        <v>0</v>
      </c>
      <c r="U280" s="2178">
        <f t="shared" si="75"/>
        <v>0</v>
      </c>
      <c r="V280" s="1854"/>
      <c r="W280" s="2003">
        <f t="shared" si="80"/>
        <v>0</v>
      </c>
      <c r="Y280" s="2008">
        <f t="shared" si="30"/>
        <v>0</v>
      </c>
    </row>
    <row r="281" spans="1:26" s="1870" customFormat="1" ht="30.75" customHeight="1">
      <c r="A281" s="1891" t="s">
        <v>479</v>
      </c>
      <c r="B281" s="1968">
        <v>2</v>
      </c>
      <c r="C281" s="1969" t="s">
        <v>3208</v>
      </c>
      <c r="D281" s="1970">
        <f t="shared" ref="D281:R281" si="85">D282+D303</f>
        <v>0</v>
      </c>
      <c r="E281" s="1971">
        <f>E282+E303</f>
        <v>161352129.30229005</v>
      </c>
      <c r="F281" s="2067">
        <f>F282+F303</f>
        <v>197968520.93700001</v>
      </c>
      <c r="G281" s="1971">
        <f>G282+G303</f>
        <v>7068797.8050196804</v>
      </c>
      <c r="H281" s="1971">
        <f t="shared" si="85"/>
        <v>12473023.807312649</v>
      </c>
      <c r="I281" s="1971">
        <f t="shared" si="85"/>
        <v>27245993.296956491</v>
      </c>
      <c r="J281" s="1971">
        <f t="shared" si="85"/>
        <v>10783831.755123885</v>
      </c>
      <c r="K281" s="1971">
        <f t="shared" si="85"/>
        <v>6016243.1371649997</v>
      </c>
      <c r="L281" s="1971">
        <f t="shared" si="85"/>
        <v>20011109.168644421</v>
      </c>
      <c r="M281" s="1971">
        <f t="shared" si="85"/>
        <v>9691840.8300480004</v>
      </c>
      <c r="N281" s="1971">
        <f t="shared" si="85"/>
        <v>11302241.725</v>
      </c>
      <c r="O281" s="1971">
        <f t="shared" si="85"/>
        <v>24900092.2330851</v>
      </c>
      <c r="P281" s="1971">
        <f t="shared" si="85"/>
        <v>11085977.220615</v>
      </c>
      <c r="Q281" s="1971">
        <f t="shared" si="85"/>
        <v>10257119.445525199</v>
      </c>
      <c r="R281" s="1971">
        <f t="shared" si="85"/>
        <v>14946407.46295194</v>
      </c>
      <c r="S281" s="1979">
        <f>SUM(G281:R281)</f>
        <v>165782677.88744736</v>
      </c>
      <c r="T281" s="2164">
        <f>T282+T303</f>
        <v>22700878.769249998</v>
      </c>
      <c r="U281" s="2178">
        <f t="shared" si="75"/>
        <v>143081799.11819735</v>
      </c>
      <c r="V281" s="1869">
        <f>S281/$V$3*100/1000</f>
        <v>20.507252246687617</v>
      </c>
      <c r="W281" s="2003">
        <f t="shared" si="80"/>
        <v>19.928197846790162</v>
      </c>
      <c r="Y281" s="2008">
        <f t="shared" si="30"/>
        <v>165782.67788744735</v>
      </c>
    </row>
    <row r="282" spans="1:26" s="1855" customFormat="1" ht="26.25">
      <c r="A282" s="1882" t="s">
        <v>482</v>
      </c>
      <c r="B282" s="1904" t="s">
        <v>481</v>
      </c>
      <c r="C282" s="1905" t="s">
        <v>3193</v>
      </c>
      <c r="D282" s="1906">
        <f>D283+D293+D299+D300+D301</f>
        <v>0</v>
      </c>
      <c r="E282" s="1907">
        <f>E283+E293+E299+E300+E301+E302+E292</f>
        <v>161352129.30229005</v>
      </c>
      <c r="F282" s="2068">
        <f>F283+F293+F299+F300+F301+F302+F292</f>
        <v>197968520.93700001</v>
      </c>
      <c r="G282" s="1907">
        <f t="shared" ref="G282:R282" si="86">G283+G293+G299+G300+G301+G302</f>
        <v>7068797.8050196804</v>
      </c>
      <c r="H282" s="1907">
        <f t="shared" si="86"/>
        <v>12473023.807312649</v>
      </c>
      <c r="I282" s="1907">
        <f t="shared" si="86"/>
        <v>27245993.296956491</v>
      </c>
      <c r="J282" s="1907">
        <f t="shared" si="86"/>
        <v>10783831.755123885</v>
      </c>
      <c r="K282" s="1907">
        <f t="shared" si="86"/>
        <v>6016243.1371649997</v>
      </c>
      <c r="L282" s="1907">
        <f t="shared" si="86"/>
        <v>20011109.168644421</v>
      </c>
      <c r="M282" s="1907">
        <f t="shared" si="86"/>
        <v>9691840.8300480004</v>
      </c>
      <c r="N282" s="1907">
        <f t="shared" si="86"/>
        <v>11302241.725</v>
      </c>
      <c r="O282" s="1907">
        <f t="shared" si="86"/>
        <v>24900092.2330851</v>
      </c>
      <c r="P282" s="1907">
        <f t="shared" si="86"/>
        <v>11085977.220615</v>
      </c>
      <c r="Q282" s="1907">
        <f t="shared" si="86"/>
        <v>10257119.445525199</v>
      </c>
      <c r="R282" s="1907">
        <f t="shared" si="86"/>
        <v>14946407.46295194</v>
      </c>
      <c r="S282" s="1980">
        <f>SUM(G282:R282)</f>
        <v>165782677.88744736</v>
      </c>
      <c r="T282" s="2165">
        <f t="shared" ref="T282" si="87">T283+T293+T299+T300+T301+T302</f>
        <v>22700878.769249998</v>
      </c>
      <c r="U282" s="2178">
        <f t="shared" si="75"/>
        <v>143081799.11819735</v>
      </c>
      <c r="V282" s="1854"/>
      <c r="W282" s="2003"/>
      <c r="Y282" s="2008">
        <f t="shared" si="30"/>
        <v>165782.67788744735</v>
      </c>
    </row>
    <row r="283" spans="1:26" s="1855" customFormat="1" ht="26.25">
      <c r="A283" s="1883" t="s">
        <v>189</v>
      </c>
      <c r="B283" s="1904" t="s">
        <v>487</v>
      </c>
      <c r="C283" s="1925" t="s">
        <v>3194</v>
      </c>
      <c r="D283" s="1910">
        <f>SUM(D284:D289)</f>
        <v>0</v>
      </c>
      <c r="E283" s="1912">
        <f>E284+E285+E286+E288+E289</f>
        <v>105448826.50343406</v>
      </c>
      <c r="F283" s="2072">
        <f>F284+F285+F286+F288+F289</f>
        <v>124004927</v>
      </c>
      <c r="G283" s="1912">
        <f>G284+G285+G286+G288+G289</f>
        <v>7038797.8050196804</v>
      </c>
      <c r="H283" s="1912">
        <f t="shared" ref="H283:R283" si="88">H284+H285+H286+H288+H289</f>
        <v>11708782.807312649</v>
      </c>
      <c r="I283" s="1912">
        <f t="shared" si="88"/>
        <v>17345164.620956492</v>
      </c>
      <c r="J283" s="1912">
        <f t="shared" si="88"/>
        <v>10742205.755123885</v>
      </c>
      <c r="K283" s="1912">
        <f t="shared" si="88"/>
        <v>6016243.1371649997</v>
      </c>
      <c r="L283" s="1912">
        <f t="shared" si="88"/>
        <v>11273589.94108442</v>
      </c>
      <c r="M283" s="1912">
        <f t="shared" si="88"/>
        <v>9691840.8300480004</v>
      </c>
      <c r="N283" s="1912">
        <f t="shared" si="88"/>
        <v>10985275.725</v>
      </c>
      <c r="O283" s="1912">
        <f t="shared" si="88"/>
        <v>10153327.538085099</v>
      </c>
      <c r="P283" s="1912">
        <f t="shared" si="88"/>
        <v>10956977.220615</v>
      </c>
      <c r="Q283" s="1912">
        <f t="shared" si="88"/>
        <v>10257119.445525199</v>
      </c>
      <c r="R283" s="1912">
        <f t="shared" si="88"/>
        <v>10736916.242951939</v>
      </c>
      <c r="S283" s="1980">
        <f>SUM(G283:R283)</f>
        <v>126906241.06888737</v>
      </c>
      <c r="T283" s="2169">
        <f>T284+T285+T286+T288+T289</f>
        <v>22700878.769249998</v>
      </c>
      <c r="U283" s="2178">
        <f t="shared" si="75"/>
        <v>104205362.29963738</v>
      </c>
      <c r="V283" s="1854">
        <f>S283/$V$3*100/1000</f>
        <v>15.698252256761714</v>
      </c>
      <c r="W283" s="2003">
        <f t="shared" si="80"/>
        <v>15.254987506778143</v>
      </c>
      <c r="Y283" s="2008">
        <f t="shared" si="30"/>
        <v>126906.24106888736</v>
      </c>
      <c r="Z283" s="2010">
        <f>'[27]QUADRO 19 (2019)'!$AD$17</f>
        <v>63956.862026911811</v>
      </c>
    </row>
    <row r="284" spans="1:26" s="1855" customFormat="1" ht="26.25">
      <c r="A284" s="1884" t="s">
        <v>492</v>
      </c>
      <c r="B284" s="1908" t="s">
        <v>489</v>
      </c>
      <c r="C284" s="1917" t="s">
        <v>3224</v>
      </c>
      <c r="D284" s="1910"/>
      <c r="E284" s="1912">
        <f>+[28]Tofe!$Q$40</f>
        <v>37026279</v>
      </c>
      <c r="F284" s="2072">
        <v>42976136</v>
      </c>
      <c r="G284" s="1912">
        <f>+'Ordon-Dep'!E7</f>
        <v>3546706</v>
      </c>
      <c r="H284" s="1912">
        <f>+'Ordon-Dep'!F7</f>
        <v>4497594</v>
      </c>
      <c r="I284" s="1912">
        <f>+'Ordon-Dep'!G7</f>
        <v>3461803</v>
      </c>
      <c r="J284" s="1912">
        <f>+'Ordon-Dep'!H7</f>
        <v>3775373</v>
      </c>
      <c r="K284" s="1912">
        <f>+'Ordon-Dep'!I7</f>
        <v>3247611</v>
      </c>
      <c r="L284" s="1912">
        <f>+'Ordon-Dep'!J7</f>
        <v>4400221</v>
      </c>
      <c r="M284" s="1912">
        <f>+'Ordon-Dep'!K7</f>
        <v>3523960</v>
      </c>
      <c r="N284" s="1912">
        <f>+'Ordon-Dep'!L7</f>
        <v>3674820</v>
      </c>
      <c r="O284" s="1912">
        <f>+'Ordon-Dep'!M7</f>
        <v>3557583</v>
      </c>
      <c r="P284" s="1912">
        <f>+'Ordon-Dep'!N7</f>
        <v>3639094</v>
      </c>
      <c r="Q284" s="1912">
        <f>+'Ordon-Dep'!O7</f>
        <v>3722947</v>
      </c>
      <c r="R284" s="1912">
        <f>+'Ordon-Dep'!P7</f>
        <v>4427291</v>
      </c>
      <c r="S284" s="1980">
        <f t="shared" ref="S284:S312" si="89">SUM(G284:R284)</f>
        <v>45475003</v>
      </c>
      <c r="T284" s="2169">
        <f>+'Ordon-Dep'!R7</f>
        <v>0</v>
      </c>
      <c r="U284" s="2178">
        <f t="shared" si="75"/>
        <v>45475003</v>
      </c>
      <c r="V284" s="1854"/>
      <c r="W284" s="2003"/>
      <c r="Y284" s="2008">
        <f t="shared" si="30"/>
        <v>45475.002999999997</v>
      </c>
      <c r="Z284" s="2010">
        <f>'[27]QUADRO 19 (2019)'!$AD$18</f>
        <v>22929.307000000001</v>
      </c>
    </row>
    <row r="285" spans="1:26" s="1855" customFormat="1" ht="26.25">
      <c r="A285" s="1884" t="s">
        <v>495</v>
      </c>
      <c r="B285" s="1908" t="s">
        <v>494</v>
      </c>
      <c r="C285" s="1917" t="s">
        <v>3195</v>
      </c>
      <c r="D285" s="1910"/>
      <c r="E285" s="1912">
        <f>+[28]Tofe!$Q$41</f>
        <v>20046041.856999997</v>
      </c>
      <c r="F285" s="2072">
        <v>19293000</v>
      </c>
      <c r="G285" s="1912">
        <f>+'Ordon-Dep'!E13</f>
        <v>686473</v>
      </c>
      <c r="H285" s="1912">
        <f>+'Ordon-Dep'!F13</f>
        <v>2537129</v>
      </c>
      <c r="I285" s="1912">
        <f>+'Ordon-Dep'!G13</f>
        <v>1049924.6640000001</v>
      </c>
      <c r="J285" s="1912">
        <f>+'Ordon-Dep'!H13</f>
        <v>1405939</v>
      </c>
      <c r="K285" s="1912">
        <f>+'Ordon-Dep'!I13</f>
        <v>293793</v>
      </c>
      <c r="L285" s="1912">
        <f>+'Ordon-Dep'!J13</f>
        <v>2369321</v>
      </c>
      <c r="M285" s="1912">
        <f>+'Ordon-Dep'!K13</f>
        <v>1457666</v>
      </c>
      <c r="N285" s="1912">
        <f>+'Ordon-Dep'!L13</f>
        <v>1486964</v>
      </c>
      <c r="O285" s="1912">
        <f>+'Ordon-Dep'!M13</f>
        <v>1421689</v>
      </c>
      <c r="P285" s="1912">
        <f>+'Ordon-Dep'!N13</f>
        <v>1367113</v>
      </c>
      <c r="Q285" s="1912">
        <f>+'Ordon-Dep'!O13</f>
        <v>1681653</v>
      </c>
      <c r="R285" s="1912">
        <f>+'Ordon-Dep'!P13</f>
        <v>1629753</v>
      </c>
      <c r="S285" s="1980">
        <f t="shared" si="89"/>
        <v>17387417.664000001</v>
      </c>
      <c r="T285" s="2169">
        <f>+'Ordon-Dep'!R13</f>
        <v>0</v>
      </c>
      <c r="U285" s="2178">
        <f t="shared" si="75"/>
        <v>17387417.664000001</v>
      </c>
      <c r="V285" s="1854"/>
      <c r="W285" s="2003"/>
      <c r="Y285" s="2008">
        <f t="shared" si="30"/>
        <v>17387.417664000001</v>
      </c>
      <c r="Z285" s="2010">
        <f>'[27]QUADRO 19 (2019)'!$AD$19</f>
        <v>8249.8019999999997</v>
      </c>
    </row>
    <row r="286" spans="1:26" s="1855" customFormat="1" ht="26.25">
      <c r="A286" s="1884" t="s">
        <v>498</v>
      </c>
      <c r="B286" s="1908" t="s">
        <v>497</v>
      </c>
      <c r="C286" s="1917" t="s">
        <v>3196</v>
      </c>
      <c r="D286" s="1910"/>
      <c r="E286" s="1912">
        <f>+[28]Tofe!$Q$42</f>
        <v>26129721.177000001</v>
      </c>
      <c r="F286" s="2072">
        <v>31801000</v>
      </c>
      <c r="G286" s="1912">
        <f>+'Ordon-Dep'!E20</f>
        <v>1469521</v>
      </c>
      <c r="H286" s="1912">
        <f>+'Ordon-Dep'!F20</f>
        <v>2020007</v>
      </c>
      <c r="I286" s="1912">
        <f>+'Ordon-Dep'!G20</f>
        <v>11064332.579</v>
      </c>
      <c r="J286" s="1912">
        <f>+'Ordon-Dep'!H20</f>
        <v>1783931</v>
      </c>
      <c r="K286" s="1912">
        <f>+'Ordon-Dep'!I20</f>
        <v>1756088</v>
      </c>
      <c r="L286" s="1912">
        <f>+'Ordon-Dep'!J20</f>
        <v>1974717</v>
      </c>
      <c r="M286" s="1912">
        <f>+'Ordon-Dep'!K20</f>
        <v>1909814</v>
      </c>
      <c r="N286" s="1912">
        <f>+'Ordon-Dep'!L20</f>
        <v>2464753</v>
      </c>
      <c r="O286" s="1912">
        <f>+'Ordon-Dep'!M20</f>
        <v>2183563</v>
      </c>
      <c r="P286" s="1912">
        <f>+'Ordon-Dep'!N20</f>
        <v>2916130</v>
      </c>
      <c r="Q286" s="1912">
        <f>+'Ordon-Dep'!O20</f>
        <v>2061379</v>
      </c>
      <c r="R286" s="1912">
        <f>+'Ordon-Dep'!P20</f>
        <v>1919839</v>
      </c>
      <c r="S286" s="1980">
        <f>SUM(G286:R286)</f>
        <v>33524074.579</v>
      </c>
      <c r="T286" s="2169">
        <f>+'Ordon-Dep'!R20</f>
        <v>0</v>
      </c>
      <c r="U286" s="2178">
        <f t="shared" si="75"/>
        <v>33524074.579</v>
      </c>
      <c r="V286" s="1854"/>
      <c r="W286" s="2003"/>
      <c r="Y286" s="2008">
        <f t="shared" si="30"/>
        <v>33524.074579</v>
      </c>
      <c r="Z286" s="2010">
        <f>'[27]QUADRO 19 (2019)'!$AD$20</f>
        <v>18537.341</v>
      </c>
    </row>
    <row r="287" spans="1:26" s="1855" customFormat="1" ht="26.25">
      <c r="A287" s="1884" t="s">
        <v>500</v>
      </c>
      <c r="B287" s="1908" t="s">
        <v>3144</v>
      </c>
      <c r="C287" s="1914" t="s">
        <v>3143</v>
      </c>
      <c r="D287" s="1910">
        <v>0</v>
      </c>
      <c r="E287" s="1912"/>
      <c r="F287" s="2072"/>
      <c r="G287" s="1912"/>
      <c r="H287" s="1912"/>
      <c r="I287" s="1912"/>
      <c r="J287" s="1912"/>
      <c r="K287" s="1912"/>
      <c r="L287" s="1912"/>
      <c r="M287" s="1912"/>
      <c r="N287" s="1912"/>
      <c r="O287" s="1912"/>
      <c r="P287" s="1912"/>
      <c r="Q287" s="1912"/>
      <c r="R287" s="1985"/>
      <c r="S287" s="1980">
        <f t="shared" si="89"/>
        <v>0</v>
      </c>
      <c r="T287" s="2169"/>
      <c r="U287" s="2178">
        <f t="shared" si="75"/>
        <v>0</v>
      </c>
      <c r="V287" s="1854"/>
      <c r="W287" s="2003"/>
      <c r="Y287" s="2008">
        <f t="shared" si="30"/>
        <v>0</v>
      </c>
    </row>
    <row r="288" spans="1:26" s="1855" customFormat="1" ht="26.25">
      <c r="A288" s="1884" t="s">
        <v>503</v>
      </c>
      <c r="B288" s="1908" t="s">
        <v>502</v>
      </c>
      <c r="C288" s="1917" t="s">
        <v>3230</v>
      </c>
      <c r="D288" s="1910"/>
      <c r="E288" s="1912">
        <f>+[28]Tofe!$Q$44</f>
        <v>17369874.229999997</v>
      </c>
      <c r="F288" s="2072">
        <f>16300007+4000000</f>
        <v>20300007</v>
      </c>
      <c r="G288" s="1912">
        <f>+'Ordon-Dep'!E27+'Ordon-Dep'!E47</f>
        <v>1093845.723</v>
      </c>
      <c r="H288" s="1912">
        <f>+'Ordon-Dep'!F27+'Ordon-Dep'!F47</f>
        <v>2323513.8160000001</v>
      </c>
      <c r="I288" s="1912">
        <f>+'Ordon-Dep'!G27+'Ordon-Dep'!G47</f>
        <v>1561791.2080000001</v>
      </c>
      <c r="J288" s="1912">
        <f>+'Ordon-Dep'!H27+'Ordon-Dep'!H47</f>
        <v>1417869.8107499999</v>
      </c>
      <c r="K288" s="1912">
        <f>+'Ordon-Dep'!I27+'Ordon-Dep'!I47</f>
        <v>666378.2365</v>
      </c>
      <c r="L288" s="1912">
        <f>+'Ordon-Dep'!J27+'Ordon-Dep'!J47</f>
        <v>1767597.537</v>
      </c>
      <c r="M288" s="1912">
        <f>+'Ordon-Dep'!K27+'Ordon-Dep'!K47</f>
        <v>1857561.2560000001</v>
      </c>
      <c r="N288" s="1912">
        <f>+'Ordon-Dep'!L27+'Ordon-Dep'!L47</f>
        <v>2808164.8360000001</v>
      </c>
      <c r="O288" s="1912">
        <f>+'Ordon-Dep'!M27+'Ordon-Dep'!M47</f>
        <v>2487600.216</v>
      </c>
      <c r="P288" s="1912">
        <f>+'Ordon-Dep'!N27+'Ordon-Dep'!N47</f>
        <v>1950926.6839999999</v>
      </c>
      <c r="Q288" s="1912">
        <f>+'Ordon-Dep'!O27+'Ordon-Dep'!O47</f>
        <v>2488860.2919999999</v>
      </c>
      <c r="R288" s="1912">
        <f>+'Ordon-Dep'!P27+'Ordon-Dep'!P47</f>
        <v>2276769.1540000001</v>
      </c>
      <c r="S288" s="1980">
        <f t="shared" si="89"/>
        <v>22700878.769249994</v>
      </c>
      <c r="T288" s="2169">
        <f>+'Ordon-Dep'!R27+'Ordon-Dep'!R47</f>
        <v>22700878.769249998</v>
      </c>
      <c r="U288" s="2178">
        <f t="shared" si="75"/>
        <v>0</v>
      </c>
      <c r="V288" s="1854"/>
      <c r="W288" s="2003"/>
      <c r="Y288" s="2008">
        <f t="shared" si="30"/>
        <v>22700.878769249994</v>
      </c>
      <c r="Z288" s="2010">
        <f>'[27]QUADRO 19 (2019)'!$AD$24+'[27]QUADRO 19 (2019)'!$AD$25</f>
        <v>9012.2327212500004</v>
      </c>
    </row>
    <row r="289" spans="1:26" s="1855" customFormat="1" ht="26.25">
      <c r="A289" s="1884" t="s">
        <v>506</v>
      </c>
      <c r="B289" s="1908" t="s">
        <v>505</v>
      </c>
      <c r="C289" s="1917" t="s">
        <v>3197</v>
      </c>
      <c r="D289" s="1910"/>
      <c r="E289" s="1912">
        <f>+E290+E291</f>
        <v>4876910.2394340653</v>
      </c>
      <c r="F289" s="2072">
        <v>9634784</v>
      </c>
      <c r="G289" s="1912">
        <f t="shared" ref="G289:Q289" si="90">SUM(G290:G291)</f>
        <v>242252.08201967998</v>
      </c>
      <c r="H289" s="1912">
        <f t="shared" si="90"/>
        <v>330538.99131265003</v>
      </c>
      <c r="I289" s="1912">
        <f t="shared" si="90"/>
        <v>207313.16995648976</v>
      </c>
      <c r="J289" s="1912">
        <f t="shared" si="90"/>
        <v>2359092.9443738847</v>
      </c>
      <c r="K289" s="1912">
        <f t="shared" si="90"/>
        <v>52372.900665000001</v>
      </c>
      <c r="L289" s="1912">
        <f t="shared" si="90"/>
        <v>761733.40408442006</v>
      </c>
      <c r="M289" s="1912">
        <f t="shared" si="90"/>
        <v>942839.57404800004</v>
      </c>
      <c r="N289" s="1912">
        <f t="shared" si="90"/>
        <v>550573.88899999997</v>
      </c>
      <c r="O289" s="1912">
        <f t="shared" si="90"/>
        <v>502892.32208510005</v>
      </c>
      <c r="P289" s="1912">
        <f t="shared" si="90"/>
        <v>1083713.5366149999</v>
      </c>
      <c r="Q289" s="1912">
        <f t="shared" si="90"/>
        <v>302280.15352519997</v>
      </c>
      <c r="R289" s="1912">
        <f>SUM(R290:R291)</f>
        <v>483264.08895194007</v>
      </c>
      <c r="S289" s="1980">
        <f>SUM(G289:R289)</f>
        <v>7818867.0566373654</v>
      </c>
      <c r="T289" s="2169">
        <f t="shared" ref="T289" si="91">SUM(T290:T291)</f>
        <v>0</v>
      </c>
      <c r="U289" s="2178">
        <f t="shared" si="75"/>
        <v>7818867.0566373654</v>
      </c>
      <c r="V289" s="1854"/>
      <c r="W289" s="2003"/>
      <c r="Y289" s="2008">
        <f t="shared" si="30"/>
        <v>7818.8670566373657</v>
      </c>
      <c r="Z289" s="2010">
        <f>'[27]QUADRO 19 (2019)'!$AD$21</f>
        <v>5228.1793056618135</v>
      </c>
    </row>
    <row r="290" spans="1:26" s="1855" customFormat="1" ht="26.25">
      <c r="A290" s="1884" t="s">
        <v>508</v>
      </c>
      <c r="B290" s="1908" t="s">
        <v>3147</v>
      </c>
      <c r="C290" s="1914" t="s">
        <v>3199</v>
      </c>
      <c r="D290" s="1910"/>
      <c r="E290" s="1912">
        <f>+[28]Tofe!$Q$46</f>
        <v>2103385.1166562876</v>
      </c>
      <c r="F290" s="2072"/>
      <c r="G290" s="1912">
        <f>+'Ordon-Dep'!E5</f>
        <v>242252.08201967998</v>
      </c>
      <c r="H290" s="1912">
        <f>+'Ordon-Dep'!F5</f>
        <v>57937.760312650003</v>
      </c>
      <c r="I290" s="1912">
        <f>+'Ordon-Dep'!G5</f>
        <v>93256.528511389697</v>
      </c>
      <c r="J290" s="1912">
        <f>+'Ordon-Dep'!H5</f>
        <v>551493.52637388499</v>
      </c>
      <c r="K290" s="1912">
        <f>+'Ordon-Dep'!I5</f>
        <v>22907.567665000002</v>
      </c>
      <c r="L290" s="1912">
        <f>+'Ordon-Dep'!J5</f>
        <v>520896.20263931999</v>
      </c>
      <c r="M290" s="1912">
        <f>+'Ordon-Dep'!K5</f>
        <v>279819.81404800003</v>
      </c>
      <c r="N290" s="1912">
        <f>+'Ordon-Dep'!L5</f>
        <v>95917.945000000007</v>
      </c>
      <c r="O290" s="1912">
        <f>+'Ordon-Dep'!M5</f>
        <v>130676.35164000001</v>
      </c>
      <c r="P290" s="1912">
        <f>+'Ordon-Dep'!N5</f>
        <v>723790.09461499983</v>
      </c>
      <c r="Q290" s="1912">
        <f>+'Ordon-Dep'!O5</f>
        <v>50926.7265252</v>
      </c>
      <c r="R290" s="1985">
        <f>+'Ordon-Dep'!P5</f>
        <v>372484.62850683997</v>
      </c>
      <c r="S290" s="2020">
        <f>SUM(G290:R290)</f>
        <v>3142359.2278569639</v>
      </c>
      <c r="T290" s="2169">
        <f>+'Ordon-Dep'!R5</f>
        <v>0</v>
      </c>
      <c r="U290" s="2178">
        <f t="shared" si="75"/>
        <v>3142359.2278569639</v>
      </c>
      <c r="V290" s="1854"/>
      <c r="W290" s="2003"/>
      <c r="Y290" s="2008">
        <f t="shared" si="30"/>
        <v>3142.359227856964</v>
      </c>
      <c r="Z290" s="2010">
        <f>'[27]QUADRO 19 (2019)'!$AD$22</f>
        <v>2365.598</v>
      </c>
    </row>
    <row r="291" spans="1:26" s="1866" customFormat="1" ht="26.25">
      <c r="A291" s="1889" t="s">
        <v>110</v>
      </c>
      <c r="B291" s="1926" t="s">
        <v>3148</v>
      </c>
      <c r="C291" s="1914" t="s">
        <v>3198</v>
      </c>
      <c r="D291" s="1911">
        <v>0</v>
      </c>
      <c r="E291" s="1984">
        <f>+[28]Tofe!$Q$47</f>
        <v>2773525.1227777773</v>
      </c>
      <c r="F291" s="2072"/>
      <c r="G291" s="1984">
        <f>+'Ordon-Dep'!E4+'Ordon-Dep'!E17</f>
        <v>0</v>
      </c>
      <c r="H291" s="1984">
        <f>+'Ordon-Dep'!F4+'Ordon-Dep'!F17</f>
        <v>272601.23100000003</v>
      </c>
      <c r="I291" s="1984">
        <f>+'Ordon-Dep'!G4+'Ordon-Dep'!G17</f>
        <v>114056.64144510006</v>
      </c>
      <c r="J291" s="1984">
        <f>+'Ordon-Dep'!H4+'Ordon-Dep'!H17</f>
        <v>1807599.4179999998</v>
      </c>
      <c r="K291" s="1984">
        <f>+'Ordon-Dep'!I4+'Ordon-Dep'!I17</f>
        <v>29465.332999999999</v>
      </c>
      <c r="L291" s="1984">
        <f>+'Ordon-Dep'!J4+'Ordon-Dep'!J17</f>
        <v>240837.20144510007</v>
      </c>
      <c r="M291" s="1984">
        <f>+'Ordon-Dep'!K4+'Ordon-Dep'!K17</f>
        <v>663019.76</v>
      </c>
      <c r="N291" s="1984">
        <f>+'Ordon-Dep'!L4+'Ordon-Dep'!L17</f>
        <v>454655.94400000002</v>
      </c>
      <c r="O291" s="1984">
        <f>+'Ordon-Dep'!M4+'Ordon-Dep'!M17</f>
        <v>372215.97044510004</v>
      </c>
      <c r="P291" s="1984">
        <f>+'Ordon-Dep'!N4+'Ordon-Dep'!N17</f>
        <v>359923.44199999998</v>
      </c>
      <c r="Q291" s="1984">
        <f>+'Ordon-Dep'!O4+'Ordon-Dep'!O17</f>
        <v>251353.427</v>
      </c>
      <c r="R291" s="1984">
        <f>+'Ordon-Dep'!P4+'Ordon-Dep'!P17</f>
        <v>110779.46044510006</v>
      </c>
      <c r="S291" s="2020">
        <f>SUM(G291:R291)</f>
        <v>4676507.8287804006</v>
      </c>
      <c r="T291" s="2169">
        <f>+'Ordon-Dep'!R4+'Ordon-Dep'!R17</f>
        <v>0</v>
      </c>
      <c r="U291" s="2178">
        <f t="shared" si="75"/>
        <v>4676507.8287804006</v>
      </c>
      <c r="V291" s="1854"/>
      <c r="W291" s="2003"/>
      <c r="Y291" s="2008">
        <f t="shared" si="30"/>
        <v>4676.5078287804008</v>
      </c>
      <c r="Z291" s="2011">
        <f>'[27]QUADRO 19 (2019)'!$AD$23</f>
        <v>2862.581305661814</v>
      </c>
    </row>
    <row r="292" spans="1:26" s="1855" customFormat="1" ht="26.25">
      <c r="A292" s="1884"/>
      <c r="B292" s="1908" t="s">
        <v>3146</v>
      </c>
      <c r="C292" s="1924" t="s">
        <v>3229</v>
      </c>
      <c r="D292" s="1906"/>
      <c r="E292" s="1907">
        <f>+[28]Tofe!$Q$58</f>
        <v>5283565.262000001</v>
      </c>
      <c r="F292" s="2068"/>
      <c r="G292" s="1912"/>
      <c r="H292" s="1912"/>
      <c r="I292" s="1912"/>
      <c r="J292" s="1912"/>
      <c r="K292" s="1912"/>
      <c r="L292" s="1912"/>
      <c r="M292" s="1912"/>
      <c r="N292" s="1912"/>
      <c r="O292" s="1912"/>
      <c r="P292" s="1912"/>
      <c r="Q292" s="1912"/>
      <c r="R292" s="1912"/>
      <c r="S292" s="1980"/>
      <c r="T292" s="2169"/>
      <c r="U292" s="2178">
        <f t="shared" si="75"/>
        <v>0</v>
      </c>
      <c r="V292" s="1854"/>
      <c r="W292" s="2003"/>
      <c r="Y292" s="2008">
        <f t="shared" si="30"/>
        <v>0</v>
      </c>
    </row>
    <row r="293" spans="1:26" s="1855" customFormat="1" ht="26.25">
      <c r="A293" s="1883" t="s">
        <v>190</v>
      </c>
      <c r="B293" s="1904" t="s">
        <v>513</v>
      </c>
      <c r="C293" s="1925" t="s">
        <v>3200</v>
      </c>
      <c r="D293" s="1910">
        <f t="shared" ref="D293:R293" si="92">D294+D297</f>
        <v>0</v>
      </c>
      <c r="E293" s="1912">
        <f>+E294+E297</f>
        <v>50619739.536856003</v>
      </c>
      <c r="F293" s="2072">
        <f>+F294+F297</f>
        <v>73963595.937000006</v>
      </c>
      <c r="G293" s="1912">
        <f>G294+G297</f>
        <v>30000</v>
      </c>
      <c r="H293" s="1912">
        <f t="shared" si="92"/>
        <v>764241</v>
      </c>
      <c r="I293" s="1912">
        <f t="shared" si="92"/>
        <v>9900828.675999999</v>
      </c>
      <c r="J293" s="1912">
        <f t="shared" si="92"/>
        <v>41626</v>
      </c>
      <c r="K293" s="1912">
        <f t="shared" si="92"/>
        <v>0</v>
      </c>
      <c r="L293" s="1912">
        <f t="shared" si="92"/>
        <v>8737519.2275599986</v>
      </c>
      <c r="M293" s="1912">
        <f t="shared" si="92"/>
        <v>0</v>
      </c>
      <c r="N293" s="1912">
        <f t="shared" si="92"/>
        <v>316966</v>
      </c>
      <c r="O293" s="1912">
        <f t="shared" si="92"/>
        <v>14746764.695</v>
      </c>
      <c r="P293" s="1912">
        <f t="shared" si="92"/>
        <v>129000</v>
      </c>
      <c r="Q293" s="1912">
        <f t="shared" si="92"/>
        <v>0</v>
      </c>
      <c r="R293" s="1912">
        <f t="shared" si="92"/>
        <v>4209491.22</v>
      </c>
      <c r="S293" s="1980">
        <f t="shared" si="89"/>
        <v>38876436.818559997</v>
      </c>
      <c r="T293" s="2169">
        <f>T294+T297</f>
        <v>0</v>
      </c>
      <c r="U293" s="2178">
        <f t="shared" si="75"/>
        <v>38876436.818559997</v>
      </c>
      <c r="V293" s="1854">
        <f>S293/$V$3*100/1000</f>
        <v>4.8089999899259039</v>
      </c>
      <c r="W293" s="2003">
        <f t="shared" si="80"/>
        <v>4.6732103400120204</v>
      </c>
      <c r="Y293" s="2008">
        <f t="shared" si="30"/>
        <v>38876.436818559996</v>
      </c>
      <c r="Z293" s="2010">
        <f>'[27]QUADRO 19 (2019)'!$AD$26</f>
        <v>21028.866999999998</v>
      </c>
    </row>
    <row r="294" spans="1:26" s="1855" customFormat="1" ht="26.25">
      <c r="A294" s="1884" t="s">
        <v>516</v>
      </c>
      <c r="B294" s="1918" t="s">
        <v>515</v>
      </c>
      <c r="C294" s="1917" t="s">
        <v>3201</v>
      </c>
      <c r="D294" s="1910">
        <f t="shared" ref="D294:R294" si="93">SUM(D295:D296)</f>
        <v>0</v>
      </c>
      <c r="E294" s="1912">
        <f>+E295+E296</f>
        <v>48531080.536856003</v>
      </c>
      <c r="F294" s="2072">
        <f>+F295+F296</f>
        <v>69963595.937000006</v>
      </c>
      <c r="G294" s="1912">
        <f t="shared" si="93"/>
        <v>0</v>
      </c>
      <c r="H294" s="1912">
        <f t="shared" si="93"/>
        <v>0</v>
      </c>
      <c r="I294" s="1912">
        <f t="shared" si="93"/>
        <v>9900828.675999999</v>
      </c>
      <c r="J294" s="1912">
        <f t="shared" si="93"/>
        <v>0</v>
      </c>
      <c r="K294" s="1912">
        <f t="shared" si="93"/>
        <v>0</v>
      </c>
      <c r="L294" s="1912">
        <f t="shared" si="93"/>
        <v>8737519.2275599986</v>
      </c>
      <c r="M294" s="1912">
        <f t="shared" si="93"/>
        <v>0</v>
      </c>
      <c r="N294" s="1912">
        <f t="shared" si="93"/>
        <v>0</v>
      </c>
      <c r="O294" s="1912">
        <f t="shared" si="93"/>
        <v>14255389.695</v>
      </c>
      <c r="P294" s="1912">
        <f t="shared" si="93"/>
        <v>0</v>
      </c>
      <c r="Q294" s="1912">
        <f t="shared" si="93"/>
        <v>0</v>
      </c>
      <c r="R294" s="1912">
        <f t="shared" si="93"/>
        <v>4189491.2199999997</v>
      </c>
      <c r="S294" s="1980">
        <f t="shared" si="89"/>
        <v>37083228.818559997</v>
      </c>
      <c r="T294" s="2169">
        <f t="shared" ref="T294" si="94">SUM(T295:T296)</f>
        <v>0</v>
      </c>
      <c r="U294" s="2178">
        <f t="shared" si="75"/>
        <v>37083228.818559997</v>
      </c>
      <c r="V294" s="1854">
        <f>S294/$V$3*100/1000</f>
        <v>4.5871808634925344</v>
      </c>
      <c r="W294" s="2003">
        <f t="shared" si="80"/>
        <v>4.4576546241807913</v>
      </c>
      <c r="X294" s="1871"/>
      <c r="Y294" s="2008">
        <f t="shared" si="30"/>
        <v>37083.228818559997</v>
      </c>
      <c r="Z294" s="2010">
        <f>'[27]QUADRO 19 (2019)'!$AD$27</f>
        <v>20193</v>
      </c>
    </row>
    <row r="295" spans="1:26" s="1855" customFormat="1" ht="26.25">
      <c r="A295" s="1884" t="s">
        <v>712</v>
      </c>
      <c r="B295" s="1918" t="s">
        <v>3151</v>
      </c>
      <c r="C295" s="1922" t="s">
        <v>674</v>
      </c>
      <c r="D295" s="1910"/>
      <c r="E295" s="1912">
        <f>+[28]Tofe!$Q$51</f>
        <v>30301714.789856002</v>
      </c>
      <c r="F295" s="2072">
        <f>+F278</f>
        <v>46482508.325999998</v>
      </c>
      <c r="G295" s="1912">
        <f t="shared" ref="G295:Q295" si="95">+G278</f>
        <v>0</v>
      </c>
      <c r="H295" s="1912">
        <f t="shared" si="95"/>
        <v>0</v>
      </c>
      <c r="I295" s="1912">
        <f t="shared" si="95"/>
        <v>6351667.6349999998</v>
      </c>
      <c r="J295" s="1912">
        <f t="shared" si="95"/>
        <v>0</v>
      </c>
      <c r="K295" s="1912">
        <f t="shared" si="95"/>
        <v>0</v>
      </c>
      <c r="L295" s="1912">
        <f t="shared" si="95"/>
        <v>6116982.7189999996</v>
      </c>
      <c r="M295" s="1912">
        <f t="shared" si="95"/>
        <v>0</v>
      </c>
      <c r="N295" s="1912">
        <f t="shared" si="95"/>
        <v>0</v>
      </c>
      <c r="O295" s="1912">
        <f t="shared" si="95"/>
        <v>5832614.3799999999</v>
      </c>
      <c r="P295" s="1912">
        <f t="shared" si="95"/>
        <v>0</v>
      </c>
      <c r="Q295" s="1912">
        <f t="shared" si="95"/>
        <v>0</v>
      </c>
      <c r="R295" s="1912">
        <f>+R278</f>
        <v>4189325.5199999996</v>
      </c>
      <c r="S295" s="1980">
        <f t="shared" si="89"/>
        <v>22490590.253999997</v>
      </c>
      <c r="T295" s="2169">
        <f t="shared" ref="T295" si="96">+T278</f>
        <v>0</v>
      </c>
      <c r="U295" s="2178">
        <f t="shared" si="75"/>
        <v>22490590.253999997</v>
      </c>
      <c r="V295" s="1854"/>
      <c r="W295" s="2003"/>
      <c r="X295" s="1871"/>
      <c r="Y295" s="2008">
        <f t="shared" si="30"/>
        <v>22490.590253999995</v>
      </c>
    </row>
    <row r="296" spans="1:26" s="1855" customFormat="1" ht="26.25">
      <c r="A296" s="1884" t="s">
        <v>713</v>
      </c>
      <c r="B296" s="1918" t="s">
        <v>3152</v>
      </c>
      <c r="C296" s="1922" t="s">
        <v>675</v>
      </c>
      <c r="D296" s="1910">
        <v>0</v>
      </c>
      <c r="E296" s="1912">
        <f>+[28]Tofe!$Q$52</f>
        <v>18229365.747000001</v>
      </c>
      <c r="F296" s="2072">
        <f>+F379</f>
        <v>23481087.611000001</v>
      </c>
      <c r="G296" s="1912">
        <f t="shared" ref="G296:Q296" si="97">+G379</f>
        <v>0</v>
      </c>
      <c r="H296" s="1912">
        <f t="shared" si="97"/>
        <v>0</v>
      </c>
      <c r="I296" s="1912">
        <f t="shared" si="97"/>
        <v>3549161.0410000002</v>
      </c>
      <c r="J296" s="1912">
        <f t="shared" si="97"/>
        <v>0</v>
      </c>
      <c r="K296" s="1912">
        <f t="shared" si="97"/>
        <v>0</v>
      </c>
      <c r="L296" s="1912">
        <f t="shared" si="97"/>
        <v>2620536.50856</v>
      </c>
      <c r="M296" s="1912">
        <f t="shared" si="97"/>
        <v>0</v>
      </c>
      <c r="N296" s="1912">
        <f t="shared" si="97"/>
        <v>0</v>
      </c>
      <c r="O296" s="1912">
        <f t="shared" si="97"/>
        <v>8422775.3149999995</v>
      </c>
      <c r="P296" s="1912">
        <f t="shared" si="97"/>
        <v>0</v>
      </c>
      <c r="Q296" s="1912">
        <f t="shared" si="97"/>
        <v>0</v>
      </c>
      <c r="R296" s="1912">
        <f>+R379</f>
        <v>165.7</v>
      </c>
      <c r="S296" s="1980">
        <f t="shared" si="89"/>
        <v>14592638.56456</v>
      </c>
      <c r="T296" s="2169">
        <f t="shared" ref="T296" si="98">+T379</f>
        <v>0</v>
      </c>
      <c r="U296" s="2178">
        <f t="shared" si="75"/>
        <v>14592638.56456</v>
      </c>
      <c r="V296" s="1854"/>
      <c r="W296" s="2003"/>
      <c r="X296" s="1871"/>
      <c r="Y296" s="2008">
        <f t="shared" si="30"/>
        <v>14592.63856456</v>
      </c>
      <c r="Z296" s="2010">
        <f>'[27]QUADRO 19 (2019)'!$AD$12</f>
        <v>8462</v>
      </c>
    </row>
    <row r="297" spans="1:26" s="1855" customFormat="1" ht="26.25">
      <c r="A297" s="1884" t="s">
        <v>519</v>
      </c>
      <c r="B297" s="1918" t="s">
        <v>518</v>
      </c>
      <c r="C297" s="1917" t="s">
        <v>3202</v>
      </c>
      <c r="D297" s="1910"/>
      <c r="E297" s="1912">
        <f>+[28]Tofe!$Q$53</f>
        <v>2088659</v>
      </c>
      <c r="F297" s="2072">
        <v>4000000</v>
      </c>
      <c r="G297" s="1912">
        <f>+'Ordon-Dep'!E39</f>
        <v>30000</v>
      </c>
      <c r="H297" s="1912">
        <f>+'Ordon-Dep'!F39</f>
        <v>764241</v>
      </c>
      <c r="I297" s="1912">
        <f>+'Ordon-Dep'!G39</f>
        <v>0</v>
      </c>
      <c r="J297" s="1912">
        <f>+'Ordon-Dep'!H39</f>
        <v>41626</v>
      </c>
      <c r="K297" s="1912">
        <f>+'Ordon-Dep'!I39</f>
        <v>0</v>
      </c>
      <c r="L297" s="1912">
        <f>+'Ordon-Dep'!J39</f>
        <v>0</v>
      </c>
      <c r="M297" s="1912">
        <f>+'Ordon-Dep'!K39</f>
        <v>0</v>
      </c>
      <c r="N297" s="1912">
        <f>+'Ordon-Dep'!L39</f>
        <v>316966</v>
      </c>
      <c r="O297" s="1912">
        <f>+'Ordon-Dep'!M39</f>
        <v>491375</v>
      </c>
      <c r="P297" s="1912">
        <f>+'Ordon-Dep'!N39</f>
        <v>129000</v>
      </c>
      <c r="Q297" s="1912">
        <f>+'Ordon-Dep'!O39</f>
        <v>0</v>
      </c>
      <c r="R297" s="1912">
        <f>+'Ordon-Dep'!P39</f>
        <v>20000</v>
      </c>
      <c r="S297" s="1980">
        <f t="shared" si="89"/>
        <v>1793208</v>
      </c>
      <c r="T297" s="2169">
        <f>+'Ordon-Dep'!R39</f>
        <v>0</v>
      </c>
      <c r="U297" s="2178">
        <f t="shared" si="75"/>
        <v>1793208</v>
      </c>
      <c r="V297" s="1854">
        <f>S297/$V$3*100/1000</f>
        <v>0.22181912643336918</v>
      </c>
      <c r="W297" s="2003">
        <f t="shared" si="80"/>
        <v>0.21555571583122971</v>
      </c>
      <c r="X297" s="1871"/>
      <c r="Y297" s="2008">
        <f t="shared" si="30"/>
        <v>1793.2080000000001</v>
      </c>
      <c r="Z297" s="2010">
        <f>'[27]QUADRO 19 (2019)'!$AD$28</f>
        <v>835.86699999999996</v>
      </c>
    </row>
    <row r="298" spans="1:26" s="1855" customFormat="1" ht="26.25">
      <c r="A298" s="1884"/>
      <c r="B298" s="1927"/>
      <c r="C298" s="1928"/>
      <c r="D298" s="1910"/>
      <c r="E298" s="1912">
        <f>'Ordon-Dep'!C43</f>
        <v>0</v>
      </c>
      <c r="F298" s="2072">
        <f>'Ordon-Dep'!D43</f>
        <v>0</v>
      </c>
      <c r="G298" s="1912">
        <f>'Ordon-Dep'!E43</f>
        <v>0</v>
      </c>
      <c r="H298" s="1912">
        <f>'Ordon-Dep'!F43</f>
        <v>0</v>
      </c>
      <c r="I298" s="1912">
        <f>'Ordon-Dep'!G43</f>
        <v>0</v>
      </c>
      <c r="J298" s="1912">
        <f>'Ordon-Dep'!H43</f>
        <v>0</v>
      </c>
      <c r="K298" s="1912">
        <f>'Ordon-Dep'!I43</f>
        <v>0</v>
      </c>
      <c r="L298" s="1912">
        <f>'Ordon-Dep'!J43</f>
        <v>0</v>
      </c>
      <c r="M298" s="1912">
        <f>'Ordon-Dep'!K43</f>
        <v>0</v>
      </c>
      <c r="N298" s="1912">
        <f>'Ordon-Dep'!L43</f>
        <v>0</v>
      </c>
      <c r="O298" s="1912">
        <f>'Ordon-Dep'!M43</f>
        <v>0</v>
      </c>
      <c r="P298" s="1912">
        <f>'Ordon-Dep'!N43</f>
        <v>0</v>
      </c>
      <c r="Q298" s="1912">
        <f>'Ordon-Dep'!O43</f>
        <v>0</v>
      </c>
      <c r="R298" s="1912">
        <f>'Ordon-Dep'!P43</f>
        <v>0</v>
      </c>
      <c r="S298" s="1980">
        <f t="shared" si="89"/>
        <v>0</v>
      </c>
      <c r="T298" s="2169">
        <f>'Ordon-Dep'!R43</f>
        <v>0</v>
      </c>
      <c r="U298" s="2178">
        <f t="shared" si="75"/>
        <v>0</v>
      </c>
      <c r="V298" s="1854"/>
      <c r="W298" s="2003">
        <f t="shared" si="80"/>
        <v>0</v>
      </c>
      <c r="X298" s="1871"/>
      <c r="Y298" s="2008">
        <f t="shared" si="30"/>
        <v>0</v>
      </c>
    </row>
    <row r="299" spans="1:26" s="1855" customFormat="1" ht="26.25">
      <c r="A299" s="1888" t="s">
        <v>522</v>
      </c>
      <c r="B299" s="1929"/>
      <c r="C299" s="1925" t="s">
        <v>523</v>
      </c>
      <c r="D299" s="1910"/>
      <c r="E299" s="1912">
        <v>-2</v>
      </c>
      <c r="F299" s="2072">
        <v>-2</v>
      </c>
      <c r="G299" s="1912">
        <v>0</v>
      </c>
      <c r="H299" s="1912">
        <v>0</v>
      </c>
      <c r="I299" s="1912">
        <v>0</v>
      </c>
      <c r="J299" s="1912">
        <v>0</v>
      </c>
      <c r="K299" s="1912">
        <v>0</v>
      </c>
      <c r="L299" s="1912">
        <v>0</v>
      </c>
      <c r="M299" s="1912">
        <v>0</v>
      </c>
      <c r="N299" s="1912">
        <v>0</v>
      </c>
      <c r="O299" s="1912">
        <v>0</v>
      </c>
      <c r="P299" s="1912">
        <v>0</v>
      </c>
      <c r="Q299" s="1912">
        <v>0</v>
      </c>
      <c r="R299" s="1912">
        <v>0</v>
      </c>
      <c r="S299" s="1980">
        <f t="shared" si="89"/>
        <v>0</v>
      </c>
      <c r="T299" s="2169">
        <v>0</v>
      </c>
      <c r="U299" s="2178">
        <f t="shared" si="75"/>
        <v>0</v>
      </c>
      <c r="V299" s="1854"/>
      <c r="W299" s="2003">
        <f t="shared" si="80"/>
        <v>0</v>
      </c>
      <c r="X299" s="1871"/>
      <c r="Y299" s="2008">
        <f t="shared" si="30"/>
        <v>0</v>
      </c>
    </row>
    <row r="300" spans="1:26" s="1855" customFormat="1" ht="26.25">
      <c r="A300" s="1888" t="s">
        <v>525</v>
      </c>
      <c r="B300" s="1929"/>
      <c r="C300" s="1925" t="s">
        <v>526</v>
      </c>
      <c r="D300" s="1910"/>
      <c r="E300" s="1912"/>
      <c r="F300" s="2072"/>
      <c r="G300" s="1912"/>
      <c r="H300" s="1912"/>
      <c r="I300" s="1912"/>
      <c r="J300" s="1912"/>
      <c r="K300" s="1912"/>
      <c r="L300" s="1984"/>
      <c r="M300" s="1912"/>
      <c r="N300" s="1912"/>
      <c r="O300" s="1912"/>
      <c r="P300" s="1912"/>
      <c r="Q300" s="1912"/>
      <c r="R300" s="1985"/>
      <c r="S300" s="1980">
        <f t="shared" si="89"/>
        <v>0</v>
      </c>
      <c r="T300" s="2169"/>
      <c r="U300" s="2178">
        <f t="shared" si="75"/>
        <v>0</v>
      </c>
      <c r="V300" s="1854"/>
      <c r="W300" s="2003">
        <f t="shared" si="80"/>
        <v>0</v>
      </c>
      <c r="Y300" s="2008">
        <f t="shared" si="30"/>
        <v>0</v>
      </c>
    </row>
    <row r="301" spans="1:26" s="1855" customFormat="1" ht="26.25">
      <c r="A301" s="1888" t="s">
        <v>528</v>
      </c>
      <c r="B301" s="1929"/>
      <c r="C301" s="1925" t="s">
        <v>2869</v>
      </c>
      <c r="D301" s="1931"/>
      <c r="E301" s="1986"/>
      <c r="F301" s="2076"/>
      <c r="G301" s="1986"/>
      <c r="H301" s="1986"/>
      <c r="I301" s="1987"/>
      <c r="J301" s="1986"/>
      <c r="K301" s="1986"/>
      <c r="L301" s="1987"/>
      <c r="M301" s="1986"/>
      <c r="N301" s="1986"/>
      <c r="O301" s="1907"/>
      <c r="P301" s="1986"/>
      <c r="Q301" s="1907"/>
      <c r="R301" s="1907"/>
      <c r="S301" s="1980">
        <f t="shared" si="89"/>
        <v>0</v>
      </c>
      <c r="T301" s="2169"/>
      <c r="U301" s="2178">
        <f t="shared" si="75"/>
        <v>0</v>
      </c>
      <c r="V301" s="1854">
        <f>S301/$V$3*100/1000</f>
        <v>0</v>
      </c>
      <c r="W301" s="2003">
        <f t="shared" si="80"/>
        <v>0</v>
      </c>
      <c r="Y301" s="2008">
        <f t="shared" si="30"/>
        <v>0</v>
      </c>
    </row>
    <row r="302" spans="1:26" s="1855" customFormat="1" ht="26.25">
      <c r="A302" s="1883"/>
      <c r="B302" s="1932"/>
      <c r="C302" s="1925" t="s">
        <v>2758</v>
      </c>
      <c r="D302" s="1910"/>
      <c r="E302" s="1986"/>
      <c r="F302" s="2076"/>
      <c r="G302" s="1986"/>
      <c r="H302" s="1986"/>
      <c r="I302" s="1987"/>
      <c r="J302" s="1987"/>
      <c r="K302" s="1987"/>
      <c r="L302" s="1987"/>
      <c r="M302" s="1986"/>
      <c r="N302" s="1986"/>
      <c r="O302" s="1907">
        <v>0</v>
      </c>
      <c r="P302" s="1986"/>
      <c r="Q302" s="1986"/>
      <c r="R302" s="1988"/>
      <c r="S302" s="1980">
        <f>SUM(G302:R302)</f>
        <v>0</v>
      </c>
      <c r="T302" s="2169"/>
      <c r="U302" s="2178">
        <f t="shared" si="75"/>
        <v>0</v>
      </c>
      <c r="V302" s="1854"/>
      <c r="W302" s="2003">
        <f t="shared" si="80"/>
        <v>0</v>
      </c>
      <c r="Y302" s="2008">
        <f t="shared" si="30"/>
        <v>0</v>
      </c>
    </row>
    <row r="303" spans="1:26" s="1855" customFormat="1" ht="26.25">
      <c r="A303" s="1882" t="s">
        <v>531</v>
      </c>
      <c r="B303" s="1904" t="s">
        <v>530</v>
      </c>
      <c r="C303" s="1935" t="s">
        <v>3225</v>
      </c>
      <c r="D303" s="1906">
        <f t="shared" ref="D303:R303" si="99">SUM(D304:D308)</f>
        <v>0</v>
      </c>
      <c r="E303" s="1907">
        <v>0</v>
      </c>
      <c r="F303" s="2068">
        <v>0</v>
      </c>
      <c r="G303" s="1907">
        <f t="shared" si="99"/>
        <v>0</v>
      </c>
      <c r="H303" s="1907">
        <v>0</v>
      </c>
      <c r="I303" s="1907">
        <f t="shared" si="99"/>
        <v>0</v>
      </c>
      <c r="J303" s="1907">
        <f t="shared" si="99"/>
        <v>0</v>
      </c>
      <c r="K303" s="1907">
        <f t="shared" si="99"/>
        <v>0</v>
      </c>
      <c r="L303" s="1907">
        <f t="shared" si="99"/>
        <v>0</v>
      </c>
      <c r="M303" s="1907">
        <f t="shared" si="99"/>
        <v>0</v>
      </c>
      <c r="N303" s="1907">
        <f t="shared" si="99"/>
        <v>0</v>
      </c>
      <c r="O303" s="1907">
        <f t="shared" si="99"/>
        <v>0</v>
      </c>
      <c r="P303" s="1907">
        <f t="shared" si="99"/>
        <v>0</v>
      </c>
      <c r="Q303" s="1907">
        <f t="shared" si="99"/>
        <v>0</v>
      </c>
      <c r="R303" s="1907">
        <f t="shared" si="99"/>
        <v>0</v>
      </c>
      <c r="S303" s="1980">
        <f t="shared" si="89"/>
        <v>0</v>
      </c>
      <c r="T303" s="2165">
        <f t="shared" ref="T303" si="100">SUM(T304:T308)</f>
        <v>0</v>
      </c>
      <c r="U303" s="2178">
        <f t="shared" si="75"/>
        <v>0</v>
      </c>
      <c r="V303" s="1854"/>
      <c r="W303" s="2003"/>
      <c r="Y303" s="2008">
        <f t="shared" si="30"/>
        <v>0</v>
      </c>
    </row>
    <row r="304" spans="1:26" s="1855" customFormat="1" ht="26.25">
      <c r="A304" s="1888" t="s">
        <v>534</v>
      </c>
      <c r="B304" s="1927"/>
      <c r="C304" s="1928" t="s">
        <v>535</v>
      </c>
      <c r="D304" s="1906"/>
      <c r="E304" s="1907">
        <v>-2</v>
      </c>
      <c r="F304" s="2068">
        <v>-1</v>
      </c>
      <c r="G304" s="1907">
        <v>0</v>
      </c>
      <c r="H304" s="1907">
        <v>0</v>
      </c>
      <c r="I304" s="1989">
        <v>0</v>
      </c>
      <c r="J304" s="1907">
        <v>0</v>
      </c>
      <c r="K304" s="1907">
        <v>0</v>
      </c>
      <c r="L304" s="1907">
        <v>0</v>
      </c>
      <c r="M304" s="1907">
        <v>0</v>
      </c>
      <c r="N304" s="1907">
        <v>0</v>
      </c>
      <c r="O304" s="1907">
        <v>0</v>
      </c>
      <c r="P304" s="1907">
        <v>0</v>
      </c>
      <c r="Q304" s="1907">
        <v>0</v>
      </c>
      <c r="R304" s="1986">
        <v>0</v>
      </c>
      <c r="S304" s="1980">
        <f t="shared" si="89"/>
        <v>0</v>
      </c>
      <c r="T304" s="2165">
        <v>0</v>
      </c>
      <c r="U304" s="2178">
        <f t="shared" si="75"/>
        <v>0</v>
      </c>
      <c r="V304" s="1854"/>
      <c r="W304" s="2003">
        <f t="shared" si="80"/>
        <v>0</v>
      </c>
      <c r="Y304" s="2008">
        <f t="shared" si="30"/>
        <v>0</v>
      </c>
    </row>
    <row r="305" spans="1:25" s="1855" customFormat="1" ht="26.25">
      <c r="A305" s="1888" t="s">
        <v>540</v>
      </c>
      <c r="B305" s="1927"/>
      <c r="C305" s="1928" t="s">
        <v>541</v>
      </c>
      <c r="D305" s="1910"/>
      <c r="E305" s="1907">
        <f>+'Appui-Bud'!E9</f>
        <v>0</v>
      </c>
      <c r="F305" s="2068">
        <f>+'Appui-Bud'!F9</f>
        <v>0</v>
      </c>
      <c r="G305" s="1907">
        <f>+'Appui-Bud'!G9</f>
        <v>0</v>
      </c>
      <c r="H305" s="1907">
        <f>+'Appui-Bud'!H9</f>
        <v>0</v>
      </c>
      <c r="I305" s="1907">
        <f>+'Appui-Bud'!I9</f>
        <v>0</v>
      </c>
      <c r="J305" s="1907">
        <f>+'Appui-Bud'!J9</f>
        <v>0</v>
      </c>
      <c r="K305" s="1907">
        <f>+'Appui-Bud'!K9</f>
        <v>0</v>
      </c>
      <c r="L305" s="1907">
        <f>+'Appui-Bud'!L9</f>
        <v>0</v>
      </c>
      <c r="M305" s="1907">
        <f>+'Appui-Bud'!M9</f>
        <v>0</v>
      </c>
      <c r="N305" s="1907">
        <f>+'Appui-Bud'!N9</f>
        <v>0</v>
      </c>
      <c r="O305" s="1907">
        <f>+'Appui-Bud'!O9</f>
        <v>0</v>
      </c>
      <c r="P305" s="1907">
        <f>+'Appui-Bud'!P9</f>
        <v>0</v>
      </c>
      <c r="Q305" s="1907">
        <f>+'Appui-Bud'!Q9</f>
        <v>0</v>
      </c>
      <c r="R305" s="1907">
        <f>+'Appui-Bud'!R9</f>
        <v>0</v>
      </c>
      <c r="S305" s="1980">
        <f t="shared" si="89"/>
        <v>0</v>
      </c>
      <c r="T305" s="2165">
        <f>+'Appui-Bud'!T9</f>
        <v>0</v>
      </c>
      <c r="U305" s="2178">
        <f t="shared" si="75"/>
        <v>0</v>
      </c>
      <c r="V305" s="1854"/>
      <c r="W305" s="2003">
        <f t="shared" si="80"/>
        <v>0</v>
      </c>
      <c r="Y305" s="2008">
        <f t="shared" si="30"/>
        <v>0</v>
      </c>
    </row>
    <row r="306" spans="1:25" s="1855" customFormat="1" ht="26.25">
      <c r="A306" s="1888" t="s">
        <v>544</v>
      </c>
      <c r="B306" s="1927"/>
      <c r="C306" s="1928" t="s">
        <v>545</v>
      </c>
      <c r="D306" s="1906">
        <v>0</v>
      </c>
      <c r="E306" s="1907">
        <v>0</v>
      </c>
      <c r="F306" s="2068">
        <v>0</v>
      </c>
      <c r="G306" s="1907">
        <v>0</v>
      </c>
      <c r="H306" s="1907">
        <v>0</v>
      </c>
      <c r="I306" s="1907">
        <v>0</v>
      </c>
      <c r="J306" s="1907">
        <v>0</v>
      </c>
      <c r="K306" s="1907">
        <v>0</v>
      </c>
      <c r="L306" s="1907">
        <v>0</v>
      </c>
      <c r="M306" s="1907">
        <v>0</v>
      </c>
      <c r="N306" s="1907">
        <v>0</v>
      </c>
      <c r="O306" s="1907">
        <v>0</v>
      </c>
      <c r="P306" s="1907">
        <v>0</v>
      </c>
      <c r="Q306" s="1907">
        <v>0</v>
      </c>
      <c r="R306" s="1986">
        <v>0</v>
      </c>
      <c r="S306" s="1980">
        <f t="shared" si="89"/>
        <v>0</v>
      </c>
      <c r="T306" s="2165">
        <v>0</v>
      </c>
      <c r="U306" s="2178">
        <f t="shared" si="75"/>
        <v>0</v>
      </c>
      <c r="V306" s="1854"/>
      <c r="W306" s="2003">
        <f t="shared" si="80"/>
        <v>0</v>
      </c>
      <c r="Y306" s="2008">
        <f t="shared" si="30"/>
        <v>0</v>
      </c>
    </row>
    <row r="307" spans="1:25" s="1855" customFormat="1" ht="26.25">
      <c r="A307" s="1888" t="s">
        <v>547</v>
      </c>
      <c r="B307" s="1927"/>
      <c r="C307" s="1928" t="s">
        <v>548</v>
      </c>
      <c r="D307" s="1906">
        <v>0</v>
      </c>
      <c r="E307" s="1907">
        <v>0</v>
      </c>
      <c r="F307" s="2068">
        <v>0</v>
      </c>
      <c r="G307" s="1907">
        <v>0</v>
      </c>
      <c r="H307" s="1907">
        <v>0</v>
      </c>
      <c r="I307" s="1907">
        <v>0</v>
      </c>
      <c r="J307" s="1907">
        <v>0</v>
      </c>
      <c r="K307" s="1907">
        <v>0</v>
      </c>
      <c r="L307" s="1907">
        <v>0</v>
      </c>
      <c r="M307" s="1907">
        <v>0</v>
      </c>
      <c r="N307" s="1907">
        <v>0</v>
      </c>
      <c r="O307" s="1907">
        <v>0</v>
      </c>
      <c r="P307" s="1907">
        <v>0</v>
      </c>
      <c r="Q307" s="1907">
        <v>0</v>
      </c>
      <c r="R307" s="1986">
        <v>0</v>
      </c>
      <c r="S307" s="1980">
        <f t="shared" si="89"/>
        <v>0</v>
      </c>
      <c r="T307" s="2165">
        <v>0</v>
      </c>
      <c r="U307" s="2178">
        <f t="shared" si="75"/>
        <v>0</v>
      </c>
      <c r="V307" s="1854"/>
      <c r="W307" s="2003">
        <f t="shared" si="80"/>
        <v>0</v>
      </c>
      <c r="Y307" s="2008">
        <f t="shared" si="30"/>
        <v>0</v>
      </c>
    </row>
    <row r="308" spans="1:25" s="1855" customFormat="1" ht="26.25">
      <c r="A308" s="1888" t="s">
        <v>550</v>
      </c>
      <c r="B308" s="1927"/>
      <c r="C308" s="1928" t="s">
        <v>551</v>
      </c>
      <c r="D308" s="1906">
        <v>0</v>
      </c>
      <c r="E308" s="1907">
        <v>0</v>
      </c>
      <c r="F308" s="2068">
        <v>0</v>
      </c>
      <c r="G308" s="1907">
        <v>0</v>
      </c>
      <c r="H308" s="1907">
        <v>0</v>
      </c>
      <c r="I308" s="1907">
        <v>0</v>
      </c>
      <c r="J308" s="1907">
        <v>0</v>
      </c>
      <c r="K308" s="1907">
        <v>0</v>
      </c>
      <c r="L308" s="1907">
        <v>0</v>
      </c>
      <c r="M308" s="1907">
        <v>0</v>
      </c>
      <c r="N308" s="1907">
        <v>0</v>
      </c>
      <c r="O308" s="1907">
        <v>0</v>
      </c>
      <c r="P308" s="1907">
        <v>0</v>
      </c>
      <c r="Q308" s="1907">
        <v>0</v>
      </c>
      <c r="R308" s="1986">
        <v>0</v>
      </c>
      <c r="S308" s="1980">
        <f t="shared" si="89"/>
        <v>0</v>
      </c>
      <c r="T308" s="2165">
        <v>0</v>
      </c>
      <c r="U308" s="2178">
        <f t="shared" si="75"/>
        <v>0</v>
      </c>
      <c r="V308" s="1854"/>
      <c r="W308" s="2003">
        <f t="shared" si="80"/>
        <v>0</v>
      </c>
      <c r="Y308" s="2008">
        <f t="shared" si="30"/>
        <v>0</v>
      </c>
    </row>
    <row r="309" spans="1:25" s="1855" customFormat="1" ht="26.25">
      <c r="A309" s="1888" t="s">
        <v>676</v>
      </c>
      <c r="B309" s="1964">
        <v>3</v>
      </c>
      <c r="C309" s="1965" t="s">
        <v>3214</v>
      </c>
      <c r="D309" s="1966" t="e">
        <f t="shared" ref="D309:R309" si="101">D6-D281</f>
        <v>#REF!</v>
      </c>
      <c r="E309" s="1990">
        <f t="shared" si="101"/>
        <v>-32754585.945434049</v>
      </c>
      <c r="F309" s="2068">
        <f t="shared" si="101"/>
        <v>76237201.719999999</v>
      </c>
      <c r="G309" s="1990">
        <f t="shared" si="101"/>
        <v>-1478176.422019681</v>
      </c>
      <c r="H309" s="1990">
        <f t="shared" si="101"/>
        <v>-4689276.2553126486</v>
      </c>
      <c r="I309" s="1990">
        <f t="shared" si="101"/>
        <v>-9035517.7029564939</v>
      </c>
      <c r="J309" s="1990">
        <f t="shared" si="101"/>
        <v>-5356066.7281238846</v>
      </c>
      <c r="K309" s="1990">
        <f t="shared" si="101"/>
        <v>2334728.4918350009</v>
      </c>
      <c r="L309" s="1990">
        <f t="shared" si="101"/>
        <v>487367.24235557765</v>
      </c>
      <c r="M309" s="1990">
        <f t="shared" si="101"/>
        <v>2453433.962952001</v>
      </c>
      <c r="N309" s="1990">
        <f t="shared" si="101"/>
        <v>-3934555.1249599988</v>
      </c>
      <c r="O309" s="1990">
        <f t="shared" si="101"/>
        <v>-12838679.6690851</v>
      </c>
      <c r="P309" s="1990">
        <f t="shared" si="101"/>
        <v>2927549.6463849992</v>
      </c>
      <c r="Q309" s="1990">
        <f t="shared" si="101"/>
        <v>-3587362.5515251989</v>
      </c>
      <c r="R309" s="1991">
        <f t="shared" si="101"/>
        <v>-3104863.072951939</v>
      </c>
      <c r="S309" s="1980">
        <f t="shared" si="89"/>
        <v>-35821418.183407366</v>
      </c>
      <c r="T309" s="2165">
        <f>T6-T281</f>
        <v>84762085.152749985</v>
      </c>
      <c r="U309" s="2178">
        <f t="shared" si="75"/>
        <v>-120583503.33615735</v>
      </c>
      <c r="V309" s="1874">
        <f>S309/$V$3*100/1000</f>
        <v>-4.431095382715128</v>
      </c>
      <c r="W309" s="2003">
        <f t="shared" si="80"/>
        <v>-4.305976461522703</v>
      </c>
      <c r="Y309" s="2008">
        <f t="shared" si="30"/>
        <v>-35821.418183407368</v>
      </c>
    </row>
    <row r="310" spans="1:25" s="1875" customFormat="1" ht="26.25">
      <c r="A310" s="1892" t="s">
        <v>678</v>
      </c>
      <c r="B310" s="1918"/>
      <c r="C310" s="1909" t="s">
        <v>556</v>
      </c>
      <c r="D310" s="1936" t="e">
        <f>D309-D91-#REF!</f>
        <v>#REF!</v>
      </c>
      <c r="E310" s="1989">
        <f t="shared" ref="E310:F310" si="102">+E309-E99-E147-E178-E230</f>
        <v>-32754585.945434049</v>
      </c>
      <c r="F310" s="1989">
        <f t="shared" si="102"/>
        <v>58574809.745999992</v>
      </c>
      <c r="G310" s="1989">
        <f>+G309-G99-G147-G178-G230</f>
        <v>-2056952.0930196811</v>
      </c>
      <c r="H310" s="1989">
        <f t="shared" ref="H310:R310" si="103">+H309-H99-H147-H178-H230</f>
        <v>-4988049.1963126482</v>
      </c>
      <c r="I310" s="1989">
        <f t="shared" si="103"/>
        <v>-9135844.3759564944</v>
      </c>
      <c r="J310" s="1989">
        <f t="shared" si="103"/>
        <v>-5605853.5981238848</v>
      </c>
      <c r="K310" s="1989">
        <f t="shared" si="103"/>
        <v>2111500.2038350007</v>
      </c>
      <c r="L310" s="1989">
        <f t="shared" si="103"/>
        <v>-257004.27764442237</v>
      </c>
      <c r="M310" s="1989">
        <f t="shared" si="103"/>
        <v>1580031.2699520011</v>
      </c>
      <c r="N310" s="1989">
        <f t="shared" si="103"/>
        <v>-4306688.2679599989</v>
      </c>
      <c r="O310" s="1989">
        <f t="shared" si="103"/>
        <v>-13165031.831085101</v>
      </c>
      <c r="P310" s="1989">
        <f t="shared" si="103"/>
        <v>-4787906.4846150009</v>
      </c>
      <c r="Q310" s="1989">
        <f t="shared" si="103"/>
        <v>-5527062.9255251987</v>
      </c>
      <c r="R310" s="1989">
        <f t="shared" si="103"/>
        <v>-5083562.4459519386</v>
      </c>
      <c r="S310" s="1980">
        <f>SUM(G310:R310)</f>
        <v>-51222424.02240736</v>
      </c>
      <c r="T310" s="2165">
        <f>+T309-T99-T147-T178-T230</f>
        <v>78892538.063749984</v>
      </c>
      <c r="U310" s="2178">
        <f t="shared" si="75"/>
        <v>-130114962.08615735</v>
      </c>
      <c r="V310" s="1874">
        <f>S310/$V$3*100/1000</f>
        <v>-6.3361937658375531</v>
      </c>
      <c r="W310" s="2003">
        <f t="shared" si="80"/>
        <v>-6.1572814067084218</v>
      </c>
      <c r="Y310" s="2008">
        <f t="shared" si="30"/>
        <v>-51222.424022407358</v>
      </c>
    </row>
    <row r="311" spans="1:25" s="1855" customFormat="1" ht="26.25">
      <c r="A311" s="1893" t="s">
        <v>679</v>
      </c>
      <c r="B311" s="1918"/>
      <c r="C311" s="1909" t="s">
        <v>679</v>
      </c>
      <c r="D311" s="1911" t="e">
        <f t="shared" ref="D311:R311" si="104">D6-D273-D281</f>
        <v>#REF!</v>
      </c>
      <c r="E311" s="1984">
        <f t="shared" si="104"/>
        <v>-63056300.735290051</v>
      </c>
      <c r="F311" s="2072">
        <f t="shared" si="104"/>
        <v>28045693.393999994</v>
      </c>
      <c r="G311" s="1984">
        <f t="shared" si="104"/>
        <v>-1478176.422019681</v>
      </c>
      <c r="H311" s="1984">
        <f t="shared" si="104"/>
        <v>-6398262.8913126485</v>
      </c>
      <c r="I311" s="1984">
        <f t="shared" si="104"/>
        <v>-15387185.337956494</v>
      </c>
      <c r="J311" s="1984">
        <f t="shared" si="104"/>
        <v>-5356066.7281238846</v>
      </c>
      <c r="K311" s="1984">
        <f t="shared" si="104"/>
        <v>2334728.4918350009</v>
      </c>
      <c r="L311" s="1984">
        <f t="shared" si="104"/>
        <v>-5629615.4766444229</v>
      </c>
      <c r="M311" s="1984">
        <f t="shared" si="104"/>
        <v>2453433.962952001</v>
      </c>
      <c r="N311" s="1984">
        <f t="shared" si="104"/>
        <v>-3934555.1249599988</v>
      </c>
      <c r="O311" s="1984">
        <f t="shared" si="104"/>
        <v>-18671294.049085099</v>
      </c>
      <c r="P311" s="1984">
        <f t="shared" si="104"/>
        <v>2927549.6463849992</v>
      </c>
      <c r="Q311" s="1984">
        <f t="shared" si="104"/>
        <v>-3752362.5515251989</v>
      </c>
      <c r="R311" s="1984">
        <f t="shared" si="104"/>
        <v>-7294188.5929519385</v>
      </c>
      <c r="S311" s="1980">
        <f t="shared" si="89"/>
        <v>-60185995.073407359</v>
      </c>
      <c r="T311" s="2169">
        <f>T6-T273-T281</f>
        <v>82888098.516749978</v>
      </c>
      <c r="U311" s="2178">
        <f t="shared" si="75"/>
        <v>-143074093.59015733</v>
      </c>
      <c r="V311" s="1854">
        <f>S311/$V$3*100/1000</f>
        <v>-7.4449839899812416</v>
      </c>
      <c r="W311" s="2003">
        <f t="shared" si="80"/>
        <v>-7.2347632015154897</v>
      </c>
      <c r="Y311" s="2008">
        <f t="shared" ref="Y311:Y375" si="105">S311/1000</f>
        <v>-60185.995073407357</v>
      </c>
    </row>
    <row r="312" spans="1:25" s="1855" customFormat="1" ht="26.25">
      <c r="A312" s="1893"/>
      <c r="B312" s="1918" t="s">
        <v>2536</v>
      </c>
      <c r="C312" s="1909" t="s">
        <v>3215</v>
      </c>
      <c r="D312" s="1911"/>
      <c r="E312" s="1984"/>
      <c r="F312" s="2072"/>
      <c r="G312" s="1984"/>
      <c r="H312" s="1984"/>
      <c r="I312" s="1984"/>
      <c r="J312" s="1984"/>
      <c r="K312" s="1984"/>
      <c r="L312" s="1984"/>
      <c r="M312" s="1984"/>
      <c r="N312" s="1984"/>
      <c r="O312" s="1984"/>
      <c r="P312" s="1984"/>
      <c r="Q312" s="1984"/>
      <c r="R312" s="1984"/>
      <c r="S312" s="1980">
        <f t="shared" si="89"/>
        <v>0</v>
      </c>
      <c r="T312" s="2169"/>
      <c r="U312" s="2178">
        <f t="shared" si="75"/>
        <v>0</v>
      </c>
      <c r="V312" s="1854"/>
      <c r="W312" s="2003"/>
      <c r="Y312" s="2008">
        <f t="shared" si="105"/>
        <v>0</v>
      </c>
    </row>
    <row r="313" spans="1:25" s="1855" customFormat="1" ht="26.25">
      <c r="A313" s="1893" t="s">
        <v>680</v>
      </c>
      <c r="B313" s="1918" t="s">
        <v>2563</v>
      </c>
      <c r="C313" s="1909" t="s">
        <v>3216</v>
      </c>
      <c r="D313" s="1911" t="e">
        <f>D6-D273-D283+D289</f>
        <v>#REF!</v>
      </c>
      <c r="E313" s="1984">
        <f t="shared" ref="E313:S313" si="106">E7-E283+E289</f>
        <v>-2276087.696999995</v>
      </c>
      <c r="F313" s="2072">
        <f t="shared" si="106"/>
        <v>111644071.33100003</v>
      </c>
      <c r="G313" s="1984">
        <f t="shared" si="106"/>
        <v>-1205924.340000001</v>
      </c>
      <c r="H313" s="1984">
        <f t="shared" si="106"/>
        <v>-5303482.8999999985</v>
      </c>
      <c r="I313" s="1984">
        <f t="shared" si="106"/>
        <v>-5279043.4920000033</v>
      </c>
      <c r="J313" s="1984">
        <f t="shared" si="106"/>
        <v>-2955347.7837499999</v>
      </c>
      <c r="K313" s="1984">
        <f t="shared" si="106"/>
        <v>2387101.392500001</v>
      </c>
      <c r="L313" s="1984">
        <f t="shared" si="106"/>
        <v>3869637.1549999993</v>
      </c>
      <c r="M313" s="1984">
        <f t="shared" si="106"/>
        <v>3396273.5370000009</v>
      </c>
      <c r="N313" s="1984">
        <f t="shared" si="106"/>
        <v>-3067015.2359599988</v>
      </c>
      <c r="O313" s="1984">
        <f t="shared" si="106"/>
        <v>-3421637.0319999997</v>
      </c>
      <c r="P313" s="1984">
        <f t="shared" si="106"/>
        <v>4140263.1829999993</v>
      </c>
      <c r="Q313" s="1984">
        <f t="shared" si="106"/>
        <v>-3450082.3979999991</v>
      </c>
      <c r="R313" s="1984">
        <f t="shared" si="106"/>
        <v>-2601433.2839999986</v>
      </c>
      <c r="S313" s="1980">
        <f t="shared" si="106"/>
        <v>-13490691.198209997</v>
      </c>
      <c r="T313" s="2169">
        <f>T7-T283+T289</f>
        <v>82888098.516750008</v>
      </c>
      <c r="U313" s="2178">
        <f t="shared" si="75"/>
        <v>-96378789.714960009</v>
      </c>
      <c r="V313" s="1854">
        <f>S313/$V$3*100/1000</f>
        <v>-1.6687932111440973</v>
      </c>
      <c r="W313" s="2003">
        <f t="shared" si="80"/>
        <v>-1.621672220003606</v>
      </c>
      <c r="Y313" s="2008">
        <f t="shared" si="105"/>
        <v>-13490.691198209997</v>
      </c>
    </row>
    <row r="314" spans="1:25" s="1855" customFormat="1" ht="26.25">
      <c r="A314" s="1893" t="s">
        <v>681</v>
      </c>
      <c r="B314" s="1918" t="s">
        <v>2588</v>
      </c>
      <c r="C314" s="1909" t="s">
        <v>3217</v>
      </c>
      <c r="D314" s="1910" t="e">
        <f>D7-D282+D297</f>
        <v>#REF!</v>
      </c>
      <c r="E314" s="1912">
        <f t="shared" ref="E314:R314" si="107">E7-E283+E297</f>
        <v>-5064338.9364340603</v>
      </c>
      <c r="F314" s="2072">
        <f t="shared" si="107"/>
        <v>106009287.33100003</v>
      </c>
      <c r="G314" s="1912">
        <f t="shared" si="107"/>
        <v>-1418176.422019681</v>
      </c>
      <c r="H314" s="1912">
        <f t="shared" si="107"/>
        <v>-4869780.8913126485</v>
      </c>
      <c r="I314" s="1912">
        <f t="shared" si="107"/>
        <v>-5486356.6619564928</v>
      </c>
      <c r="J314" s="1912">
        <f t="shared" si="107"/>
        <v>-5272814.7281238846</v>
      </c>
      <c r="K314" s="1912">
        <f t="shared" si="107"/>
        <v>2334728.4918350009</v>
      </c>
      <c r="L314" s="1912">
        <f t="shared" si="107"/>
        <v>3107903.7509155795</v>
      </c>
      <c r="M314" s="1912">
        <f t="shared" si="107"/>
        <v>2453433.962952001</v>
      </c>
      <c r="N314" s="1912">
        <f t="shared" si="107"/>
        <v>-3300623.1249599988</v>
      </c>
      <c r="O314" s="1912">
        <f t="shared" si="107"/>
        <v>-3433154.3540850999</v>
      </c>
      <c r="P314" s="1912">
        <f t="shared" si="107"/>
        <v>3185549.6463849992</v>
      </c>
      <c r="Q314" s="1912">
        <f t="shared" si="107"/>
        <v>-3752362.5515251989</v>
      </c>
      <c r="R314" s="1912">
        <f t="shared" si="107"/>
        <v>-3064697.3729519388</v>
      </c>
      <c r="S314" s="1980">
        <f>S313-S297</f>
        <v>-15283899.198209997</v>
      </c>
      <c r="T314" s="2174">
        <f>T7-T283+T297</f>
        <v>82888098.516750008</v>
      </c>
      <c r="U314" s="2178">
        <f t="shared" si="75"/>
        <v>-98171997.714960009</v>
      </c>
      <c r="V314" s="1854">
        <f>V7-V283+V297</f>
        <v>-2.4141648736219703</v>
      </c>
      <c r="W314" s="2003">
        <f t="shared" si="80"/>
        <v>-1.8372279358348356</v>
      </c>
      <c r="Y314" s="2008">
        <f t="shared" si="105"/>
        <v>-15283.899198209998</v>
      </c>
    </row>
    <row r="315" spans="1:25" s="1855" customFormat="1" ht="26.25">
      <c r="A315" s="1893"/>
      <c r="B315" s="1918"/>
      <c r="C315" s="1909" t="s">
        <v>2213</v>
      </c>
      <c r="D315" s="1934" t="e">
        <f t="shared" ref="D315:S315" si="108">D7-D283-D297+D279</f>
        <v>#REF!</v>
      </c>
      <c r="E315" s="1988">
        <f t="shared" si="108"/>
        <v>-9241656.9364340603</v>
      </c>
      <c r="F315" s="2069">
        <f t="shared" si="108"/>
        <v>99718287.33100003</v>
      </c>
      <c r="G315" s="1988">
        <f t="shared" si="108"/>
        <v>-1478176.422019681</v>
      </c>
      <c r="H315" s="1988">
        <f t="shared" si="108"/>
        <v>-4689276.2553126486</v>
      </c>
      <c r="I315" s="1988">
        <f t="shared" si="108"/>
        <v>-5486356.6619564928</v>
      </c>
      <c r="J315" s="1988">
        <f t="shared" si="108"/>
        <v>-5356066.7281238846</v>
      </c>
      <c r="K315" s="1988">
        <f t="shared" si="108"/>
        <v>2334728.4918350009</v>
      </c>
      <c r="L315" s="1988">
        <f t="shared" si="108"/>
        <v>3107903.7509155795</v>
      </c>
      <c r="M315" s="1988">
        <f t="shared" si="108"/>
        <v>2453433.962952001</v>
      </c>
      <c r="N315" s="1988">
        <f t="shared" si="108"/>
        <v>-3934555.1249599988</v>
      </c>
      <c r="O315" s="1988">
        <f t="shared" si="108"/>
        <v>-4415904.3540850999</v>
      </c>
      <c r="P315" s="1988">
        <f t="shared" si="108"/>
        <v>2927549.6463849992</v>
      </c>
      <c r="Q315" s="1988">
        <f t="shared" si="108"/>
        <v>-3587362.5515251989</v>
      </c>
      <c r="R315" s="1988">
        <f t="shared" si="108"/>
        <v>-3104697.3729519388</v>
      </c>
      <c r="S315" s="1993">
        <f t="shared" si="108"/>
        <v>-21228779.618847363</v>
      </c>
      <c r="T315" s="2169">
        <f>T7-T283-T297+T279</f>
        <v>84762085.152750015</v>
      </c>
      <c r="U315" s="2178">
        <f t="shared" si="75"/>
        <v>-105990864.77159739</v>
      </c>
      <c r="V315" s="1854"/>
      <c r="W315" s="2003">
        <f t="shared" si="80"/>
        <v>-2.5518427237465278</v>
      </c>
      <c r="Y315" s="2008">
        <f t="shared" si="105"/>
        <v>-21228.779618847362</v>
      </c>
    </row>
    <row r="316" spans="1:25" s="1855" customFormat="1" ht="26.25">
      <c r="A316" s="1893"/>
      <c r="B316" s="1918"/>
      <c r="C316" s="1909"/>
      <c r="D316" s="1910"/>
      <c r="E316" s="1912"/>
      <c r="F316" s="2072"/>
      <c r="G316" s="1912"/>
      <c r="H316" s="1912"/>
      <c r="I316" s="1912"/>
      <c r="J316" s="1912"/>
      <c r="K316" s="1912"/>
      <c r="L316" s="1912"/>
      <c r="M316" s="1912"/>
      <c r="N316" s="1912"/>
      <c r="O316" s="1912"/>
      <c r="P316" s="1912"/>
      <c r="Q316" s="1912"/>
      <c r="R316" s="1912"/>
      <c r="S316" s="1980">
        <f t="shared" ref="S316:S338" si="109">SUM(G316:R316)</f>
        <v>0</v>
      </c>
      <c r="T316" s="2169"/>
      <c r="U316" s="2178">
        <f t="shared" si="75"/>
        <v>0</v>
      </c>
      <c r="V316" s="1854"/>
      <c r="W316" s="2003">
        <f t="shared" si="80"/>
        <v>0</v>
      </c>
      <c r="Y316" s="2008">
        <f t="shared" si="105"/>
        <v>0</v>
      </c>
    </row>
    <row r="317" spans="1:25" s="1855" customFormat="1" ht="26.25">
      <c r="A317" s="1882" t="s">
        <v>182</v>
      </c>
      <c r="B317" s="1964">
        <v>4</v>
      </c>
      <c r="C317" s="1965" t="s">
        <v>3218</v>
      </c>
      <c r="D317" s="1966">
        <f>D318+D320</f>
        <v>0</v>
      </c>
      <c r="E317" s="1990">
        <f>+E318+E336</f>
        <v>595752.23499999847</v>
      </c>
      <c r="F317" s="2068">
        <f t="shared" ref="F317:K317" si="110">+F318+F335</f>
        <v>0</v>
      </c>
      <c r="G317" s="1990">
        <f t="shared" si="110"/>
        <v>-1325104.6641299999</v>
      </c>
      <c r="H317" s="1990">
        <f t="shared" si="110"/>
        <v>-528179.19999999995</v>
      </c>
      <c r="I317" s="1990">
        <f t="shared" si="110"/>
        <v>-795302.07799999998</v>
      </c>
      <c r="J317" s="1990">
        <f t="shared" si="110"/>
        <v>-175124</v>
      </c>
      <c r="K317" s="1990">
        <f t="shared" si="110"/>
        <v>-15207.615</v>
      </c>
      <c r="L317" s="1990">
        <f t="shared" ref="L317:S317" si="111">L318+L335</f>
        <v>106440.61356</v>
      </c>
      <c r="M317" s="1990">
        <f t="shared" si="111"/>
        <v>-222121.48095200001</v>
      </c>
      <c r="N317" s="1990">
        <f t="shared" si="111"/>
        <v>-11660.5</v>
      </c>
      <c r="O317" s="1990">
        <f>O318+O335</f>
        <v>-27317.892000000007</v>
      </c>
      <c r="P317" s="1990">
        <f t="shared" si="111"/>
        <v>430301.21499999997</v>
      </c>
      <c r="Q317" s="1990">
        <f t="shared" si="111"/>
        <v>-84743.602948</v>
      </c>
      <c r="R317" s="1991">
        <f>R318+R335</f>
        <v>12186421.632951751</v>
      </c>
      <c r="S317" s="1992">
        <f t="shared" si="111"/>
        <v>9538402.4284817502</v>
      </c>
      <c r="T317" s="2165">
        <f t="shared" ref="T317" si="112">+T318+T335</f>
        <v>-505271.63233499997</v>
      </c>
      <c r="U317" s="2178">
        <f t="shared" si="75"/>
        <v>10043674.06081675</v>
      </c>
      <c r="V317" s="1854">
        <f>S317/$V$3*100/1000</f>
        <v>1.1798966401308435</v>
      </c>
      <c r="W317" s="2003">
        <f t="shared" si="80"/>
        <v>1.1465804097225327</v>
      </c>
      <c r="Y317" s="2008">
        <f t="shared" si="105"/>
        <v>9538.4024284817497</v>
      </c>
    </row>
    <row r="318" spans="1:25" s="1855" customFormat="1" ht="26.25">
      <c r="A318" s="1888" t="s">
        <v>560</v>
      </c>
      <c r="B318" s="1918" t="s">
        <v>559</v>
      </c>
      <c r="C318" s="1909" t="s">
        <v>3220</v>
      </c>
      <c r="D318" s="1910"/>
      <c r="E318" s="1912">
        <f>+[28]Tofe!$Q$73</f>
        <v>-2055249.7390000001</v>
      </c>
      <c r="F318" s="2072">
        <f>F319+F333</f>
        <v>0</v>
      </c>
      <c r="G318" s="1912">
        <f>G319+G333</f>
        <v>-1325104.6641299999</v>
      </c>
      <c r="H318" s="1912">
        <f t="shared" ref="H318:M318" si="113">+H319+H333</f>
        <v>-528179.19999999995</v>
      </c>
      <c r="I318" s="1912">
        <f t="shared" si="113"/>
        <v>-795302.07799999998</v>
      </c>
      <c r="J318" s="1912">
        <f t="shared" si="113"/>
        <v>-175124</v>
      </c>
      <c r="K318" s="1912">
        <f t="shared" si="113"/>
        <v>-15207.615</v>
      </c>
      <c r="L318" s="1912">
        <f t="shared" si="113"/>
        <v>106440.61356</v>
      </c>
      <c r="M318" s="1912">
        <f t="shared" si="113"/>
        <v>-222121.48095200001</v>
      </c>
      <c r="N318" s="1912">
        <f>N319+N333</f>
        <v>-11660.5</v>
      </c>
      <c r="O318" s="1912">
        <f>O319+O333</f>
        <v>-27317.892000000007</v>
      </c>
      <c r="P318" s="1912">
        <f>+P319+P333</f>
        <v>430301.21499999997</v>
      </c>
      <c r="Q318" s="1912">
        <f>+Q319+Q333</f>
        <v>-84743.602948</v>
      </c>
      <c r="R318" s="1912">
        <f>R319+R333</f>
        <v>249243.61695174998</v>
      </c>
      <c r="S318" s="1981">
        <f>S319+S333</f>
        <v>-2398775.5875182506</v>
      </c>
      <c r="T318" s="2169">
        <f>T319+T333</f>
        <v>-505271.63233499997</v>
      </c>
      <c r="U318" s="2178">
        <f t="shared" si="75"/>
        <v>-1893503.9551832506</v>
      </c>
      <c r="V318" s="1854">
        <f>S318/$V$3*100/1000</f>
        <v>-0.29672759954951705</v>
      </c>
      <c r="W318" s="2003">
        <f t="shared" si="80"/>
        <v>-0.28834903083522667</v>
      </c>
      <c r="Y318" s="2008">
        <f t="shared" si="105"/>
        <v>-2398.7755875182506</v>
      </c>
    </row>
    <row r="319" spans="1:25" s="1855" customFormat="1" ht="26.25">
      <c r="A319" s="1888" t="s">
        <v>683</v>
      </c>
      <c r="B319" s="1918"/>
      <c r="C319" s="1909" t="s">
        <v>684</v>
      </c>
      <c r="D319" s="1910">
        <v>0</v>
      </c>
      <c r="E319" s="1912" t="e">
        <f>E322+E323</f>
        <v>#VALUE!</v>
      </c>
      <c r="F319" s="2072">
        <f>F322+F323</f>
        <v>0</v>
      </c>
      <c r="G319" s="1912">
        <f>G322+G323</f>
        <v>-1313866.4569999999</v>
      </c>
      <c r="H319" s="1912">
        <f t="shared" ref="H319:R319" si="114">H322+H323</f>
        <v>-528179.19999999995</v>
      </c>
      <c r="I319" s="1912">
        <f t="shared" si="114"/>
        <v>-795302.07799999998</v>
      </c>
      <c r="J319" s="1912">
        <f t="shared" si="114"/>
        <v>-175124</v>
      </c>
      <c r="K319" s="1912">
        <f t="shared" si="114"/>
        <v>-15207.615</v>
      </c>
      <c r="L319" s="1912">
        <f t="shared" si="114"/>
        <v>-174165.541</v>
      </c>
      <c r="M319" s="1912">
        <f t="shared" si="114"/>
        <v>-400180.66600000003</v>
      </c>
      <c r="N319" s="1912">
        <f t="shared" si="114"/>
        <v>-11660.5</v>
      </c>
      <c r="O319" s="1912">
        <f t="shared" si="114"/>
        <v>-62337.308000000005</v>
      </c>
      <c r="P319" s="1912">
        <f>P322+P323</f>
        <v>-207931.71600000001</v>
      </c>
      <c r="Q319" s="1912">
        <f>Q322+Q323</f>
        <v>-111374.527</v>
      </c>
      <c r="R319" s="1912">
        <f t="shared" si="114"/>
        <v>-71585.241000000009</v>
      </c>
      <c r="S319" s="1980">
        <f t="shared" si="109"/>
        <v>-3866914.8490000009</v>
      </c>
      <c r="T319" s="2169">
        <f>T322+T323</f>
        <v>-528179.19999999995</v>
      </c>
      <c r="U319" s="2178">
        <f t="shared" si="75"/>
        <v>-3338735.6490000011</v>
      </c>
      <c r="V319" s="1854">
        <f>S319/$V$3*100/1000</f>
        <v>-0.478335850496654</v>
      </c>
      <c r="W319" s="2003">
        <f t="shared" si="80"/>
        <v>-0.46482928825580005</v>
      </c>
      <c r="Y319" s="2008">
        <f t="shared" si="105"/>
        <v>-3866.9148490000007</v>
      </c>
    </row>
    <row r="320" spans="1:25" s="1855" customFormat="1" ht="26.25">
      <c r="A320" s="1884" t="s">
        <v>566</v>
      </c>
      <c r="B320" s="1918"/>
      <c r="C320" s="1909" t="s">
        <v>567</v>
      </c>
      <c r="D320" s="1910">
        <v>0</v>
      </c>
      <c r="E320" s="1912"/>
      <c r="F320" s="2072"/>
      <c r="G320" s="1912"/>
      <c r="H320" s="1912"/>
      <c r="I320" s="1912"/>
      <c r="J320" s="1912"/>
      <c r="K320" s="1912"/>
      <c r="L320" s="1912"/>
      <c r="M320" s="1912"/>
      <c r="N320" s="1912"/>
      <c r="O320" s="1912"/>
      <c r="P320" s="1912"/>
      <c r="Q320" s="1912"/>
      <c r="R320" s="1912"/>
      <c r="S320" s="1980">
        <f t="shared" si="109"/>
        <v>0</v>
      </c>
      <c r="T320" s="2169"/>
      <c r="U320" s="2178">
        <f t="shared" si="75"/>
        <v>0</v>
      </c>
      <c r="V320" s="1854"/>
      <c r="W320" s="2003">
        <f t="shared" si="80"/>
        <v>0</v>
      </c>
      <c r="Y320" s="2008">
        <f t="shared" si="105"/>
        <v>0</v>
      </c>
    </row>
    <row r="321" spans="1:246" s="1855" customFormat="1" ht="26.25">
      <c r="A321" s="1884" t="s">
        <v>579</v>
      </c>
      <c r="B321" s="1918"/>
      <c r="C321" s="1909" t="s">
        <v>537</v>
      </c>
      <c r="D321" s="1910"/>
      <c r="E321" s="1912"/>
      <c r="F321" s="2072"/>
      <c r="G321" s="1912"/>
      <c r="H321" s="1912"/>
      <c r="I321" s="1912"/>
      <c r="J321" s="1912"/>
      <c r="K321" s="1912"/>
      <c r="L321" s="1912"/>
      <c r="M321" s="1912"/>
      <c r="N321" s="1912"/>
      <c r="O321" s="1912"/>
      <c r="P321" s="1912"/>
      <c r="Q321" s="1912"/>
      <c r="R321" s="1912"/>
      <c r="S321" s="1980">
        <f t="shared" si="109"/>
        <v>0</v>
      </c>
      <c r="T321" s="2169"/>
      <c r="U321" s="2178">
        <f t="shared" si="75"/>
        <v>0</v>
      </c>
      <c r="V321" s="1856">
        <f>SUM(L321:N321)</f>
        <v>0</v>
      </c>
      <c r="W321" s="2003">
        <f t="shared" si="80"/>
        <v>0</v>
      </c>
      <c r="X321" s="1877"/>
      <c r="Y321" s="2008">
        <f t="shared" si="105"/>
        <v>0</v>
      </c>
      <c r="Z321" s="1877"/>
      <c r="AA321" s="1877"/>
      <c r="AB321" s="1877"/>
      <c r="AC321" s="1877"/>
      <c r="AD321" s="1877"/>
      <c r="AE321" s="1877"/>
      <c r="AF321" s="1877"/>
      <c r="AG321" s="1877"/>
      <c r="AH321" s="1877"/>
      <c r="AI321" s="1877"/>
      <c r="AJ321" s="1877"/>
      <c r="AK321" s="1877"/>
      <c r="AL321" s="1877"/>
      <c r="AM321" s="1877"/>
      <c r="AN321" s="1877"/>
      <c r="AO321" s="1877"/>
      <c r="AP321" s="1877"/>
      <c r="AQ321" s="1877"/>
      <c r="AR321" s="1877"/>
      <c r="AS321" s="1877"/>
      <c r="AT321" s="1877"/>
      <c r="AU321" s="1877"/>
      <c r="AV321" s="1877"/>
      <c r="AW321" s="1877"/>
      <c r="AX321" s="1877"/>
      <c r="AY321" s="1877"/>
      <c r="AZ321" s="1877"/>
      <c r="BA321" s="1877"/>
      <c r="BB321" s="1877"/>
      <c r="BC321" s="1877"/>
      <c r="BD321" s="1877"/>
      <c r="BE321" s="1877"/>
      <c r="BF321" s="1877"/>
      <c r="BG321" s="1877"/>
      <c r="BH321" s="1877"/>
      <c r="BI321" s="1877"/>
      <c r="BJ321" s="1877"/>
      <c r="BK321" s="1877"/>
      <c r="BL321" s="1877"/>
      <c r="BM321" s="1877"/>
      <c r="BN321" s="1877"/>
      <c r="BO321" s="1877"/>
      <c r="BP321" s="1877"/>
      <c r="BQ321" s="1877"/>
      <c r="BR321" s="1877"/>
      <c r="BS321" s="1877"/>
      <c r="BT321" s="1877"/>
      <c r="BU321" s="1877"/>
      <c r="BV321" s="1877"/>
      <c r="BW321" s="1877"/>
      <c r="BX321" s="1877"/>
      <c r="BY321" s="1877"/>
      <c r="BZ321" s="1877"/>
      <c r="CA321" s="1877"/>
      <c r="CB321" s="1877"/>
      <c r="CC321" s="1877"/>
      <c r="CD321" s="1877"/>
      <c r="CE321" s="1877"/>
      <c r="CF321" s="1877"/>
      <c r="CG321" s="1877"/>
      <c r="CH321" s="1877"/>
      <c r="CI321" s="1877"/>
      <c r="CJ321" s="1877"/>
      <c r="CK321" s="1877"/>
      <c r="CL321" s="1877"/>
      <c r="CM321" s="1877"/>
      <c r="CN321" s="1877"/>
      <c r="CO321" s="1877"/>
      <c r="CP321" s="1877"/>
      <c r="CQ321" s="1877"/>
      <c r="CR321" s="1877"/>
      <c r="CS321" s="1877"/>
      <c r="CT321" s="1877"/>
      <c r="CU321" s="1877"/>
      <c r="CV321" s="1877"/>
      <c r="CW321" s="1877"/>
      <c r="CX321" s="1877"/>
      <c r="CY321" s="1877"/>
      <c r="CZ321" s="1877"/>
      <c r="DA321" s="1877"/>
      <c r="DB321" s="1877"/>
      <c r="DC321" s="1877"/>
      <c r="DD321" s="1877"/>
      <c r="DE321" s="1877"/>
      <c r="DF321" s="1877"/>
      <c r="DG321" s="1877"/>
      <c r="DH321" s="1877"/>
      <c r="DI321" s="1877"/>
      <c r="DJ321" s="1877"/>
      <c r="DK321" s="1877"/>
      <c r="DL321" s="1877"/>
      <c r="DM321" s="1877"/>
      <c r="DN321" s="1877"/>
      <c r="DO321" s="1877"/>
      <c r="DP321" s="1877"/>
      <c r="DQ321" s="1877"/>
      <c r="DR321" s="1877"/>
      <c r="DS321" s="1877"/>
      <c r="DT321" s="1877"/>
      <c r="DU321" s="1877"/>
      <c r="DV321" s="1877"/>
      <c r="DW321" s="1877"/>
      <c r="DX321" s="1877"/>
      <c r="DY321" s="1877"/>
      <c r="DZ321" s="1877"/>
      <c r="EA321" s="1877"/>
      <c r="EB321" s="1877"/>
      <c r="EC321" s="1877"/>
      <c r="ED321" s="1877"/>
      <c r="EE321" s="1877"/>
      <c r="EF321" s="1877"/>
      <c r="EG321" s="1877"/>
      <c r="EH321" s="1877"/>
      <c r="EI321" s="1877"/>
      <c r="EJ321" s="1877"/>
      <c r="EK321" s="1877"/>
      <c r="EL321" s="1877"/>
      <c r="EM321" s="1877"/>
      <c r="EN321" s="1877"/>
      <c r="EO321" s="1877"/>
      <c r="EP321" s="1877"/>
      <c r="EQ321" s="1877"/>
      <c r="ER321" s="1877"/>
      <c r="ES321" s="1877"/>
      <c r="ET321" s="1877"/>
      <c r="EU321" s="1877"/>
      <c r="EV321" s="1877"/>
      <c r="EW321" s="1877"/>
      <c r="EX321" s="1877"/>
      <c r="EY321" s="1877"/>
      <c r="EZ321" s="1877"/>
      <c r="FA321" s="1877"/>
      <c r="FB321" s="1877"/>
      <c r="FC321" s="1877"/>
      <c r="FD321" s="1877"/>
      <c r="FE321" s="1877"/>
      <c r="FF321" s="1877"/>
      <c r="FG321" s="1877"/>
      <c r="FH321" s="1877"/>
      <c r="FI321" s="1877"/>
      <c r="FJ321" s="1877"/>
      <c r="FK321" s="1877"/>
      <c r="FL321" s="1877"/>
      <c r="FM321" s="1877"/>
      <c r="FN321" s="1877"/>
      <c r="FO321" s="1877"/>
      <c r="FP321" s="1877"/>
      <c r="FQ321" s="1877"/>
      <c r="FR321" s="1877"/>
      <c r="FS321" s="1877"/>
      <c r="FT321" s="1877"/>
      <c r="FU321" s="1877"/>
      <c r="FV321" s="1877"/>
      <c r="FW321" s="1877"/>
      <c r="FX321" s="1877"/>
      <c r="FY321" s="1877"/>
      <c r="FZ321" s="1877"/>
      <c r="GA321" s="1877"/>
      <c r="GB321" s="1877"/>
      <c r="GC321" s="1877"/>
      <c r="GD321" s="1877"/>
      <c r="GE321" s="1877"/>
      <c r="GF321" s="1877"/>
      <c r="GG321" s="1877"/>
      <c r="GH321" s="1877"/>
      <c r="GI321" s="1877"/>
      <c r="GJ321" s="1877"/>
      <c r="GK321" s="1877"/>
      <c r="GL321" s="1877"/>
      <c r="GM321" s="1877"/>
      <c r="GN321" s="1877"/>
      <c r="GO321" s="1877"/>
      <c r="GP321" s="1877"/>
      <c r="GQ321" s="1877"/>
      <c r="GR321" s="1877"/>
      <c r="GS321" s="1877"/>
      <c r="GT321" s="1877"/>
      <c r="GU321" s="1877"/>
      <c r="GV321" s="1877"/>
      <c r="GW321" s="1877"/>
      <c r="GX321" s="1877"/>
      <c r="GY321" s="1877"/>
      <c r="GZ321" s="1877"/>
      <c r="HA321" s="1877"/>
      <c r="HB321" s="1877"/>
      <c r="HC321" s="1877"/>
      <c r="HD321" s="1877"/>
      <c r="HE321" s="1877"/>
      <c r="HF321" s="1877"/>
      <c r="HG321" s="1877"/>
      <c r="HH321" s="1877"/>
      <c r="HI321" s="1877"/>
      <c r="HJ321" s="1877"/>
      <c r="HK321" s="1877"/>
      <c r="HL321" s="1877"/>
      <c r="HM321" s="1877"/>
      <c r="HN321" s="1877"/>
      <c r="HO321" s="1877"/>
      <c r="HP321" s="1877"/>
      <c r="HQ321" s="1877"/>
      <c r="HR321" s="1877"/>
      <c r="HS321" s="1877"/>
      <c r="HT321" s="1877"/>
      <c r="HU321" s="1877"/>
      <c r="HV321" s="1877"/>
      <c r="HW321" s="1877"/>
      <c r="HX321" s="1877"/>
      <c r="HY321" s="1877"/>
      <c r="HZ321" s="1877"/>
      <c r="IA321" s="1877"/>
      <c r="IB321" s="1877"/>
      <c r="IC321" s="1877"/>
      <c r="ID321" s="1877"/>
      <c r="IE321" s="1877"/>
      <c r="IF321" s="1877"/>
      <c r="IG321" s="1877"/>
      <c r="IH321" s="1877"/>
      <c r="II321" s="1877"/>
      <c r="IJ321" s="1877"/>
      <c r="IK321" s="1877"/>
      <c r="IL321" s="1877"/>
    </row>
    <row r="322" spans="1:246" s="1855" customFormat="1" ht="26.25">
      <c r="A322" s="1884"/>
      <c r="B322" s="1918"/>
      <c r="C322" s="1909" t="s">
        <v>2851</v>
      </c>
      <c r="D322" s="1910"/>
      <c r="E322" s="1912" t="e">
        <f>-ARRIERE!B26</f>
        <v>#VALUE!</v>
      </c>
      <c r="F322" s="2072">
        <f>-ARRIERE!C26</f>
        <v>0</v>
      </c>
      <c r="G322" s="1912">
        <f>-ARRIERE!D26</f>
        <v>-633373</v>
      </c>
      <c r="H322" s="1912">
        <f>-ARRIERE!E26</f>
        <v>-310643</v>
      </c>
      <c r="I322" s="1912">
        <f>-ARRIERE!F26</f>
        <v>-691360</v>
      </c>
      <c r="J322" s="1912">
        <f>-ARRIERE!G26</f>
        <v>-72239</v>
      </c>
      <c r="K322" s="1912">
        <f>-ARRIERE!H26</f>
        <v>0</v>
      </c>
      <c r="L322" s="1912">
        <f>-ARRIERE!I26</f>
        <v>0</v>
      </c>
      <c r="M322" s="1912">
        <f>-ARRIERE!J26</f>
        <v>0</v>
      </c>
      <c r="N322" s="1912">
        <f>-ARRIERE!K26</f>
        <v>-1279</v>
      </c>
      <c r="O322" s="1912">
        <f>-ARRIERE!L26</f>
        <v>0</v>
      </c>
      <c r="P322" s="1912">
        <f>-ARRIERE!M26</f>
        <v>0</v>
      </c>
      <c r="Q322" s="1912">
        <f>-ARRIERE!N26</f>
        <v>-11586</v>
      </c>
      <c r="R322" s="1912">
        <f>-ARRIERE!O26</f>
        <v>0</v>
      </c>
      <c r="S322" s="1980">
        <f t="shared" si="109"/>
        <v>-1720480</v>
      </c>
      <c r="T322" s="2169">
        <f>-ARRIERE!Q26</f>
        <v>-310643</v>
      </c>
      <c r="U322" s="2178">
        <f t="shared" si="75"/>
        <v>-1409837</v>
      </c>
      <c r="V322" s="1856">
        <f>SUM(L322:N322)</f>
        <v>-1279</v>
      </c>
      <c r="W322" s="2003">
        <f t="shared" si="80"/>
        <v>-0.20681331890852264</v>
      </c>
      <c r="X322" s="1877"/>
      <c r="Y322" s="2008">
        <f t="shared" si="105"/>
        <v>-1720.48</v>
      </c>
      <c r="Z322" s="1877"/>
      <c r="AA322" s="1877"/>
      <c r="AB322" s="1877"/>
      <c r="AC322" s="1877"/>
      <c r="AD322" s="1877"/>
      <c r="AE322" s="1877"/>
      <c r="AF322" s="1877"/>
      <c r="AG322" s="1877"/>
      <c r="AH322" s="1877"/>
      <c r="AI322" s="1877"/>
      <c r="AJ322" s="1877"/>
      <c r="AK322" s="1877"/>
      <c r="AL322" s="1877"/>
      <c r="AM322" s="1877"/>
      <c r="AN322" s="1877"/>
      <c r="AO322" s="1877"/>
      <c r="AP322" s="1877"/>
      <c r="AQ322" s="1877"/>
      <c r="AR322" s="1877"/>
      <c r="AS322" s="1877"/>
      <c r="AT322" s="1877"/>
      <c r="AU322" s="1877"/>
      <c r="AV322" s="1877"/>
      <c r="AW322" s="1877"/>
      <c r="AX322" s="1877"/>
      <c r="AY322" s="1877"/>
      <c r="AZ322" s="1877"/>
      <c r="BA322" s="1877"/>
      <c r="BB322" s="1877"/>
      <c r="BC322" s="1877"/>
      <c r="BD322" s="1877"/>
      <c r="BE322" s="1877"/>
      <c r="BF322" s="1877"/>
      <c r="BG322" s="1877"/>
      <c r="BH322" s="1877"/>
      <c r="BI322" s="1877"/>
      <c r="BJ322" s="1877"/>
      <c r="BK322" s="1877"/>
      <c r="BL322" s="1877"/>
      <c r="BM322" s="1877"/>
      <c r="BN322" s="1877"/>
      <c r="BO322" s="1877"/>
      <c r="BP322" s="1877"/>
      <c r="BQ322" s="1877"/>
      <c r="BR322" s="1877"/>
      <c r="BS322" s="1877"/>
      <c r="BT322" s="1877"/>
      <c r="BU322" s="1877"/>
      <c r="BV322" s="1877"/>
      <c r="BW322" s="1877"/>
      <c r="BX322" s="1877"/>
      <c r="BY322" s="1877"/>
      <c r="BZ322" s="1877"/>
      <c r="CA322" s="1877"/>
      <c r="CB322" s="1877"/>
      <c r="CC322" s="1877"/>
      <c r="CD322" s="1877"/>
      <c r="CE322" s="1877"/>
      <c r="CF322" s="1877"/>
      <c r="CG322" s="1877"/>
      <c r="CH322" s="1877"/>
      <c r="CI322" s="1877"/>
      <c r="CJ322" s="1877"/>
      <c r="CK322" s="1877"/>
      <c r="CL322" s="1877"/>
      <c r="CM322" s="1877"/>
      <c r="CN322" s="1877"/>
      <c r="CO322" s="1877"/>
      <c r="CP322" s="1877"/>
      <c r="CQ322" s="1877"/>
      <c r="CR322" s="1877"/>
      <c r="CS322" s="1877"/>
      <c r="CT322" s="1877"/>
      <c r="CU322" s="1877"/>
      <c r="CV322" s="1877"/>
      <c r="CW322" s="1877"/>
      <c r="CX322" s="1877"/>
      <c r="CY322" s="1877"/>
      <c r="CZ322" s="1877"/>
      <c r="DA322" s="1877"/>
      <c r="DB322" s="1877"/>
      <c r="DC322" s="1877"/>
      <c r="DD322" s="1877"/>
      <c r="DE322" s="1877"/>
      <c r="DF322" s="1877"/>
      <c r="DG322" s="1877"/>
      <c r="DH322" s="1877"/>
      <c r="DI322" s="1877"/>
      <c r="DJ322" s="1877"/>
      <c r="DK322" s="1877"/>
      <c r="DL322" s="1877"/>
      <c r="DM322" s="1877"/>
      <c r="DN322" s="1877"/>
      <c r="DO322" s="1877"/>
      <c r="DP322" s="1877"/>
      <c r="DQ322" s="1877"/>
      <c r="DR322" s="1877"/>
      <c r="DS322" s="1877"/>
      <c r="DT322" s="1877"/>
      <c r="DU322" s="1877"/>
      <c r="DV322" s="1877"/>
      <c r="DW322" s="1877"/>
      <c r="DX322" s="1877"/>
      <c r="DY322" s="1877"/>
      <c r="DZ322" s="1877"/>
      <c r="EA322" s="1877"/>
      <c r="EB322" s="1877"/>
      <c r="EC322" s="1877"/>
      <c r="ED322" s="1877"/>
      <c r="EE322" s="1877"/>
      <c r="EF322" s="1877"/>
      <c r="EG322" s="1877"/>
      <c r="EH322" s="1877"/>
      <c r="EI322" s="1877"/>
      <c r="EJ322" s="1877"/>
      <c r="EK322" s="1877"/>
      <c r="EL322" s="1877"/>
      <c r="EM322" s="1877"/>
      <c r="EN322" s="1877"/>
      <c r="EO322" s="1877"/>
      <c r="EP322" s="1877"/>
      <c r="EQ322" s="1877"/>
      <c r="ER322" s="1877"/>
      <c r="ES322" s="1877"/>
      <c r="ET322" s="1877"/>
      <c r="EU322" s="1877"/>
      <c r="EV322" s="1877"/>
      <c r="EW322" s="1877"/>
      <c r="EX322" s="1877"/>
      <c r="EY322" s="1877"/>
      <c r="EZ322" s="1877"/>
      <c r="FA322" s="1877"/>
      <c r="FB322" s="1877"/>
      <c r="FC322" s="1877"/>
      <c r="FD322" s="1877"/>
      <c r="FE322" s="1877"/>
      <c r="FF322" s="1877"/>
      <c r="FG322" s="1877"/>
      <c r="FH322" s="1877"/>
      <c r="FI322" s="1877"/>
      <c r="FJ322" s="1877"/>
      <c r="FK322" s="1877"/>
      <c r="FL322" s="1877"/>
      <c r="FM322" s="1877"/>
      <c r="FN322" s="1877"/>
      <c r="FO322" s="1877"/>
      <c r="FP322" s="1877"/>
      <c r="FQ322" s="1877"/>
      <c r="FR322" s="1877"/>
      <c r="FS322" s="1877"/>
      <c r="FT322" s="1877"/>
      <c r="FU322" s="1877"/>
      <c r="FV322" s="1877"/>
      <c r="FW322" s="1877"/>
      <c r="FX322" s="1877"/>
      <c r="FY322" s="1877"/>
      <c r="FZ322" s="1877"/>
      <c r="GA322" s="1877"/>
      <c r="GB322" s="1877"/>
      <c r="GC322" s="1877"/>
      <c r="GD322" s="1877"/>
      <c r="GE322" s="1877"/>
      <c r="GF322" s="1877"/>
      <c r="GG322" s="1877"/>
      <c r="GH322" s="1877"/>
      <c r="GI322" s="1877"/>
      <c r="GJ322" s="1877"/>
      <c r="GK322" s="1877"/>
      <c r="GL322" s="1877"/>
      <c r="GM322" s="1877"/>
      <c r="GN322" s="1877"/>
      <c r="GO322" s="1877"/>
      <c r="GP322" s="1877"/>
      <c r="GQ322" s="1877"/>
      <c r="GR322" s="1877"/>
      <c r="GS322" s="1877"/>
      <c r="GT322" s="1877"/>
      <c r="GU322" s="1877"/>
      <c r="GV322" s="1877"/>
      <c r="GW322" s="1877"/>
      <c r="GX322" s="1877"/>
      <c r="GY322" s="1877"/>
      <c r="GZ322" s="1877"/>
      <c r="HA322" s="1877"/>
      <c r="HB322" s="1877"/>
      <c r="HC322" s="1877"/>
      <c r="HD322" s="1877"/>
      <c r="HE322" s="1877"/>
      <c r="HF322" s="1877"/>
      <c r="HG322" s="1877"/>
      <c r="HH322" s="1877"/>
      <c r="HI322" s="1877"/>
      <c r="HJ322" s="1877"/>
      <c r="HK322" s="1877"/>
      <c r="HL322" s="1877"/>
      <c r="HM322" s="1877"/>
      <c r="HN322" s="1877"/>
      <c r="HO322" s="1877"/>
      <c r="HP322" s="1877"/>
      <c r="HQ322" s="1877"/>
      <c r="HR322" s="1877"/>
      <c r="HS322" s="1877"/>
      <c r="HT322" s="1877"/>
      <c r="HU322" s="1877"/>
      <c r="HV322" s="1877"/>
      <c r="HW322" s="1877"/>
      <c r="HX322" s="1877"/>
      <c r="HY322" s="1877"/>
      <c r="HZ322" s="1877"/>
      <c r="IA322" s="1877"/>
      <c r="IB322" s="1877"/>
      <c r="IC322" s="1877"/>
      <c r="ID322" s="1877"/>
      <c r="IE322" s="1877"/>
      <c r="IF322" s="1877"/>
      <c r="IG322" s="1877"/>
      <c r="IH322" s="1877"/>
      <c r="II322" s="1877"/>
      <c r="IJ322" s="1877"/>
      <c r="IK322" s="1877"/>
      <c r="IL322" s="1877"/>
    </row>
    <row r="323" spans="1:246" s="1855" customFormat="1" ht="26.25">
      <c r="A323" s="1884"/>
      <c r="B323" s="1967"/>
      <c r="C323" s="1909" t="s">
        <v>2900</v>
      </c>
      <c r="D323" s="1910"/>
      <c r="E323" s="1994" t="e">
        <f>SUM(E325:E332)</f>
        <v>#VALUE!</v>
      </c>
      <c r="F323" s="2077">
        <f>SUM(F325:F332)</f>
        <v>0</v>
      </c>
      <c r="G323" s="1994">
        <f>SUM(G325:G332)</f>
        <v>-680493.45699999994</v>
      </c>
      <c r="H323" s="1994">
        <f t="shared" ref="H323:R323" si="115">SUM(H325:H332)</f>
        <v>-217536.2</v>
      </c>
      <c r="I323" s="1994">
        <f t="shared" si="115"/>
        <v>-103942.07799999999</v>
      </c>
      <c r="J323" s="1994">
        <f t="shared" si="115"/>
        <v>-102885</v>
      </c>
      <c r="K323" s="1994">
        <f t="shared" si="115"/>
        <v>-15207.615</v>
      </c>
      <c r="L323" s="1994">
        <f t="shared" si="115"/>
        <v>-174165.541</v>
      </c>
      <c r="M323" s="1994">
        <f t="shared" si="115"/>
        <v>-400180.66600000003</v>
      </c>
      <c r="N323" s="1994">
        <f t="shared" si="115"/>
        <v>-10381.5</v>
      </c>
      <c r="O323" s="1994">
        <f t="shared" si="115"/>
        <v>-62337.308000000005</v>
      </c>
      <c r="P323" s="1994">
        <f>SUM(P325:P332)</f>
        <v>-207931.71600000001</v>
      </c>
      <c r="Q323" s="1994">
        <f>SUM(Q325:Q332)</f>
        <v>-99788.527000000002</v>
      </c>
      <c r="R323" s="1994">
        <f t="shared" si="115"/>
        <v>-71585.241000000009</v>
      </c>
      <c r="S323" s="1980">
        <f t="shared" si="109"/>
        <v>-2146434.8489999999</v>
      </c>
      <c r="T323" s="2169">
        <f>SUM(T325:T332)</f>
        <v>-217536.2</v>
      </c>
      <c r="U323" s="2178">
        <f t="shared" si="75"/>
        <v>-1928898.649</v>
      </c>
      <c r="V323" s="1854"/>
      <c r="W323" s="2003">
        <f t="shared" si="80"/>
        <v>-0.25801596934727727</v>
      </c>
      <c r="X323" s="1877"/>
      <c r="Y323" s="2008">
        <f t="shared" si="105"/>
        <v>-2146.4348489999998</v>
      </c>
      <c r="Z323" s="1877"/>
      <c r="AA323" s="1877"/>
      <c r="AB323" s="1877"/>
      <c r="AC323" s="1877"/>
      <c r="AD323" s="1877"/>
      <c r="AE323" s="1877"/>
      <c r="AF323" s="1877"/>
      <c r="AG323" s="1877"/>
      <c r="AH323" s="1877"/>
      <c r="AI323" s="1877"/>
      <c r="AJ323" s="1877"/>
      <c r="AK323" s="1877"/>
      <c r="AL323" s="1877"/>
      <c r="AM323" s="1877"/>
      <c r="AN323" s="1877"/>
      <c r="AO323" s="1877"/>
      <c r="AP323" s="1877"/>
      <c r="AQ323" s="1877"/>
      <c r="AR323" s="1877"/>
      <c r="AS323" s="1877"/>
      <c r="AT323" s="1877"/>
      <c r="AU323" s="1877"/>
      <c r="AV323" s="1877"/>
      <c r="AW323" s="1877"/>
      <c r="AX323" s="1877"/>
      <c r="AY323" s="1877"/>
      <c r="AZ323" s="1877"/>
      <c r="BA323" s="1877"/>
      <c r="BB323" s="1877"/>
      <c r="BC323" s="1877"/>
      <c r="BD323" s="1877"/>
      <c r="BE323" s="1877"/>
      <c r="BF323" s="1877"/>
      <c r="BG323" s="1877"/>
      <c r="BH323" s="1877"/>
      <c r="BI323" s="1877"/>
      <c r="BJ323" s="1877"/>
      <c r="BK323" s="1877"/>
      <c r="BL323" s="1877"/>
      <c r="BM323" s="1877"/>
      <c r="BN323" s="1877"/>
      <c r="BO323" s="1877"/>
      <c r="BP323" s="1877"/>
      <c r="BQ323" s="1877"/>
      <c r="BR323" s="1877"/>
      <c r="BS323" s="1877"/>
      <c r="BT323" s="1877"/>
      <c r="BU323" s="1877"/>
      <c r="BV323" s="1877"/>
      <c r="BW323" s="1877"/>
      <c r="BX323" s="1877"/>
      <c r="BY323" s="1877"/>
      <c r="BZ323" s="1877"/>
      <c r="CA323" s="1877"/>
      <c r="CB323" s="1877"/>
      <c r="CC323" s="1877"/>
      <c r="CD323" s="1877"/>
      <c r="CE323" s="1877"/>
      <c r="CF323" s="1877"/>
      <c r="CG323" s="1877"/>
      <c r="CH323" s="1877"/>
      <c r="CI323" s="1877"/>
      <c r="CJ323" s="1877"/>
      <c r="CK323" s="1877"/>
      <c r="CL323" s="1877"/>
      <c r="CM323" s="1877"/>
      <c r="CN323" s="1877"/>
      <c r="CO323" s="1877"/>
      <c r="CP323" s="1877"/>
      <c r="CQ323" s="1877"/>
      <c r="CR323" s="1877"/>
      <c r="CS323" s="1877"/>
      <c r="CT323" s="1877"/>
      <c r="CU323" s="1877"/>
      <c r="CV323" s="1877"/>
      <c r="CW323" s="1877"/>
      <c r="CX323" s="1877"/>
      <c r="CY323" s="1877"/>
      <c r="CZ323" s="1877"/>
      <c r="DA323" s="1877"/>
      <c r="DB323" s="1877"/>
      <c r="DC323" s="1877"/>
      <c r="DD323" s="1877"/>
      <c r="DE323" s="1877"/>
      <c r="DF323" s="1877"/>
      <c r="DG323" s="1877"/>
      <c r="DH323" s="1877"/>
      <c r="DI323" s="1877"/>
      <c r="DJ323" s="1877"/>
      <c r="DK323" s="1877"/>
      <c r="DL323" s="1877"/>
      <c r="DM323" s="1877"/>
      <c r="DN323" s="1877"/>
      <c r="DO323" s="1877"/>
      <c r="DP323" s="1877"/>
      <c r="DQ323" s="1877"/>
      <c r="DR323" s="1877"/>
      <c r="DS323" s="1877"/>
      <c r="DT323" s="1877"/>
      <c r="DU323" s="1877"/>
      <c r="DV323" s="1877"/>
      <c r="DW323" s="1877"/>
      <c r="DX323" s="1877"/>
      <c r="DY323" s="1877"/>
      <c r="DZ323" s="1877"/>
      <c r="EA323" s="1877"/>
      <c r="EB323" s="1877"/>
      <c r="EC323" s="1877"/>
      <c r="ED323" s="1877"/>
      <c r="EE323" s="1877"/>
      <c r="EF323" s="1877"/>
      <c r="EG323" s="1877"/>
      <c r="EH323" s="1877"/>
      <c r="EI323" s="1877"/>
      <c r="EJ323" s="1877"/>
      <c r="EK323" s="1877"/>
      <c r="EL323" s="1877"/>
      <c r="EM323" s="1877"/>
      <c r="EN323" s="1877"/>
      <c r="EO323" s="1877"/>
      <c r="EP323" s="1877"/>
      <c r="EQ323" s="1877"/>
      <c r="ER323" s="1877"/>
      <c r="ES323" s="1877"/>
      <c r="ET323" s="1877"/>
      <c r="EU323" s="1877"/>
      <c r="EV323" s="1877"/>
      <c r="EW323" s="1877"/>
      <c r="EX323" s="1877"/>
      <c r="EY323" s="1877"/>
      <c r="EZ323" s="1877"/>
      <c r="FA323" s="1877"/>
      <c r="FB323" s="1877"/>
      <c r="FC323" s="1877"/>
      <c r="FD323" s="1877"/>
      <c r="FE323" s="1877"/>
      <c r="FF323" s="1877"/>
      <c r="FG323" s="1877"/>
      <c r="FH323" s="1877"/>
      <c r="FI323" s="1877"/>
      <c r="FJ323" s="1877"/>
      <c r="FK323" s="1877"/>
      <c r="FL323" s="1877"/>
      <c r="FM323" s="1877"/>
      <c r="FN323" s="1877"/>
      <c r="FO323" s="1877"/>
      <c r="FP323" s="1877"/>
      <c r="FQ323" s="1877"/>
      <c r="FR323" s="1877"/>
      <c r="FS323" s="1877"/>
      <c r="FT323" s="1877"/>
      <c r="FU323" s="1877"/>
      <c r="FV323" s="1877"/>
      <c r="FW323" s="1877"/>
      <c r="FX323" s="1877"/>
      <c r="FY323" s="1877"/>
      <c r="FZ323" s="1877"/>
      <c r="GA323" s="1877"/>
      <c r="GB323" s="1877"/>
      <c r="GC323" s="1877"/>
      <c r="GD323" s="1877"/>
      <c r="GE323" s="1877"/>
      <c r="GF323" s="1877"/>
      <c r="GG323" s="1877"/>
      <c r="GH323" s="1877"/>
      <c r="GI323" s="1877"/>
      <c r="GJ323" s="1877"/>
      <c r="GK323" s="1877"/>
      <c r="GL323" s="1877"/>
      <c r="GM323" s="1877"/>
      <c r="GN323" s="1877"/>
      <c r="GO323" s="1877"/>
      <c r="GP323" s="1877"/>
      <c r="GQ323" s="1877"/>
      <c r="GR323" s="1877"/>
      <c r="GS323" s="1877"/>
      <c r="GT323" s="1877"/>
      <c r="GU323" s="1877"/>
      <c r="GV323" s="1877"/>
      <c r="GW323" s="1877"/>
      <c r="GX323" s="1877"/>
      <c r="GY323" s="1877"/>
      <c r="GZ323" s="1877"/>
      <c r="HA323" s="1877"/>
      <c r="HB323" s="1877"/>
      <c r="HC323" s="1877"/>
      <c r="HD323" s="1877"/>
      <c r="HE323" s="1877"/>
      <c r="HF323" s="1877"/>
      <c r="HG323" s="1877"/>
      <c r="HH323" s="1877"/>
      <c r="HI323" s="1877"/>
      <c r="HJ323" s="1877"/>
      <c r="HK323" s="1877"/>
      <c r="HL323" s="1877"/>
      <c r="HM323" s="1877"/>
      <c r="HN323" s="1877"/>
      <c r="HO323" s="1877"/>
      <c r="HP323" s="1877"/>
      <c r="HQ323" s="1877"/>
      <c r="HR323" s="1877"/>
      <c r="HS323" s="1877"/>
      <c r="HT323" s="1877"/>
      <c r="HU323" s="1877"/>
      <c r="HV323" s="1877"/>
      <c r="HW323" s="1877"/>
      <c r="HX323" s="1877"/>
      <c r="HY323" s="1877"/>
      <c r="HZ323" s="1877"/>
      <c r="IA323" s="1877"/>
      <c r="IB323" s="1877"/>
      <c r="IC323" s="1877"/>
      <c r="ID323" s="1877"/>
      <c r="IE323" s="1877"/>
      <c r="IF323" s="1877"/>
      <c r="IG323" s="1877"/>
      <c r="IH323" s="1877"/>
      <c r="II323" s="1877"/>
      <c r="IJ323" s="1877"/>
      <c r="IK323" s="1877"/>
      <c r="IL323" s="1877"/>
    </row>
    <row r="324" spans="1:246" s="1855" customFormat="1" ht="26.25">
      <c r="A324" s="1884"/>
      <c r="B324" s="1918"/>
      <c r="C324" s="1909" t="s">
        <v>2738</v>
      </c>
      <c r="D324" s="1910"/>
      <c r="E324" s="1985"/>
      <c r="F324" s="2078"/>
      <c r="G324" s="1985"/>
      <c r="H324" s="1912"/>
      <c r="I324" s="1912"/>
      <c r="J324" s="1912"/>
      <c r="K324" s="1912"/>
      <c r="L324" s="1912"/>
      <c r="M324" s="1912"/>
      <c r="N324" s="1912"/>
      <c r="O324" s="1912"/>
      <c r="P324" s="1912"/>
      <c r="Q324" s="1912"/>
      <c r="R324" s="1912"/>
      <c r="S324" s="1980">
        <f t="shared" si="109"/>
        <v>0</v>
      </c>
      <c r="T324" s="2169"/>
      <c r="U324" s="2178">
        <f t="shared" si="75"/>
        <v>0</v>
      </c>
      <c r="V324" s="1854"/>
      <c r="W324" s="2003">
        <f t="shared" si="80"/>
        <v>0</v>
      </c>
      <c r="X324" s="1877"/>
      <c r="Y324" s="2008">
        <f t="shared" si="105"/>
        <v>0</v>
      </c>
      <c r="Z324" s="1877"/>
      <c r="AA324" s="1877"/>
      <c r="AB324" s="1877"/>
      <c r="AC324" s="1877"/>
      <c r="AD324" s="1877"/>
      <c r="AE324" s="1877"/>
      <c r="AF324" s="1877"/>
      <c r="AG324" s="1877"/>
      <c r="AH324" s="1877"/>
      <c r="AI324" s="1877"/>
      <c r="AJ324" s="1877"/>
      <c r="AK324" s="1877"/>
      <c r="AL324" s="1877"/>
      <c r="AM324" s="1877"/>
      <c r="AN324" s="1877"/>
      <c r="AO324" s="1877"/>
      <c r="AP324" s="1877"/>
      <c r="AQ324" s="1877"/>
      <c r="AR324" s="1877"/>
      <c r="AS324" s="1877"/>
      <c r="AT324" s="1877"/>
      <c r="AU324" s="1877"/>
      <c r="AV324" s="1877"/>
      <c r="AW324" s="1877"/>
      <c r="AX324" s="1877"/>
      <c r="AY324" s="1877"/>
      <c r="AZ324" s="1877"/>
      <c r="BA324" s="1877"/>
      <c r="BB324" s="1877"/>
      <c r="BC324" s="1877"/>
      <c r="BD324" s="1877"/>
      <c r="BE324" s="1877"/>
      <c r="BF324" s="1877"/>
      <c r="BG324" s="1877"/>
      <c r="BH324" s="1877"/>
      <c r="BI324" s="1877"/>
      <c r="BJ324" s="1877"/>
      <c r="BK324" s="1877"/>
      <c r="BL324" s="1877"/>
      <c r="BM324" s="1877"/>
      <c r="BN324" s="1877"/>
      <c r="BO324" s="1877"/>
      <c r="BP324" s="1877"/>
      <c r="BQ324" s="1877"/>
      <c r="BR324" s="1877"/>
      <c r="BS324" s="1877"/>
      <c r="BT324" s="1877"/>
      <c r="BU324" s="1877"/>
      <c r="BV324" s="1877"/>
      <c r="BW324" s="1877"/>
      <c r="BX324" s="1877"/>
      <c r="BY324" s="1877"/>
      <c r="BZ324" s="1877"/>
      <c r="CA324" s="1877"/>
      <c r="CB324" s="1877"/>
      <c r="CC324" s="1877"/>
      <c r="CD324" s="1877"/>
      <c r="CE324" s="1877"/>
      <c r="CF324" s="1877"/>
      <c r="CG324" s="1877"/>
      <c r="CH324" s="1877"/>
      <c r="CI324" s="1877"/>
      <c r="CJ324" s="1877"/>
      <c r="CK324" s="1877"/>
      <c r="CL324" s="1877"/>
      <c r="CM324" s="1877"/>
      <c r="CN324" s="1877"/>
      <c r="CO324" s="1877"/>
      <c r="CP324" s="1877"/>
      <c r="CQ324" s="1877"/>
      <c r="CR324" s="1877"/>
      <c r="CS324" s="1877"/>
      <c r="CT324" s="1877"/>
      <c r="CU324" s="1877"/>
      <c r="CV324" s="1877"/>
      <c r="CW324" s="1877"/>
      <c r="CX324" s="1877"/>
      <c r="CY324" s="1877"/>
      <c r="CZ324" s="1877"/>
      <c r="DA324" s="1877"/>
      <c r="DB324" s="1877"/>
      <c r="DC324" s="1877"/>
      <c r="DD324" s="1877"/>
      <c r="DE324" s="1877"/>
      <c r="DF324" s="1877"/>
      <c r="DG324" s="1877"/>
      <c r="DH324" s="1877"/>
      <c r="DI324" s="1877"/>
      <c r="DJ324" s="1877"/>
      <c r="DK324" s="1877"/>
      <c r="DL324" s="1877"/>
      <c r="DM324" s="1877"/>
      <c r="DN324" s="1877"/>
      <c r="DO324" s="1877"/>
      <c r="DP324" s="1877"/>
      <c r="DQ324" s="1877"/>
      <c r="DR324" s="1877"/>
      <c r="DS324" s="1877"/>
      <c r="DT324" s="1877"/>
      <c r="DU324" s="1877"/>
      <c r="DV324" s="1877"/>
      <c r="DW324" s="1877"/>
      <c r="DX324" s="1877"/>
      <c r="DY324" s="1877"/>
      <c r="DZ324" s="1877"/>
      <c r="EA324" s="1877"/>
      <c r="EB324" s="1877"/>
      <c r="EC324" s="1877"/>
      <c r="ED324" s="1877"/>
      <c r="EE324" s="1877"/>
      <c r="EF324" s="1877"/>
      <c r="EG324" s="1877"/>
      <c r="EH324" s="1877"/>
      <c r="EI324" s="1877"/>
      <c r="EJ324" s="1877"/>
      <c r="EK324" s="1877"/>
      <c r="EL324" s="1877"/>
      <c r="EM324" s="1877"/>
      <c r="EN324" s="1877"/>
      <c r="EO324" s="1877"/>
      <c r="EP324" s="1877"/>
      <c r="EQ324" s="1877"/>
      <c r="ER324" s="1877"/>
      <c r="ES324" s="1877"/>
      <c r="ET324" s="1877"/>
      <c r="EU324" s="1877"/>
      <c r="EV324" s="1877"/>
      <c r="EW324" s="1877"/>
      <c r="EX324" s="1877"/>
      <c r="EY324" s="1877"/>
      <c r="EZ324" s="1877"/>
      <c r="FA324" s="1877"/>
      <c r="FB324" s="1877"/>
      <c r="FC324" s="1877"/>
      <c r="FD324" s="1877"/>
      <c r="FE324" s="1877"/>
      <c r="FF324" s="1877"/>
      <c r="FG324" s="1877"/>
      <c r="FH324" s="1877"/>
      <c r="FI324" s="1877"/>
      <c r="FJ324" s="1877"/>
      <c r="FK324" s="1877"/>
      <c r="FL324" s="1877"/>
      <c r="FM324" s="1877"/>
      <c r="FN324" s="1877"/>
      <c r="FO324" s="1877"/>
      <c r="FP324" s="1877"/>
      <c r="FQ324" s="1877"/>
      <c r="FR324" s="1877"/>
      <c r="FS324" s="1877"/>
      <c r="FT324" s="1877"/>
      <c r="FU324" s="1877"/>
      <c r="FV324" s="1877"/>
      <c r="FW324" s="1877"/>
      <c r="FX324" s="1877"/>
      <c r="FY324" s="1877"/>
      <c r="FZ324" s="1877"/>
      <c r="GA324" s="1877"/>
      <c r="GB324" s="1877"/>
      <c r="GC324" s="1877"/>
      <c r="GD324" s="1877"/>
      <c r="GE324" s="1877"/>
      <c r="GF324" s="1877"/>
      <c r="GG324" s="1877"/>
      <c r="GH324" s="1877"/>
      <c r="GI324" s="1877"/>
      <c r="GJ324" s="1877"/>
      <c r="GK324" s="1877"/>
      <c r="GL324" s="1877"/>
      <c r="GM324" s="1877"/>
      <c r="GN324" s="1877"/>
      <c r="GO324" s="1877"/>
      <c r="GP324" s="1877"/>
      <c r="GQ324" s="1877"/>
      <c r="GR324" s="1877"/>
      <c r="GS324" s="1877"/>
      <c r="GT324" s="1877"/>
      <c r="GU324" s="1877"/>
      <c r="GV324" s="1877"/>
      <c r="GW324" s="1877"/>
      <c r="GX324" s="1877"/>
      <c r="GY324" s="1877"/>
      <c r="GZ324" s="1877"/>
      <c r="HA324" s="1877"/>
      <c r="HB324" s="1877"/>
      <c r="HC324" s="1877"/>
      <c r="HD324" s="1877"/>
      <c r="HE324" s="1877"/>
      <c r="HF324" s="1877"/>
      <c r="HG324" s="1877"/>
      <c r="HH324" s="1877"/>
      <c r="HI324" s="1877"/>
      <c r="HJ324" s="1877"/>
      <c r="HK324" s="1877"/>
      <c r="HL324" s="1877"/>
      <c r="HM324" s="1877"/>
      <c r="HN324" s="1877"/>
      <c r="HO324" s="1877"/>
      <c r="HP324" s="1877"/>
      <c r="HQ324" s="1877"/>
      <c r="HR324" s="1877"/>
      <c r="HS324" s="1877"/>
      <c r="HT324" s="1877"/>
      <c r="HU324" s="1877"/>
      <c r="HV324" s="1877"/>
      <c r="HW324" s="1877"/>
      <c r="HX324" s="1877"/>
      <c r="HY324" s="1877"/>
      <c r="HZ324" s="1877"/>
      <c r="IA324" s="1877"/>
      <c r="IB324" s="1877"/>
      <c r="IC324" s="1877"/>
      <c r="ID324" s="1877"/>
      <c r="IE324" s="1877"/>
      <c r="IF324" s="1877"/>
      <c r="IG324" s="1877"/>
      <c r="IH324" s="1877"/>
      <c r="II324" s="1877"/>
      <c r="IJ324" s="1877"/>
      <c r="IK324" s="1877"/>
      <c r="IL324" s="1877"/>
    </row>
    <row r="325" spans="1:246" s="1855" customFormat="1" ht="26.25">
      <c r="A325" s="1884"/>
      <c r="B325" s="1918"/>
      <c r="C325" s="1909" t="s">
        <v>538</v>
      </c>
      <c r="D325" s="1910"/>
      <c r="E325" s="1985"/>
      <c r="F325" s="2078"/>
      <c r="G325" s="1985"/>
      <c r="H325" s="1912"/>
      <c r="I325" s="1912"/>
      <c r="J325" s="1912"/>
      <c r="K325" s="1912"/>
      <c r="L325" s="1912"/>
      <c r="M325" s="1912"/>
      <c r="N325" s="1912"/>
      <c r="O325" s="1912"/>
      <c r="P325" s="1912"/>
      <c r="Q325" s="1912"/>
      <c r="R325" s="1912"/>
      <c r="S325" s="1980">
        <f t="shared" si="109"/>
        <v>0</v>
      </c>
      <c r="T325" s="2169"/>
      <c r="U325" s="2178">
        <f t="shared" si="75"/>
        <v>0</v>
      </c>
      <c r="V325" s="1854"/>
      <c r="W325" s="2003">
        <f t="shared" si="80"/>
        <v>0</v>
      </c>
      <c r="X325" s="1877"/>
      <c r="Y325" s="2008">
        <f t="shared" si="105"/>
        <v>0</v>
      </c>
      <c r="Z325" s="1877"/>
      <c r="AA325" s="1877"/>
      <c r="AB325" s="1877"/>
      <c r="AC325" s="1877"/>
      <c r="AD325" s="1877"/>
      <c r="AE325" s="1877"/>
      <c r="AF325" s="1877"/>
      <c r="AG325" s="1877"/>
      <c r="AH325" s="1877"/>
      <c r="AI325" s="1877"/>
      <c r="AJ325" s="1877"/>
      <c r="AK325" s="1877"/>
      <c r="AL325" s="1877"/>
      <c r="AM325" s="1877"/>
      <c r="AN325" s="1877"/>
      <c r="AO325" s="1877"/>
      <c r="AP325" s="1877"/>
      <c r="AQ325" s="1877"/>
      <c r="AR325" s="1877"/>
      <c r="AS325" s="1877"/>
      <c r="AT325" s="1877"/>
      <c r="AU325" s="1877"/>
      <c r="AV325" s="1877"/>
      <c r="AW325" s="1877"/>
      <c r="AX325" s="1877"/>
      <c r="AY325" s="1877"/>
      <c r="AZ325" s="1877"/>
      <c r="BA325" s="1877"/>
      <c r="BB325" s="1877"/>
      <c r="BC325" s="1877"/>
      <c r="BD325" s="1877"/>
      <c r="BE325" s="1877"/>
      <c r="BF325" s="1877"/>
      <c r="BG325" s="1877"/>
      <c r="BH325" s="1877"/>
      <c r="BI325" s="1877"/>
      <c r="BJ325" s="1877"/>
      <c r="BK325" s="1877"/>
      <c r="BL325" s="1877"/>
      <c r="BM325" s="1877"/>
      <c r="BN325" s="1877"/>
      <c r="BO325" s="1877"/>
      <c r="BP325" s="1877"/>
      <c r="BQ325" s="1877"/>
      <c r="BR325" s="1877"/>
      <c r="BS325" s="1877"/>
      <c r="BT325" s="1877"/>
      <c r="BU325" s="1877"/>
      <c r="BV325" s="1877"/>
      <c r="BW325" s="1877"/>
      <c r="BX325" s="1877"/>
      <c r="BY325" s="1877"/>
      <c r="BZ325" s="1877"/>
      <c r="CA325" s="1877"/>
      <c r="CB325" s="1877"/>
      <c r="CC325" s="1877"/>
      <c r="CD325" s="1877"/>
      <c r="CE325" s="1877"/>
      <c r="CF325" s="1877"/>
      <c r="CG325" s="1877"/>
      <c r="CH325" s="1877"/>
      <c r="CI325" s="1877"/>
      <c r="CJ325" s="1877"/>
      <c r="CK325" s="1877"/>
      <c r="CL325" s="1877"/>
      <c r="CM325" s="1877"/>
      <c r="CN325" s="1877"/>
      <c r="CO325" s="1877"/>
      <c r="CP325" s="1877"/>
      <c r="CQ325" s="1877"/>
      <c r="CR325" s="1877"/>
      <c r="CS325" s="1877"/>
      <c r="CT325" s="1877"/>
      <c r="CU325" s="1877"/>
      <c r="CV325" s="1877"/>
      <c r="CW325" s="1877"/>
      <c r="CX325" s="1877"/>
      <c r="CY325" s="1877"/>
      <c r="CZ325" s="1877"/>
      <c r="DA325" s="1877"/>
      <c r="DB325" s="1877"/>
      <c r="DC325" s="1877"/>
      <c r="DD325" s="1877"/>
      <c r="DE325" s="1877"/>
      <c r="DF325" s="1877"/>
      <c r="DG325" s="1877"/>
      <c r="DH325" s="1877"/>
      <c r="DI325" s="1877"/>
      <c r="DJ325" s="1877"/>
      <c r="DK325" s="1877"/>
      <c r="DL325" s="1877"/>
      <c r="DM325" s="1877"/>
      <c r="DN325" s="1877"/>
      <c r="DO325" s="1877"/>
      <c r="DP325" s="1877"/>
      <c r="DQ325" s="1877"/>
      <c r="DR325" s="1877"/>
      <c r="DS325" s="1877"/>
      <c r="DT325" s="1877"/>
      <c r="DU325" s="1877"/>
      <c r="DV325" s="1877"/>
      <c r="DW325" s="1877"/>
      <c r="DX325" s="1877"/>
      <c r="DY325" s="1877"/>
      <c r="DZ325" s="1877"/>
      <c r="EA325" s="1877"/>
      <c r="EB325" s="1877"/>
      <c r="EC325" s="1877"/>
      <c r="ED325" s="1877"/>
      <c r="EE325" s="1877"/>
      <c r="EF325" s="1877"/>
      <c r="EG325" s="1877"/>
      <c r="EH325" s="1877"/>
      <c r="EI325" s="1877"/>
      <c r="EJ325" s="1877"/>
      <c r="EK325" s="1877"/>
      <c r="EL325" s="1877"/>
      <c r="EM325" s="1877"/>
      <c r="EN325" s="1877"/>
      <c r="EO325" s="1877"/>
      <c r="EP325" s="1877"/>
      <c r="EQ325" s="1877"/>
      <c r="ER325" s="1877"/>
      <c r="ES325" s="1877"/>
      <c r="ET325" s="1877"/>
      <c r="EU325" s="1877"/>
      <c r="EV325" s="1877"/>
      <c r="EW325" s="1877"/>
      <c r="EX325" s="1877"/>
      <c r="EY325" s="1877"/>
      <c r="EZ325" s="1877"/>
      <c r="FA325" s="1877"/>
      <c r="FB325" s="1877"/>
      <c r="FC325" s="1877"/>
      <c r="FD325" s="1877"/>
      <c r="FE325" s="1877"/>
      <c r="FF325" s="1877"/>
      <c r="FG325" s="1877"/>
      <c r="FH325" s="1877"/>
      <c r="FI325" s="1877"/>
      <c r="FJ325" s="1877"/>
      <c r="FK325" s="1877"/>
      <c r="FL325" s="1877"/>
      <c r="FM325" s="1877"/>
      <c r="FN325" s="1877"/>
      <c r="FO325" s="1877"/>
      <c r="FP325" s="1877"/>
      <c r="FQ325" s="1877"/>
      <c r="FR325" s="1877"/>
      <c r="FS325" s="1877"/>
      <c r="FT325" s="1877"/>
      <c r="FU325" s="1877"/>
      <c r="FV325" s="1877"/>
      <c r="FW325" s="1877"/>
      <c r="FX325" s="1877"/>
      <c r="FY325" s="1877"/>
      <c r="FZ325" s="1877"/>
      <c r="GA325" s="1877"/>
      <c r="GB325" s="1877"/>
      <c r="GC325" s="1877"/>
      <c r="GD325" s="1877"/>
      <c r="GE325" s="1877"/>
      <c r="GF325" s="1877"/>
      <c r="GG325" s="1877"/>
      <c r="GH325" s="1877"/>
      <c r="GI325" s="1877"/>
      <c r="GJ325" s="1877"/>
      <c r="GK325" s="1877"/>
      <c r="GL325" s="1877"/>
      <c r="GM325" s="1877"/>
      <c r="GN325" s="1877"/>
      <c r="GO325" s="1877"/>
      <c r="GP325" s="1877"/>
      <c r="GQ325" s="1877"/>
      <c r="GR325" s="1877"/>
      <c r="GS325" s="1877"/>
      <c r="GT325" s="1877"/>
      <c r="GU325" s="1877"/>
      <c r="GV325" s="1877"/>
      <c r="GW325" s="1877"/>
      <c r="GX325" s="1877"/>
      <c r="GY325" s="1877"/>
      <c r="GZ325" s="1877"/>
      <c r="HA325" s="1877"/>
      <c r="HB325" s="1877"/>
      <c r="HC325" s="1877"/>
      <c r="HD325" s="1877"/>
      <c r="HE325" s="1877"/>
      <c r="HF325" s="1877"/>
      <c r="HG325" s="1877"/>
      <c r="HH325" s="1877"/>
      <c r="HI325" s="1877"/>
      <c r="HJ325" s="1877"/>
      <c r="HK325" s="1877"/>
      <c r="HL325" s="1877"/>
      <c r="HM325" s="1877"/>
      <c r="HN325" s="1877"/>
      <c r="HO325" s="1877"/>
      <c r="HP325" s="1877"/>
      <c r="HQ325" s="1877"/>
      <c r="HR325" s="1877"/>
      <c r="HS325" s="1877"/>
      <c r="HT325" s="1877"/>
      <c r="HU325" s="1877"/>
      <c r="HV325" s="1877"/>
      <c r="HW325" s="1877"/>
      <c r="HX325" s="1877"/>
      <c r="HY325" s="1877"/>
      <c r="HZ325" s="1877"/>
      <c r="IA325" s="1877"/>
      <c r="IB325" s="1877"/>
      <c r="IC325" s="1877"/>
      <c r="ID325" s="1877"/>
      <c r="IE325" s="1877"/>
      <c r="IF325" s="1877"/>
      <c r="IG325" s="1877"/>
      <c r="IH325" s="1877"/>
      <c r="II325" s="1877"/>
      <c r="IJ325" s="1877"/>
      <c r="IK325" s="1877"/>
      <c r="IL325" s="1877"/>
    </row>
    <row r="326" spans="1:246" s="1855" customFormat="1" ht="26.25">
      <c r="A326" s="1884"/>
      <c r="B326" s="1918"/>
      <c r="C326" s="1909" t="s">
        <v>539</v>
      </c>
      <c r="D326" s="1910"/>
      <c r="E326" s="1985"/>
      <c r="F326" s="2078"/>
      <c r="G326" s="1985"/>
      <c r="H326" s="1912"/>
      <c r="I326" s="1912"/>
      <c r="J326" s="1912"/>
      <c r="K326" s="1912"/>
      <c r="L326" s="1912"/>
      <c r="M326" s="1912"/>
      <c r="N326" s="1912"/>
      <c r="O326" s="1912"/>
      <c r="P326" s="1912"/>
      <c r="Q326" s="1912"/>
      <c r="R326" s="1912"/>
      <c r="S326" s="1980">
        <f t="shared" si="109"/>
        <v>0</v>
      </c>
      <c r="T326" s="2169"/>
      <c r="U326" s="2178">
        <f t="shared" si="75"/>
        <v>0</v>
      </c>
      <c r="V326" s="1854"/>
      <c r="W326" s="2003">
        <f t="shared" si="80"/>
        <v>0</v>
      </c>
      <c r="X326" s="1877"/>
      <c r="Y326" s="2008">
        <f t="shared" si="105"/>
        <v>0</v>
      </c>
      <c r="Z326" s="1877"/>
      <c r="AA326" s="1877"/>
      <c r="AB326" s="1877"/>
      <c r="AC326" s="1877"/>
      <c r="AD326" s="1877"/>
      <c r="AE326" s="1877"/>
      <c r="AF326" s="1877"/>
      <c r="AG326" s="1877"/>
      <c r="AH326" s="1877"/>
      <c r="AI326" s="1877"/>
      <c r="AJ326" s="1877"/>
      <c r="AK326" s="1877"/>
      <c r="AL326" s="1877"/>
      <c r="AM326" s="1877"/>
      <c r="AN326" s="1877"/>
      <c r="AO326" s="1877"/>
      <c r="AP326" s="1877"/>
      <c r="AQ326" s="1877"/>
      <c r="AR326" s="1877"/>
      <c r="AS326" s="1877"/>
      <c r="AT326" s="1877"/>
      <c r="AU326" s="1877"/>
      <c r="AV326" s="1877"/>
      <c r="AW326" s="1877"/>
      <c r="AX326" s="1877"/>
      <c r="AY326" s="1877"/>
      <c r="AZ326" s="1877"/>
      <c r="BA326" s="1877"/>
      <c r="BB326" s="1877"/>
      <c r="BC326" s="1877"/>
      <c r="BD326" s="1877"/>
      <c r="BE326" s="1877"/>
      <c r="BF326" s="1877"/>
      <c r="BG326" s="1877"/>
      <c r="BH326" s="1877"/>
      <c r="BI326" s="1877"/>
      <c r="BJ326" s="1877"/>
      <c r="BK326" s="1877"/>
      <c r="BL326" s="1877"/>
      <c r="BM326" s="1877"/>
      <c r="BN326" s="1877"/>
      <c r="BO326" s="1877"/>
      <c r="BP326" s="1877"/>
      <c r="BQ326" s="1877"/>
      <c r="BR326" s="1877"/>
      <c r="BS326" s="1877"/>
      <c r="BT326" s="1877"/>
      <c r="BU326" s="1877"/>
      <c r="BV326" s="1877"/>
      <c r="BW326" s="1877"/>
      <c r="BX326" s="1877"/>
      <c r="BY326" s="1877"/>
      <c r="BZ326" s="1877"/>
      <c r="CA326" s="1877"/>
      <c r="CB326" s="1877"/>
      <c r="CC326" s="1877"/>
      <c r="CD326" s="1877"/>
      <c r="CE326" s="1877"/>
      <c r="CF326" s="1877"/>
      <c r="CG326" s="1877"/>
      <c r="CH326" s="1877"/>
      <c r="CI326" s="1877"/>
      <c r="CJ326" s="1877"/>
      <c r="CK326" s="1877"/>
      <c r="CL326" s="1877"/>
      <c r="CM326" s="1877"/>
      <c r="CN326" s="1877"/>
      <c r="CO326" s="1877"/>
      <c r="CP326" s="1877"/>
      <c r="CQ326" s="1877"/>
      <c r="CR326" s="1877"/>
      <c r="CS326" s="1877"/>
      <c r="CT326" s="1877"/>
      <c r="CU326" s="1877"/>
      <c r="CV326" s="1877"/>
      <c r="CW326" s="1877"/>
      <c r="CX326" s="1877"/>
      <c r="CY326" s="1877"/>
      <c r="CZ326" s="1877"/>
      <c r="DA326" s="1877"/>
      <c r="DB326" s="1877"/>
      <c r="DC326" s="1877"/>
      <c r="DD326" s="1877"/>
      <c r="DE326" s="1877"/>
      <c r="DF326" s="1877"/>
      <c r="DG326" s="1877"/>
      <c r="DH326" s="1877"/>
      <c r="DI326" s="1877"/>
      <c r="DJ326" s="1877"/>
      <c r="DK326" s="1877"/>
      <c r="DL326" s="1877"/>
      <c r="DM326" s="1877"/>
      <c r="DN326" s="1877"/>
      <c r="DO326" s="1877"/>
      <c r="DP326" s="1877"/>
      <c r="DQ326" s="1877"/>
      <c r="DR326" s="1877"/>
      <c r="DS326" s="1877"/>
      <c r="DT326" s="1877"/>
      <c r="DU326" s="1877"/>
      <c r="DV326" s="1877"/>
      <c r="DW326" s="1877"/>
      <c r="DX326" s="1877"/>
      <c r="DY326" s="1877"/>
      <c r="DZ326" s="1877"/>
      <c r="EA326" s="1877"/>
      <c r="EB326" s="1877"/>
      <c r="EC326" s="1877"/>
      <c r="ED326" s="1877"/>
      <c r="EE326" s="1877"/>
      <c r="EF326" s="1877"/>
      <c r="EG326" s="1877"/>
      <c r="EH326" s="1877"/>
      <c r="EI326" s="1877"/>
      <c r="EJ326" s="1877"/>
      <c r="EK326" s="1877"/>
      <c r="EL326" s="1877"/>
      <c r="EM326" s="1877"/>
      <c r="EN326" s="1877"/>
      <c r="EO326" s="1877"/>
      <c r="EP326" s="1877"/>
      <c r="EQ326" s="1877"/>
      <c r="ER326" s="1877"/>
      <c r="ES326" s="1877"/>
      <c r="ET326" s="1877"/>
      <c r="EU326" s="1877"/>
      <c r="EV326" s="1877"/>
      <c r="EW326" s="1877"/>
      <c r="EX326" s="1877"/>
      <c r="EY326" s="1877"/>
      <c r="EZ326" s="1877"/>
      <c r="FA326" s="1877"/>
      <c r="FB326" s="1877"/>
      <c r="FC326" s="1877"/>
      <c r="FD326" s="1877"/>
      <c r="FE326" s="1877"/>
      <c r="FF326" s="1877"/>
      <c r="FG326" s="1877"/>
      <c r="FH326" s="1877"/>
      <c r="FI326" s="1877"/>
      <c r="FJ326" s="1877"/>
      <c r="FK326" s="1877"/>
      <c r="FL326" s="1877"/>
      <c r="FM326" s="1877"/>
      <c r="FN326" s="1877"/>
      <c r="FO326" s="1877"/>
      <c r="FP326" s="1877"/>
      <c r="FQ326" s="1877"/>
      <c r="FR326" s="1877"/>
      <c r="FS326" s="1877"/>
      <c r="FT326" s="1877"/>
      <c r="FU326" s="1877"/>
      <c r="FV326" s="1877"/>
      <c r="FW326" s="1877"/>
      <c r="FX326" s="1877"/>
      <c r="FY326" s="1877"/>
      <c r="FZ326" s="1877"/>
      <c r="GA326" s="1877"/>
      <c r="GB326" s="1877"/>
      <c r="GC326" s="1877"/>
      <c r="GD326" s="1877"/>
      <c r="GE326" s="1877"/>
      <c r="GF326" s="1877"/>
      <c r="GG326" s="1877"/>
      <c r="GH326" s="1877"/>
      <c r="GI326" s="1877"/>
      <c r="GJ326" s="1877"/>
      <c r="GK326" s="1877"/>
      <c r="GL326" s="1877"/>
      <c r="GM326" s="1877"/>
      <c r="GN326" s="1877"/>
      <c r="GO326" s="1877"/>
      <c r="GP326" s="1877"/>
      <c r="GQ326" s="1877"/>
      <c r="GR326" s="1877"/>
      <c r="GS326" s="1877"/>
      <c r="GT326" s="1877"/>
      <c r="GU326" s="1877"/>
      <c r="GV326" s="1877"/>
      <c r="GW326" s="1877"/>
      <c r="GX326" s="1877"/>
      <c r="GY326" s="1877"/>
      <c r="GZ326" s="1877"/>
      <c r="HA326" s="1877"/>
      <c r="HB326" s="1877"/>
      <c r="HC326" s="1877"/>
      <c r="HD326" s="1877"/>
      <c r="HE326" s="1877"/>
      <c r="HF326" s="1877"/>
      <c r="HG326" s="1877"/>
      <c r="HH326" s="1877"/>
      <c r="HI326" s="1877"/>
      <c r="HJ326" s="1877"/>
      <c r="HK326" s="1877"/>
      <c r="HL326" s="1877"/>
      <c r="HM326" s="1877"/>
      <c r="HN326" s="1877"/>
      <c r="HO326" s="1877"/>
      <c r="HP326" s="1877"/>
      <c r="HQ326" s="1877"/>
      <c r="HR326" s="1877"/>
      <c r="HS326" s="1877"/>
      <c r="HT326" s="1877"/>
      <c r="HU326" s="1877"/>
      <c r="HV326" s="1877"/>
      <c r="HW326" s="1877"/>
      <c r="HX326" s="1877"/>
      <c r="HY326" s="1877"/>
      <c r="HZ326" s="1877"/>
      <c r="IA326" s="1877"/>
      <c r="IB326" s="1877"/>
      <c r="IC326" s="1877"/>
      <c r="ID326" s="1877"/>
      <c r="IE326" s="1877"/>
      <c r="IF326" s="1877"/>
      <c r="IG326" s="1877"/>
      <c r="IH326" s="1877"/>
      <c r="II326" s="1877"/>
      <c r="IJ326" s="1877"/>
      <c r="IK326" s="1877"/>
      <c r="IL326" s="1877"/>
    </row>
    <row r="327" spans="1:246" s="1855" customFormat="1" ht="26.25">
      <c r="A327" s="1884"/>
      <c r="B327" s="1918"/>
      <c r="C327" s="1909" t="s">
        <v>1579</v>
      </c>
      <c r="D327" s="1910"/>
      <c r="E327" s="1985"/>
      <c r="F327" s="2078"/>
      <c r="G327" s="1985"/>
      <c r="H327" s="1912"/>
      <c r="I327" s="1912"/>
      <c r="J327" s="1912"/>
      <c r="K327" s="1912"/>
      <c r="L327" s="1912"/>
      <c r="M327" s="1912"/>
      <c r="N327" s="1912"/>
      <c r="O327" s="1912"/>
      <c r="P327" s="1912"/>
      <c r="Q327" s="1912"/>
      <c r="R327" s="1912"/>
      <c r="S327" s="1980">
        <f t="shared" si="109"/>
        <v>0</v>
      </c>
      <c r="T327" s="2169"/>
      <c r="U327" s="2178">
        <f t="shared" si="75"/>
        <v>0</v>
      </c>
      <c r="V327" s="1854"/>
      <c r="W327" s="2003">
        <f t="shared" si="80"/>
        <v>0</v>
      </c>
      <c r="X327" s="1877"/>
      <c r="Y327" s="2008">
        <f t="shared" si="105"/>
        <v>0</v>
      </c>
      <c r="Z327" s="1877"/>
      <c r="AA327" s="1877"/>
      <c r="AB327" s="1877"/>
      <c r="AC327" s="1877"/>
      <c r="AD327" s="1877"/>
      <c r="AE327" s="1877"/>
      <c r="AF327" s="1877"/>
      <c r="AG327" s="1877"/>
      <c r="AH327" s="1877"/>
      <c r="AI327" s="1877"/>
      <c r="AJ327" s="1877"/>
      <c r="AK327" s="1877"/>
      <c r="AL327" s="1877"/>
      <c r="AM327" s="1877"/>
      <c r="AN327" s="1877"/>
      <c r="AO327" s="1877"/>
      <c r="AP327" s="1877"/>
      <c r="AQ327" s="1877"/>
      <c r="AR327" s="1877"/>
      <c r="AS327" s="1877"/>
      <c r="AT327" s="1877"/>
      <c r="AU327" s="1877"/>
      <c r="AV327" s="1877"/>
      <c r="AW327" s="1877"/>
      <c r="AX327" s="1877"/>
      <c r="AY327" s="1877"/>
      <c r="AZ327" s="1877"/>
      <c r="BA327" s="1877"/>
      <c r="BB327" s="1877"/>
      <c r="BC327" s="1877"/>
      <c r="BD327" s="1877"/>
      <c r="BE327" s="1877"/>
      <c r="BF327" s="1877"/>
      <c r="BG327" s="1877"/>
      <c r="BH327" s="1877"/>
      <c r="BI327" s="1877"/>
      <c r="BJ327" s="1877"/>
      <c r="BK327" s="1877"/>
      <c r="BL327" s="1877"/>
      <c r="BM327" s="1877"/>
      <c r="BN327" s="1877"/>
      <c r="BO327" s="1877"/>
      <c r="BP327" s="1877"/>
      <c r="BQ327" s="1877"/>
      <c r="BR327" s="1877"/>
      <c r="BS327" s="1877"/>
      <c r="BT327" s="1877"/>
      <c r="BU327" s="1877"/>
      <c r="BV327" s="1877"/>
      <c r="BW327" s="1877"/>
      <c r="BX327" s="1877"/>
      <c r="BY327" s="1877"/>
      <c r="BZ327" s="1877"/>
      <c r="CA327" s="1877"/>
      <c r="CB327" s="1877"/>
      <c r="CC327" s="1877"/>
      <c r="CD327" s="1877"/>
      <c r="CE327" s="1877"/>
      <c r="CF327" s="1877"/>
      <c r="CG327" s="1877"/>
      <c r="CH327" s="1877"/>
      <c r="CI327" s="1877"/>
      <c r="CJ327" s="1877"/>
      <c r="CK327" s="1877"/>
      <c r="CL327" s="1877"/>
      <c r="CM327" s="1877"/>
      <c r="CN327" s="1877"/>
      <c r="CO327" s="1877"/>
      <c r="CP327" s="1877"/>
      <c r="CQ327" s="1877"/>
      <c r="CR327" s="1877"/>
      <c r="CS327" s="1877"/>
      <c r="CT327" s="1877"/>
      <c r="CU327" s="1877"/>
      <c r="CV327" s="1877"/>
      <c r="CW327" s="1877"/>
      <c r="CX327" s="1877"/>
      <c r="CY327" s="1877"/>
      <c r="CZ327" s="1877"/>
      <c r="DA327" s="1877"/>
      <c r="DB327" s="1877"/>
      <c r="DC327" s="1877"/>
      <c r="DD327" s="1877"/>
      <c r="DE327" s="1877"/>
      <c r="DF327" s="1877"/>
      <c r="DG327" s="1877"/>
      <c r="DH327" s="1877"/>
      <c r="DI327" s="1877"/>
      <c r="DJ327" s="1877"/>
      <c r="DK327" s="1877"/>
      <c r="DL327" s="1877"/>
      <c r="DM327" s="1877"/>
      <c r="DN327" s="1877"/>
      <c r="DO327" s="1877"/>
      <c r="DP327" s="1877"/>
      <c r="DQ327" s="1877"/>
      <c r="DR327" s="1877"/>
      <c r="DS327" s="1877"/>
      <c r="DT327" s="1877"/>
      <c r="DU327" s="1877"/>
      <c r="DV327" s="1877"/>
      <c r="DW327" s="1877"/>
      <c r="DX327" s="1877"/>
      <c r="DY327" s="1877"/>
      <c r="DZ327" s="1877"/>
      <c r="EA327" s="1877"/>
      <c r="EB327" s="1877"/>
      <c r="EC327" s="1877"/>
      <c r="ED327" s="1877"/>
      <c r="EE327" s="1877"/>
      <c r="EF327" s="1877"/>
      <c r="EG327" s="1877"/>
      <c r="EH327" s="1877"/>
      <c r="EI327" s="1877"/>
      <c r="EJ327" s="1877"/>
      <c r="EK327" s="1877"/>
      <c r="EL327" s="1877"/>
      <c r="EM327" s="1877"/>
      <c r="EN327" s="1877"/>
      <c r="EO327" s="1877"/>
      <c r="EP327" s="1877"/>
      <c r="EQ327" s="1877"/>
      <c r="ER327" s="1877"/>
      <c r="ES327" s="1877"/>
      <c r="ET327" s="1877"/>
      <c r="EU327" s="1877"/>
      <c r="EV327" s="1877"/>
      <c r="EW327" s="1877"/>
      <c r="EX327" s="1877"/>
      <c r="EY327" s="1877"/>
      <c r="EZ327" s="1877"/>
      <c r="FA327" s="1877"/>
      <c r="FB327" s="1877"/>
      <c r="FC327" s="1877"/>
      <c r="FD327" s="1877"/>
      <c r="FE327" s="1877"/>
      <c r="FF327" s="1877"/>
      <c r="FG327" s="1877"/>
      <c r="FH327" s="1877"/>
      <c r="FI327" s="1877"/>
      <c r="FJ327" s="1877"/>
      <c r="FK327" s="1877"/>
      <c r="FL327" s="1877"/>
      <c r="FM327" s="1877"/>
      <c r="FN327" s="1877"/>
      <c r="FO327" s="1877"/>
      <c r="FP327" s="1877"/>
      <c r="FQ327" s="1877"/>
      <c r="FR327" s="1877"/>
      <c r="FS327" s="1877"/>
      <c r="FT327" s="1877"/>
      <c r="FU327" s="1877"/>
      <c r="FV327" s="1877"/>
      <c r="FW327" s="1877"/>
      <c r="FX327" s="1877"/>
      <c r="FY327" s="1877"/>
      <c r="FZ327" s="1877"/>
      <c r="GA327" s="1877"/>
      <c r="GB327" s="1877"/>
      <c r="GC327" s="1877"/>
      <c r="GD327" s="1877"/>
      <c r="GE327" s="1877"/>
      <c r="GF327" s="1877"/>
      <c r="GG327" s="1877"/>
      <c r="GH327" s="1877"/>
      <c r="GI327" s="1877"/>
      <c r="GJ327" s="1877"/>
      <c r="GK327" s="1877"/>
      <c r="GL327" s="1877"/>
      <c r="GM327" s="1877"/>
      <c r="GN327" s="1877"/>
      <c r="GO327" s="1877"/>
      <c r="GP327" s="1877"/>
      <c r="GQ327" s="1877"/>
      <c r="GR327" s="1877"/>
      <c r="GS327" s="1877"/>
      <c r="GT327" s="1877"/>
      <c r="GU327" s="1877"/>
      <c r="GV327" s="1877"/>
      <c r="GW327" s="1877"/>
      <c r="GX327" s="1877"/>
      <c r="GY327" s="1877"/>
      <c r="GZ327" s="1877"/>
      <c r="HA327" s="1877"/>
      <c r="HB327" s="1877"/>
      <c r="HC327" s="1877"/>
      <c r="HD327" s="1877"/>
      <c r="HE327" s="1877"/>
      <c r="HF327" s="1877"/>
      <c r="HG327" s="1877"/>
      <c r="HH327" s="1877"/>
      <c r="HI327" s="1877"/>
      <c r="HJ327" s="1877"/>
      <c r="HK327" s="1877"/>
      <c r="HL327" s="1877"/>
      <c r="HM327" s="1877"/>
      <c r="HN327" s="1877"/>
      <c r="HO327" s="1877"/>
      <c r="HP327" s="1877"/>
      <c r="HQ327" s="1877"/>
      <c r="HR327" s="1877"/>
      <c r="HS327" s="1877"/>
      <c r="HT327" s="1877"/>
      <c r="HU327" s="1877"/>
      <c r="HV327" s="1877"/>
      <c r="HW327" s="1877"/>
      <c r="HX327" s="1877"/>
      <c r="HY327" s="1877"/>
      <c r="HZ327" s="1877"/>
      <c r="IA327" s="1877"/>
      <c r="IB327" s="1877"/>
      <c r="IC327" s="1877"/>
      <c r="ID327" s="1877"/>
      <c r="IE327" s="1877"/>
      <c r="IF327" s="1877"/>
      <c r="IG327" s="1877"/>
      <c r="IH327" s="1877"/>
      <c r="II327" s="1877"/>
      <c r="IJ327" s="1877"/>
      <c r="IK327" s="1877"/>
      <c r="IL327" s="1877"/>
    </row>
    <row r="328" spans="1:246" s="1855" customFormat="1" ht="26.25">
      <c r="A328" s="1884"/>
      <c r="B328" s="1918"/>
      <c r="C328" s="1909" t="s">
        <v>596</v>
      </c>
      <c r="D328" s="1910"/>
      <c r="E328" s="1985"/>
      <c r="F328" s="2078"/>
      <c r="G328" s="1985"/>
      <c r="H328" s="1912"/>
      <c r="I328" s="1912"/>
      <c r="J328" s="1912"/>
      <c r="K328" s="1912"/>
      <c r="L328" s="1912"/>
      <c r="M328" s="1912"/>
      <c r="N328" s="1912"/>
      <c r="O328" s="1912"/>
      <c r="P328" s="1912"/>
      <c r="Q328" s="1912"/>
      <c r="R328" s="1912"/>
      <c r="S328" s="1980">
        <f t="shared" si="109"/>
        <v>0</v>
      </c>
      <c r="T328" s="2169"/>
      <c r="U328" s="2178">
        <f t="shared" si="75"/>
        <v>0</v>
      </c>
      <c r="V328" s="1854"/>
      <c r="W328" s="2003">
        <f t="shared" si="80"/>
        <v>0</v>
      </c>
      <c r="X328" s="1877"/>
      <c r="Y328" s="2008">
        <f t="shared" si="105"/>
        <v>0</v>
      </c>
      <c r="Z328" s="1877"/>
      <c r="AA328" s="1877"/>
      <c r="AB328" s="1877"/>
      <c r="AC328" s="1877"/>
      <c r="AD328" s="1877"/>
      <c r="AE328" s="1877"/>
      <c r="AF328" s="1877"/>
      <c r="AG328" s="1877"/>
      <c r="AH328" s="1877"/>
      <c r="AI328" s="1877"/>
      <c r="AJ328" s="1877"/>
      <c r="AK328" s="1877"/>
      <c r="AL328" s="1877"/>
      <c r="AM328" s="1877"/>
      <c r="AN328" s="1877"/>
      <c r="AO328" s="1877"/>
      <c r="AP328" s="1877"/>
      <c r="AQ328" s="1877"/>
      <c r="AR328" s="1877"/>
      <c r="AS328" s="1877"/>
      <c r="AT328" s="1877"/>
      <c r="AU328" s="1877"/>
      <c r="AV328" s="1877"/>
      <c r="AW328" s="1877"/>
      <c r="AX328" s="1877"/>
      <c r="AY328" s="1877"/>
      <c r="AZ328" s="1877"/>
      <c r="BA328" s="1877"/>
      <c r="BB328" s="1877"/>
      <c r="BC328" s="1877"/>
      <c r="BD328" s="1877"/>
      <c r="BE328" s="1877"/>
      <c r="BF328" s="1877"/>
      <c r="BG328" s="1877"/>
      <c r="BH328" s="1877"/>
      <c r="BI328" s="1877"/>
      <c r="BJ328" s="1877"/>
      <c r="BK328" s="1877"/>
      <c r="BL328" s="1877"/>
      <c r="BM328" s="1877"/>
      <c r="BN328" s="1877"/>
      <c r="BO328" s="1877"/>
      <c r="BP328" s="1877"/>
      <c r="BQ328" s="1877"/>
      <c r="BR328" s="1877"/>
      <c r="BS328" s="1877"/>
      <c r="BT328" s="1877"/>
      <c r="BU328" s="1877"/>
      <c r="BV328" s="1877"/>
      <c r="BW328" s="1877"/>
      <c r="BX328" s="1877"/>
      <c r="BY328" s="1877"/>
      <c r="BZ328" s="1877"/>
      <c r="CA328" s="1877"/>
      <c r="CB328" s="1877"/>
      <c r="CC328" s="1877"/>
      <c r="CD328" s="1877"/>
      <c r="CE328" s="1877"/>
      <c r="CF328" s="1877"/>
      <c r="CG328" s="1877"/>
      <c r="CH328" s="1877"/>
      <c r="CI328" s="1877"/>
      <c r="CJ328" s="1877"/>
      <c r="CK328" s="1877"/>
      <c r="CL328" s="1877"/>
      <c r="CM328" s="1877"/>
      <c r="CN328" s="1877"/>
      <c r="CO328" s="1877"/>
      <c r="CP328" s="1877"/>
      <c r="CQ328" s="1877"/>
      <c r="CR328" s="1877"/>
      <c r="CS328" s="1877"/>
      <c r="CT328" s="1877"/>
      <c r="CU328" s="1877"/>
      <c r="CV328" s="1877"/>
      <c r="CW328" s="1877"/>
      <c r="CX328" s="1877"/>
      <c r="CY328" s="1877"/>
      <c r="CZ328" s="1877"/>
      <c r="DA328" s="1877"/>
      <c r="DB328" s="1877"/>
      <c r="DC328" s="1877"/>
      <c r="DD328" s="1877"/>
      <c r="DE328" s="1877"/>
      <c r="DF328" s="1877"/>
      <c r="DG328" s="1877"/>
      <c r="DH328" s="1877"/>
      <c r="DI328" s="1877"/>
      <c r="DJ328" s="1877"/>
      <c r="DK328" s="1877"/>
      <c r="DL328" s="1877"/>
      <c r="DM328" s="1877"/>
      <c r="DN328" s="1877"/>
      <c r="DO328" s="1877"/>
      <c r="DP328" s="1877"/>
      <c r="DQ328" s="1877"/>
      <c r="DR328" s="1877"/>
      <c r="DS328" s="1877"/>
      <c r="DT328" s="1877"/>
      <c r="DU328" s="1877"/>
      <c r="DV328" s="1877"/>
      <c r="DW328" s="1877"/>
      <c r="DX328" s="1877"/>
      <c r="DY328" s="1877"/>
      <c r="DZ328" s="1877"/>
      <c r="EA328" s="1877"/>
      <c r="EB328" s="1877"/>
      <c r="EC328" s="1877"/>
      <c r="ED328" s="1877"/>
      <c r="EE328" s="1877"/>
      <c r="EF328" s="1877"/>
      <c r="EG328" s="1877"/>
      <c r="EH328" s="1877"/>
      <c r="EI328" s="1877"/>
      <c r="EJ328" s="1877"/>
      <c r="EK328" s="1877"/>
      <c r="EL328" s="1877"/>
      <c r="EM328" s="1877"/>
      <c r="EN328" s="1877"/>
      <c r="EO328" s="1877"/>
      <c r="EP328" s="1877"/>
      <c r="EQ328" s="1877"/>
      <c r="ER328" s="1877"/>
      <c r="ES328" s="1877"/>
      <c r="ET328" s="1877"/>
      <c r="EU328" s="1877"/>
      <c r="EV328" s="1877"/>
      <c r="EW328" s="1877"/>
      <c r="EX328" s="1877"/>
      <c r="EY328" s="1877"/>
      <c r="EZ328" s="1877"/>
      <c r="FA328" s="1877"/>
      <c r="FB328" s="1877"/>
      <c r="FC328" s="1877"/>
      <c r="FD328" s="1877"/>
      <c r="FE328" s="1877"/>
      <c r="FF328" s="1877"/>
      <c r="FG328" s="1877"/>
      <c r="FH328" s="1877"/>
      <c r="FI328" s="1877"/>
      <c r="FJ328" s="1877"/>
      <c r="FK328" s="1877"/>
      <c r="FL328" s="1877"/>
      <c r="FM328" s="1877"/>
      <c r="FN328" s="1877"/>
      <c r="FO328" s="1877"/>
      <c r="FP328" s="1877"/>
      <c r="FQ328" s="1877"/>
      <c r="FR328" s="1877"/>
      <c r="FS328" s="1877"/>
      <c r="FT328" s="1877"/>
      <c r="FU328" s="1877"/>
      <c r="FV328" s="1877"/>
      <c r="FW328" s="1877"/>
      <c r="FX328" s="1877"/>
      <c r="FY328" s="1877"/>
      <c r="FZ328" s="1877"/>
      <c r="GA328" s="1877"/>
      <c r="GB328" s="1877"/>
      <c r="GC328" s="1877"/>
      <c r="GD328" s="1877"/>
      <c r="GE328" s="1877"/>
      <c r="GF328" s="1877"/>
      <c r="GG328" s="1877"/>
      <c r="GH328" s="1877"/>
      <c r="GI328" s="1877"/>
      <c r="GJ328" s="1877"/>
      <c r="GK328" s="1877"/>
      <c r="GL328" s="1877"/>
      <c r="GM328" s="1877"/>
      <c r="GN328" s="1877"/>
      <c r="GO328" s="1877"/>
      <c r="GP328" s="1877"/>
      <c r="GQ328" s="1877"/>
      <c r="GR328" s="1877"/>
      <c r="GS328" s="1877"/>
      <c r="GT328" s="1877"/>
      <c r="GU328" s="1877"/>
      <c r="GV328" s="1877"/>
      <c r="GW328" s="1877"/>
      <c r="GX328" s="1877"/>
      <c r="GY328" s="1877"/>
      <c r="GZ328" s="1877"/>
      <c r="HA328" s="1877"/>
      <c r="HB328" s="1877"/>
      <c r="HC328" s="1877"/>
      <c r="HD328" s="1877"/>
      <c r="HE328" s="1877"/>
      <c r="HF328" s="1877"/>
      <c r="HG328" s="1877"/>
      <c r="HH328" s="1877"/>
      <c r="HI328" s="1877"/>
      <c r="HJ328" s="1877"/>
      <c r="HK328" s="1877"/>
      <c r="HL328" s="1877"/>
      <c r="HM328" s="1877"/>
      <c r="HN328" s="1877"/>
      <c r="HO328" s="1877"/>
      <c r="HP328" s="1877"/>
      <c r="HQ328" s="1877"/>
      <c r="HR328" s="1877"/>
      <c r="HS328" s="1877"/>
      <c r="HT328" s="1877"/>
      <c r="HU328" s="1877"/>
      <c r="HV328" s="1877"/>
      <c r="HW328" s="1877"/>
      <c r="HX328" s="1877"/>
      <c r="HY328" s="1877"/>
      <c r="HZ328" s="1877"/>
      <c r="IA328" s="1877"/>
      <c r="IB328" s="1877"/>
      <c r="IC328" s="1877"/>
      <c r="ID328" s="1877"/>
      <c r="IE328" s="1877"/>
      <c r="IF328" s="1877"/>
      <c r="IG328" s="1877"/>
      <c r="IH328" s="1877"/>
      <c r="II328" s="1877"/>
      <c r="IJ328" s="1877"/>
      <c r="IK328" s="1877"/>
      <c r="IL328" s="1877"/>
    </row>
    <row r="329" spans="1:246" s="1855" customFormat="1" ht="26.25">
      <c r="A329" s="1884"/>
      <c r="B329" s="1918"/>
      <c r="C329" s="1909" t="s">
        <v>2729</v>
      </c>
      <c r="D329" s="1910"/>
      <c r="E329" s="1985"/>
      <c r="F329" s="2078"/>
      <c r="G329" s="1985"/>
      <c r="H329" s="1912"/>
      <c r="I329" s="1912"/>
      <c r="J329" s="1912"/>
      <c r="K329" s="1912"/>
      <c r="L329" s="1912"/>
      <c r="M329" s="1912"/>
      <c r="N329" s="1912"/>
      <c r="O329" s="1912"/>
      <c r="P329" s="1912"/>
      <c r="Q329" s="1912"/>
      <c r="R329" s="1912"/>
      <c r="S329" s="1980">
        <f t="shared" si="109"/>
        <v>0</v>
      </c>
      <c r="T329" s="2169"/>
      <c r="U329" s="2178">
        <f t="shared" ref="U329:U390" si="116">+S329-T329</f>
        <v>0</v>
      </c>
      <c r="V329" s="1854"/>
      <c r="W329" s="2003">
        <f t="shared" si="80"/>
        <v>0</v>
      </c>
      <c r="X329" s="1877"/>
      <c r="Y329" s="2008">
        <f t="shared" si="105"/>
        <v>0</v>
      </c>
      <c r="Z329" s="1877"/>
      <c r="AA329" s="1877"/>
      <c r="AB329" s="1877"/>
      <c r="AC329" s="1877"/>
      <c r="AD329" s="1877"/>
      <c r="AE329" s="1877"/>
      <c r="AF329" s="1877"/>
      <c r="AG329" s="1877"/>
      <c r="AH329" s="1877"/>
      <c r="AI329" s="1877"/>
      <c r="AJ329" s="1877"/>
      <c r="AK329" s="1877"/>
      <c r="AL329" s="1877"/>
      <c r="AM329" s="1877"/>
      <c r="AN329" s="1877"/>
      <c r="AO329" s="1877"/>
      <c r="AP329" s="1877"/>
      <c r="AQ329" s="1877"/>
      <c r="AR329" s="1877"/>
      <c r="AS329" s="1877"/>
      <c r="AT329" s="1877"/>
      <c r="AU329" s="1877"/>
      <c r="AV329" s="1877"/>
      <c r="AW329" s="1877"/>
      <c r="AX329" s="1877"/>
      <c r="AY329" s="1877"/>
      <c r="AZ329" s="1877"/>
      <c r="BA329" s="1877"/>
      <c r="BB329" s="1877"/>
      <c r="BC329" s="1877"/>
      <c r="BD329" s="1877"/>
      <c r="BE329" s="1877"/>
      <c r="BF329" s="1877"/>
      <c r="BG329" s="1877"/>
      <c r="BH329" s="1877"/>
      <c r="BI329" s="1877"/>
      <c r="BJ329" s="1877"/>
      <c r="BK329" s="1877"/>
      <c r="BL329" s="1877"/>
      <c r="BM329" s="1877"/>
      <c r="BN329" s="1877"/>
      <c r="BO329" s="1877"/>
      <c r="BP329" s="1877"/>
      <c r="BQ329" s="1877"/>
      <c r="BR329" s="1877"/>
      <c r="BS329" s="1877"/>
      <c r="BT329" s="1877"/>
      <c r="BU329" s="1877"/>
      <c r="BV329" s="1877"/>
      <c r="BW329" s="1877"/>
      <c r="BX329" s="1877"/>
      <c r="BY329" s="1877"/>
      <c r="BZ329" s="1877"/>
      <c r="CA329" s="1877"/>
      <c r="CB329" s="1877"/>
      <c r="CC329" s="1877"/>
      <c r="CD329" s="1877"/>
      <c r="CE329" s="1877"/>
      <c r="CF329" s="1877"/>
      <c r="CG329" s="1877"/>
      <c r="CH329" s="1877"/>
      <c r="CI329" s="1877"/>
      <c r="CJ329" s="1877"/>
      <c r="CK329" s="1877"/>
      <c r="CL329" s="1877"/>
      <c r="CM329" s="1877"/>
      <c r="CN329" s="1877"/>
      <c r="CO329" s="1877"/>
      <c r="CP329" s="1877"/>
      <c r="CQ329" s="1877"/>
      <c r="CR329" s="1877"/>
      <c r="CS329" s="1877"/>
      <c r="CT329" s="1877"/>
      <c r="CU329" s="1877"/>
      <c r="CV329" s="1877"/>
      <c r="CW329" s="1877"/>
      <c r="CX329" s="1877"/>
      <c r="CY329" s="1877"/>
      <c r="CZ329" s="1877"/>
      <c r="DA329" s="1877"/>
      <c r="DB329" s="1877"/>
      <c r="DC329" s="1877"/>
      <c r="DD329" s="1877"/>
      <c r="DE329" s="1877"/>
      <c r="DF329" s="1877"/>
      <c r="DG329" s="1877"/>
      <c r="DH329" s="1877"/>
      <c r="DI329" s="1877"/>
      <c r="DJ329" s="1877"/>
      <c r="DK329" s="1877"/>
      <c r="DL329" s="1877"/>
      <c r="DM329" s="1877"/>
      <c r="DN329" s="1877"/>
      <c r="DO329" s="1877"/>
      <c r="DP329" s="1877"/>
      <c r="DQ329" s="1877"/>
      <c r="DR329" s="1877"/>
      <c r="DS329" s="1877"/>
      <c r="DT329" s="1877"/>
      <c r="DU329" s="1877"/>
      <c r="DV329" s="1877"/>
      <c r="DW329" s="1877"/>
      <c r="DX329" s="1877"/>
      <c r="DY329" s="1877"/>
      <c r="DZ329" s="1877"/>
      <c r="EA329" s="1877"/>
      <c r="EB329" s="1877"/>
      <c r="EC329" s="1877"/>
      <c r="ED329" s="1877"/>
      <c r="EE329" s="1877"/>
      <c r="EF329" s="1877"/>
      <c r="EG329" s="1877"/>
      <c r="EH329" s="1877"/>
      <c r="EI329" s="1877"/>
      <c r="EJ329" s="1877"/>
      <c r="EK329" s="1877"/>
      <c r="EL329" s="1877"/>
      <c r="EM329" s="1877"/>
      <c r="EN329" s="1877"/>
      <c r="EO329" s="1877"/>
      <c r="EP329" s="1877"/>
      <c r="EQ329" s="1877"/>
      <c r="ER329" s="1877"/>
      <c r="ES329" s="1877"/>
      <c r="ET329" s="1877"/>
      <c r="EU329" s="1877"/>
      <c r="EV329" s="1877"/>
      <c r="EW329" s="1877"/>
      <c r="EX329" s="1877"/>
      <c r="EY329" s="1877"/>
      <c r="EZ329" s="1877"/>
      <c r="FA329" s="1877"/>
      <c r="FB329" s="1877"/>
      <c r="FC329" s="1877"/>
      <c r="FD329" s="1877"/>
      <c r="FE329" s="1877"/>
      <c r="FF329" s="1877"/>
      <c r="FG329" s="1877"/>
      <c r="FH329" s="1877"/>
      <c r="FI329" s="1877"/>
      <c r="FJ329" s="1877"/>
      <c r="FK329" s="1877"/>
      <c r="FL329" s="1877"/>
      <c r="FM329" s="1877"/>
      <c r="FN329" s="1877"/>
      <c r="FO329" s="1877"/>
      <c r="FP329" s="1877"/>
      <c r="FQ329" s="1877"/>
      <c r="FR329" s="1877"/>
      <c r="FS329" s="1877"/>
      <c r="FT329" s="1877"/>
      <c r="FU329" s="1877"/>
      <c r="FV329" s="1877"/>
      <c r="FW329" s="1877"/>
      <c r="FX329" s="1877"/>
      <c r="FY329" s="1877"/>
      <c r="FZ329" s="1877"/>
      <c r="GA329" s="1877"/>
      <c r="GB329" s="1877"/>
      <c r="GC329" s="1877"/>
      <c r="GD329" s="1877"/>
      <c r="GE329" s="1877"/>
      <c r="GF329" s="1877"/>
      <c r="GG329" s="1877"/>
      <c r="GH329" s="1877"/>
      <c r="GI329" s="1877"/>
      <c r="GJ329" s="1877"/>
      <c r="GK329" s="1877"/>
      <c r="GL329" s="1877"/>
      <c r="GM329" s="1877"/>
      <c r="GN329" s="1877"/>
      <c r="GO329" s="1877"/>
      <c r="GP329" s="1877"/>
      <c r="GQ329" s="1877"/>
      <c r="GR329" s="1877"/>
      <c r="GS329" s="1877"/>
      <c r="GT329" s="1877"/>
      <c r="GU329" s="1877"/>
      <c r="GV329" s="1877"/>
      <c r="GW329" s="1877"/>
      <c r="GX329" s="1877"/>
      <c r="GY329" s="1877"/>
      <c r="GZ329" s="1877"/>
      <c r="HA329" s="1877"/>
      <c r="HB329" s="1877"/>
      <c r="HC329" s="1877"/>
      <c r="HD329" s="1877"/>
      <c r="HE329" s="1877"/>
      <c r="HF329" s="1877"/>
      <c r="HG329" s="1877"/>
      <c r="HH329" s="1877"/>
      <c r="HI329" s="1877"/>
      <c r="HJ329" s="1877"/>
      <c r="HK329" s="1877"/>
      <c r="HL329" s="1877"/>
      <c r="HM329" s="1877"/>
      <c r="HN329" s="1877"/>
      <c r="HO329" s="1877"/>
      <c r="HP329" s="1877"/>
      <c r="HQ329" s="1877"/>
      <c r="HR329" s="1877"/>
      <c r="HS329" s="1877"/>
      <c r="HT329" s="1877"/>
      <c r="HU329" s="1877"/>
      <c r="HV329" s="1877"/>
      <c r="HW329" s="1877"/>
      <c r="HX329" s="1877"/>
      <c r="HY329" s="1877"/>
      <c r="HZ329" s="1877"/>
      <c r="IA329" s="1877"/>
      <c r="IB329" s="1877"/>
      <c r="IC329" s="1877"/>
      <c r="ID329" s="1877"/>
      <c r="IE329" s="1877"/>
      <c r="IF329" s="1877"/>
      <c r="IG329" s="1877"/>
      <c r="IH329" s="1877"/>
      <c r="II329" s="1877"/>
      <c r="IJ329" s="1877"/>
      <c r="IK329" s="1877"/>
      <c r="IL329" s="1877"/>
    </row>
    <row r="330" spans="1:246" s="1855" customFormat="1" ht="26.25">
      <c r="A330" s="1884"/>
      <c r="B330" s="1918"/>
      <c r="C330" s="1909" t="s">
        <v>2728</v>
      </c>
      <c r="D330" s="1910"/>
      <c r="E330" s="1985"/>
      <c r="F330" s="2078"/>
      <c r="G330" s="1985"/>
      <c r="H330" s="1912"/>
      <c r="I330" s="1912"/>
      <c r="J330" s="1912"/>
      <c r="K330" s="1912"/>
      <c r="L330" s="1912"/>
      <c r="M330" s="1912"/>
      <c r="N330" s="1912"/>
      <c r="O330" s="1912"/>
      <c r="P330" s="1912"/>
      <c r="Q330" s="1912"/>
      <c r="R330" s="1912"/>
      <c r="S330" s="1980">
        <f t="shared" si="109"/>
        <v>0</v>
      </c>
      <c r="T330" s="2169"/>
      <c r="U330" s="2178">
        <f t="shared" si="116"/>
        <v>0</v>
      </c>
      <c r="V330" s="1854"/>
      <c r="W330" s="2003">
        <f t="shared" si="80"/>
        <v>0</v>
      </c>
      <c r="X330" s="1877"/>
      <c r="Y330" s="2008">
        <f t="shared" si="105"/>
        <v>0</v>
      </c>
      <c r="Z330" s="1877"/>
      <c r="AA330" s="1877"/>
      <c r="AB330" s="1877"/>
      <c r="AC330" s="1877"/>
      <c r="AD330" s="1877"/>
      <c r="AE330" s="1877"/>
      <c r="AF330" s="1877"/>
      <c r="AG330" s="1877"/>
      <c r="AH330" s="1877"/>
      <c r="AI330" s="1877"/>
      <c r="AJ330" s="1877"/>
      <c r="AK330" s="1877"/>
      <c r="AL330" s="1877"/>
      <c r="AM330" s="1877"/>
      <c r="AN330" s="1877"/>
      <c r="AO330" s="1877"/>
      <c r="AP330" s="1877"/>
      <c r="AQ330" s="1877"/>
      <c r="AR330" s="1877"/>
      <c r="AS330" s="1877"/>
      <c r="AT330" s="1877"/>
      <c r="AU330" s="1877"/>
      <c r="AV330" s="1877"/>
      <c r="AW330" s="1877"/>
      <c r="AX330" s="1877"/>
      <c r="AY330" s="1877"/>
      <c r="AZ330" s="1877"/>
      <c r="BA330" s="1877"/>
      <c r="BB330" s="1877"/>
      <c r="BC330" s="1877"/>
      <c r="BD330" s="1877"/>
      <c r="BE330" s="1877"/>
      <c r="BF330" s="1877"/>
      <c r="BG330" s="1877"/>
      <c r="BH330" s="1877"/>
      <c r="BI330" s="1877"/>
      <c r="BJ330" s="1877"/>
      <c r="BK330" s="1877"/>
      <c r="BL330" s="1877"/>
      <c r="BM330" s="1877"/>
      <c r="BN330" s="1877"/>
      <c r="BO330" s="1877"/>
      <c r="BP330" s="1877"/>
      <c r="BQ330" s="1877"/>
      <c r="BR330" s="1877"/>
      <c r="BS330" s="1877"/>
      <c r="BT330" s="1877"/>
      <c r="BU330" s="1877"/>
      <c r="BV330" s="1877"/>
      <c r="BW330" s="1877"/>
      <c r="BX330" s="1877"/>
      <c r="BY330" s="1877"/>
      <c r="BZ330" s="1877"/>
      <c r="CA330" s="1877"/>
      <c r="CB330" s="1877"/>
      <c r="CC330" s="1877"/>
      <c r="CD330" s="1877"/>
      <c r="CE330" s="1877"/>
      <c r="CF330" s="1877"/>
      <c r="CG330" s="1877"/>
      <c r="CH330" s="1877"/>
      <c r="CI330" s="1877"/>
      <c r="CJ330" s="1877"/>
      <c r="CK330" s="1877"/>
      <c r="CL330" s="1877"/>
      <c r="CM330" s="1877"/>
      <c r="CN330" s="1877"/>
      <c r="CO330" s="1877"/>
      <c r="CP330" s="1877"/>
      <c r="CQ330" s="1877"/>
      <c r="CR330" s="1877"/>
      <c r="CS330" s="1877"/>
      <c r="CT330" s="1877"/>
      <c r="CU330" s="1877"/>
      <c r="CV330" s="1877"/>
      <c r="CW330" s="1877"/>
      <c r="CX330" s="1877"/>
      <c r="CY330" s="1877"/>
      <c r="CZ330" s="1877"/>
      <c r="DA330" s="1877"/>
      <c r="DB330" s="1877"/>
      <c r="DC330" s="1877"/>
      <c r="DD330" s="1877"/>
      <c r="DE330" s="1877"/>
      <c r="DF330" s="1877"/>
      <c r="DG330" s="1877"/>
      <c r="DH330" s="1877"/>
      <c r="DI330" s="1877"/>
      <c r="DJ330" s="1877"/>
      <c r="DK330" s="1877"/>
      <c r="DL330" s="1877"/>
      <c r="DM330" s="1877"/>
      <c r="DN330" s="1877"/>
      <c r="DO330" s="1877"/>
      <c r="DP330" s="1877"/>
      <c r="DQ330" s="1877"/>
      <c r="DR330" s="1877"/>
      <c r="DS330" s="1877"/>
      <c r="DT330" s="1877"/>
      <c r="DU330" s="1877"/>
      <c r="DV330" s="1877"/>
      <c r="DW330" s="1877"/>
      <c r="DX330" s="1877"/>
      <c r="DY330" s="1877"/>
      <c r="DZ330" s="1877"/>
      <c r="EA330" s="1877"/>
      <c r="EB330" s="1877"/>
      <c r="EC330" s="1877"/>
      <c r="ED330" s="1877"/>
      <c r="EE330" s="1877"/>
      <c r="EF330" s="1877"/>
      <c r="EG330" s="1877"/>
      <c r="EH330" s="1877"/>
      <c r="EI330" s="1877"/>
      <c r="EJ330" s="1877"/>
      <c r="EK330" s="1877"/>
      <c r="EL330" s="1877"/>
      <c r="EM330" s="1877"/>
      <c r="EN330" s="1877"/>
      <c r="EO330" s="1877"/>
      <c r="EP330" s="1877"/>
      <c r="EQ330" s="1877"/>
      <c r="ER330" s="1877"/>
      <c r="ES330" s="1877"/>
      <c r="ET330" s="1877"/>
      <c r="EU330" s="1877"/>
      <c r="EV330" s="1877"/>
      <c r="EW330" s="1877"/>
      <c r="EX330" s="1877"/>
      <c r="EY330" s="1877"/>
      <c r="EZ330" s="1877"/>
      <c r="FA330" s="1877"/>
      <c r="FB330" s="1877"/>
      <c r="FC330" s="1877"/>
      <c r="FD330" s="1877"/>
      <c r="FE330" s="1877"/>
      <c r="FF330" s="1877"/>
      <c r="FG330" s="1877"/>
      <c r="FH330" s="1877"/>
      <c r="FI330" s="1877"/>
      <c r="FJ330" s="1877"/>
      <c r="FK330" s="1877"/>
      <c r="FL330" s="1877"/>
      <c r="FM330" s="1877"/>
      <c r="FN330" s="1877"/>
      <c r="FO330" s="1877"/>
      <c r="FP330" s="1877"/>
      <c r="FQ330" s="1877"/>
      <c r="FR330" s="1877"/>
      <c r="FS330" s="1877"/>
      <c r="FT330" s="1877"/>
      <c r="FU330" s="1877"/>
      <c r="FV330" s="1877"/>
      <c r="FW330" s="1877"/>
      <c r="FX330" s="1877"/>
      <c r="FY330" s="1877"/>
      <c r="FZ330" s="1877"/>
      <c r="GA330" s="1877"/>
      <c r="GB330" s="1877"/>
      <c r="GC330" s="1877"/>
      <c r="GD330" s="1877"/>
      <c r="GE330" s="1877"/>
      <c r="GF330" s="1877"/>
      <c r="GG330" s="1877"/>
      <c r="GH330" s="1877"/>
      <c r="GI330" s="1877"/>
      <c r="GJ330" s="1877"/>
      <c r="GK330" s="1877"/>
      <c r="GL330" s="1877"/>
      <c r="GM330" s="1877"/>
      <c r="GN330" s="1877"/>
      <c r="GO330" s="1877"/>
      <c r="GP330" s="1877"/>
      <c r="GQ330" s="1877"/>
      <c r="GR330" s="1877"/>
      <c r="GS330" s="1877"/>
      <c r="GT330" s="1877"/>
      <c r="GU330" s="1877"/>
      <c r="GV330" s="1877"/>
      <c r="GW330" s="1877"/>
      <c r="GX330" s="1877"/>
      <c r="GY330" s="1877"/>
      <c r="GZ330" s="1877"/>
      <c r="HA330" s="1877"/>
      <c r="HB330" s="1877"/>
      <c r="HC330" s="1877"/>
      <c r="HD330" s="1877"/>
      <c r="HE330" s="1877"/>
      <c r="HF330" s="1877"/>
      <c r="HG330" s="1877"/>
      <c r="HH330" s="1877"/>
      <c r="HI330" s="1877"/>
      <c r="HJ330" s="1877"/>
      <c r="HK330" s="1877"/>
      <c r="HL330" s="1877"/>
      <c r="HM330" s="1877"/>
      <c r="HN330" s="1877"/>
      <c r="HO330" s="1877"/>
      <c r="HP330" s="1877"/>
      <c r="HQ330" s="1877"/>
      <c r="HR330" s="1877"/>
      <c r="HS330" s="1877"/>
      <c r="HT330" s="1877"/>
      <c r="HU330" s="1877"/>
      <c r="HV330" s="1877"/>
      <c r="HW330" s="1877"/>
      <c r="HX330" s="1877"/>
      <c r="HY330" s="1877"/>
      <c r="HZ330" s="1877"/>
      <c r="IA330" s="1877"/>
      <c r="IB330" s="1877"/>
      <c r="IC330" s="1877"/>
      <c r="ID330" s="1877"/>
      <c r="IE330" s="1877"/>
      <c r="IF330" s="1877"/>
      <c r="IG330" s="1877"/>
      <c r="IH330" s="1877"/>
      <c r="II330" s="1877"/>
      <c r="IJ330" s="1877"/>
      <c r="IK330" s="1877"/>
      <c r="IL330" s="1877"/>
    </row>
    <row r="331" spans="1:246" s="1855" customFormat="1" ht="26.25">
      <c r="A331" s="1884"/>
      <c r="B331" s="1918"/>
      <c r="C331" s="1909" t="s">
        <v>2727</v>
      </c>
      <c r="D331" s="1910"/>
      <c r="E331" s="1912"/>
      <c r="F331" s="2072"/>
      <c r="G331" s="1912"/>
      <c r="H331" s="1912"/>
      <c r="I331" s="1912"/>
      <c r="J331" s="1912"/>
      <c r="K331" s="1912"/>
      <c r="L331" s="1912"/>
      <c r="M331" s="1912"/>
      <c r="N331" s="1912"/>
      <c r="O331" s="1912"/>
      <c r="P331" s="1912"/>
      <c r="Q331" s="1912"/>
      <c r="R331" s="1912"/>
      <c r="S331" s="1980">
        <f t="shared" si="109"/>
        <v>0</v>
      </c>
      <c r="T331" s="2169"/>
      <c r="U331" s="2178">
        <f t="shared" si="116"/>
        <v>0</v>
      </c>
      <c r="V331" s="1854"/>
      <c r="W331" s="2003">
        <f t="shared" si="80"/>
        <v>0</v>
      </c>
      <c r="X331" s="1877"/>
      <c r="Y331" s="2008">
        <f t="shared" si="105"/>
        <v>0</v>
      </c>
      <c r="Z331" s="1877"/>
      <c r="AA331" s="1877"/>
      <c r="AB331" s="1877"/>
      <c r="AC331" s="1877"/>
      <c r="AD331" s="1877"/>
      <c r="AE331" s="1877"/>
      <c r="AF331" s="1877"/>
      <c r="AG331" s="1877"/>
      <c r="AH331" s="1877"/>
      <c r="AI331" s="1877"/>
      <c r="AJ331" s="1877"/>
      <c r="AK331" s="1877"/>
      <c r="AL331" s="1877"/>
      <c r="AM331" s="1877"/>
      <c r="AN331" s="1877"/>
      <c r="AO331" s="1877"/>
      <c r="AP331" s="1877"/>
      <c r="AQ331" s="1877"/>
      <c r="AR331" s="1877"/>
      <c r="AS331" s="1877"/>
      <c r="AT331" s="1877"/>
      <c r="AU331" s="1877"/>
      <c r="AV331" s="1877"/>
      <c r="AW331" s="1877"/>
      <c r="AX331" s="1877"/>
      <c r="AY331" s="1877"/>
      <c r="AZ331" s="1877"/>
      <c r="BA331" s="1877"/>
      <c r="BB331" s="1877"/>
      <c r="BC331" s="1877"/>
      <c r="BD331" s="1877"/>
      <c r="BE331" s="1877"/>
      <c r="BF331" s="1877"/>
      <c r="BG331" s="1877"/>
      <c r="BH331" s="1877"/>
      <c r="BI331" s="1877"/>
      <c r="BJ331" s="1877"/>
      <c r="BK331" s="1877"/>
      <c r="BL331" s="1877"/>
      <c r="BM331" s="1877"/>
      <c r="BN331" s="1877"/>
      <c r="BO331" s="1877"/>
      <c r="BP331" s="1877"/>
      <c r="BQ331" s="1877"/>
      <c r="BR331" s="1877"/>
      <c r="BS331" s="1877"/>
      <c r="BT331" s="1877"/>
      <c r="BU331" s="1877"/>
      <c r="BV331" s="1877"/>
      <c r="BW331" s="1877"/>
      <c r="BX331" s="1877"/>
      <c r="BY331" s="1877"/>
      <c r="BZ331" s="1877"/>
      <c r="CA331" s="1877"/>
      <c r="CB331" s="1877"/>
      <c r="CC331" s="1877"/>
      <c r="CD331" s="1877"/>
      <c r="CE331" s="1877"/>
      <c r="CF331" s="1877"/>
      <c r="CG331" s="1877"/>
      <c r="CH331" s="1877"/>
      <c r="CI331" s="1877"/>
      <c r="CJ331" s="1877"/>
      <c r="CK331" s="1877"/>
      <c r="CL331" s="1877"/>
      <c r="CM331" s="1877"/>
      <c r="CN331" s="1877"/>
      <c r="CO331" s="1877"/>
      <c r="CP331" s="1877"/>
      <c r="CQ331" s="1877"/>
      <c r="CR331" s="1877"/>
      <c r="CS331" s="1877"/>
      <c r="CT331" s="1877"/>
      <c r="CU331" s="1877"/>
      <c r="CV331" s="1877"/>
      <c r="CW331" s="1877"/>
      <c r="CX331" s="1877"/>
      <c r="CY331" s="1877"/>
      <c r="CZ331" s="1877"/>
      <c r="DA331" s="1877"/>
      <c r="DB331" s="1877"/>
      <c r="DC331" s="1877"/>
      <c r="DD331" s="1877"/>
      <c r="DE331" s="1877"/>
      <c r="DF331" s="1877"/>
      <c r="DG331" s="1877"/>
      <c r="DH331" s="1877"/>
      <c r="DI331" s="1877"/>
      <c r="DJ331" s="1877"/>
      <c r="DK331" s="1877"/>
      <c r="DL331" s="1877"/>
      <c r="DM331" s="1877"/>
      <c r="DN331" s="1877"/>
      <c r="DO331" s="1877"/>
      <c r="DP331" s="1877"/>
      <c r="DQ331" s="1877"/>
      <c r="DR331" s="1877"/>
      <c r="DS331" s="1877"/>
      <c r="DT331" s="1877"/>
      <c r="DU331" s="1877"/>
      <c r="DV331" s="1877"/>
      <c r="DW331" s="1877"/>
      <c r="DX331" s="1877"/>
      <c r="DY331" s="1877"/>
      <c r="DZ331" s="1877"/>
      <c r="EA331" s="1877"/>
      <c r="EB331" s="1877"/>
      <c r="EC331" s="1877"/>
      <c r="ED331" s="1877"/>
      <c r="EE331" s="1877"/>
      <c r="EF331" s="1877"/>
      <c r="EG331" s="1877"/>
      <c r="EH331" s="1877"/>
      <c r="EI331" s="1877"/>
      <c r="EJ331" s="1877"/>
      <c r="EK331" s="1877"/>
      <c r="EL331" s="1877"/>
      <c r="EM331" s="1877"/>
      <c r="EN331" s="1877"/>
      <c r="EO331" s="1877"/>
      <c r="EP331" s="1877"/>
      <c r="EQ331" s="1877"/>
      <c r="ER331" s="1877"/>
      <c r="ES331" s="1877"/>
      <c r="ET331" s="1877"/>
      <c r="EU331" s="1877"/>
      <c r="EV331" s="1877"/>
      <c r="EW331" s="1877"/>
      <c r="EX331" s="1877"/>
      <c r="EY331" s="1877"/>
      <c r="EZ331" s="1877"/>
      <c r="FA331" s="1877"/>
      <c r="FB331" s="1877"/>
      <c r="FC331" s="1877"/>
      <c r="FD331" s="1877"/>
      <c r="FE331" s="1877"/>
      <c r="FF331" s="1877"/>
      <c r="FG331" s="1877"/>
      <c r="FH331" s="1877"/>
      <c r="FI331" s="1877"/>
      <c r="FJ331" s="1877"/>
      <c r="FK331" s="1877"/>
      <c r="FL331" s="1877"/>
      <c r="FM331" s="1877"/>
      <c r="FN331" s="1877"/>
      <c r="FO331" s="1877"/>
      <c r="FP331" s="1877"/>
      <c r="FQ331" s="1877"/>
      <c r="FR331" s="1877"/>
      <c r="FS331" s="1877"/>
      <c r="FT331" s="1877"/>
      <c r="FU331" s="1877"/>
      <c r="FV331" s="1877"/>
      <c r="FW331" s="1877"/>
      <c r="FX331" s="1877"/>
      <c r="FY331" s="1877"/>
      <c r="FZ331" s="1877"/>
      <c r="GA331" s="1877"/>
      <c r="GB331" s="1877"/>
      <c r="GC331" s="1877"/>
      <c r="GD331" s="1877"/>
      <c r="GE331" s="1877"/>
      <c r="GF331" s="1877"/>
      <c r="GG331" s="1877"/>
      <c r="GH331" s="1877"/>
      <c r="GI331" s="1877"/>
      <c r="GJ331" s="1877"/>
      <c r="GK331" s="1877"/>
      <c r="GL331" s="1877"/>
      <c r="GM331" s="1877"/>
      <c r="GN331" s="1877"/>
      <c r="GO331" s="1877"/>
      <c r="GP331" s="1877"/>
      <c r="GQ331" s="1877"/>
      <c r="GR331" s="1877"/>
      <c r="GS331" s="1877"/>
      <c r="GT331" s="1877"/>
      <c r="GU331" s="1877"/>
      <c r="GV331" s="1877"/>
      <c r="GW331" s="1877"/>
      <c r="GX331" s="1877"/>
      <c r="GY331" s="1877"/>
      <c r="GZ331" s="1877"/>
      <c r="HA331" s="1877"/>
      <c r="HB331" s="1877"/>
      <c r="HC331" s="1877"/>
      <c r="HD331" s="1877"/>
      <c r="HE331" s="1877"/>
      <c r="HF331" s="1877"/>
      <c r="HG331" s="1877"/>
      <c r="HH331" s="1877"/>
      <c r="HI331" s="1877"/>
      <c r="HJ331" s="1877"/>
      <c r="HK331" s="1877"/>
      <c r="HL331" s="1877"/>
      <c r="HM331" s="1877"/>
      <c r="HN331" s="1877"/>
      <c r="HO331" s="1877"/>
      <c r="HP331" s="1877"/>
      <c r="HQ331" s="1877"/>
      <c r="HR331" s="1877"/>
      <c r="HS331" s="1877"/>
      <c r="HT331" s="1877"/>
      <c r="HU331" s="1877"/>
      <c r="HV331" s="1877"/>
      <c r="HW331" s="1877"/>
      <c r="HX331" s="1877"/>
      <c r="HY331" s="1877"/>
      <c r="HZ331" s="1877"/>
      <c r="IA331" s="1877"/>
      <c r="IB331" s="1877"/>
      <c r="IC331" s="1877"/>
      <c r="ID331" s="1877"/>
      <c r="IE331" s="1877"/>
      <c r="IF331" s="1877"/>
      <c r="IG331" s="1877"/>
      <c r="IH331" s="1877"/>
      <c r="II331" s="1877"/>
      <c r="IJ331" s="1877"/>
      <c r="IK331" s="1877"/>
      <c r="IL331" s="1877"/>
    </row>
    <row r="332" spans="1:246" s="1855" customFormat="1" ht="26.25">
      <c r="A332" s="1884"/>
      <c r="B332" s="1918"/>
      <c r="C332" s="1909" t="s">
        <v>3209</v>
      </c>
      <c r="D332" s="1910"/>
      <c r="E332" s="1912" t="e">
        <f>-ARRIERE!B28</f>
        <v>#VALUE!</v>
      </c>
      <c r="F332" s="2072">
        <f>-ARRIERE!C28</f>
        <v>0</v>
      </c>
      <c r="G332" s="1912">
        <f>-ARRIERE!D28</f>
        <v>-680493.45699999994</v>
      </c>
      <c r="H332" s="1912">
        <f>-ARRIERE!E28</f>
        <v>-217536.2</v>
      </c>
      <c r="I332" s="1912">
        <f>-ARRIERE!F28</f>
        <v>-103942.07799999999</v>
      </c>
      <c r="J332" s="1912">
        <f>-ARRIERE!G28</f>
        <v>-102885</v>
      </c>
      <c r="K332" s="1912">
        <f>-ARRIERE!H28</f>
        <v>-15207.615</v>
      </c>
      <c r="L332" s="1912">
        <f>-ARRIERE!I28</f>
        <v>-174165.541</v>
      </c>
      <c r="M332" s="1912">
        <f>-ARRIERE!J28</f>
        <v>-400180.66600000003</v>
      </c>
      <c r="N332" s="1912">
        <f>-ARRIERE!K28</f>
        <v>-10381.5</v>
      </c>
      <c r="O332" s="1912">
        <f>-ARRIERE!L28</f>
        <v>-62337.308000000005</v>
      </c>
      <c r="P332" s="1912">
        <f>-ARRIERE!M28</f>
        <v>-207931.71600000001</v>
      </c>
      <c r="Q332" s="1912">
        <f>-ARRIERE!N28</f>
        <v>-99788.527000000002</v>
      </c>
      <c r="R332" s="1912">
        <f>-ARRIERE!O28</f>
        <v>-71585.241000000009</v>
      </c>
      <c r="S332" s="1980">
        <f t="shared" si="109"/>
        <v>-2146434.8489999999</v>
      </c>
      <c r="T332" s="2169">
        <f>-ARRIERE!Q28</f>
        <v>-217536.2</v>
      </c>
      <c r="U332" s="2178">
        <f t="shared" si="116"/>
        <v>-1928898.649</v>
      </c>
      <c r="V332" s="1854"/>
      <c r="W332" s="2003">
        <f t="shared" si="80"/>
        <v>-0.25801596934727727</v>
      </c>
      <c r="X332" s="1877"/>
      <c r="Y332" s="2008">
        <f t="shared" si="105"/>
        <v>-2146.4348489999998</v>
      </c>
      <c r="Z332" s="1877"/>
      <c r="AA332" s="1877"/>
      <c r="AB332" s="1877"/>
      <c r="AC332" s="1877"/>
      <c r="AD332" s="1877"/>
      <c r="AE332" s="1877"/>
      <c r="AF332" s="1877"/>
      <c r="AG332" s="1877"/>
      <c r="AH332" s="1877"/>
      <c r="AI332" s="1877"/>
      <c r="AJ332" s="1877"/>
      <c r="AK332" s="1877"/>
      <c r="AL332" s="1877"/>
      <c r="AM332" s="1877"/>
      <c r="AN332" s="1877"/>
      <c r="AO332" s="1877"/>
      <c r="AP332" s="1877"/>
      <c r="AQ332" s="1877"/>
      <c r="AR332" s="1877"/>
      <c r="AS332" s="1877"/>
      <c r="AT332" s="1877"/>
      <c r="AU332" s="1877"/>
      <c r="AV332" s="1877"/>
      <c r="AW332" s="1877"/>
      <c r="AX332" s="1877"/>
      <c r="AY332" s="1877"/>
      <c r="AZ332" s="1877"/>
      <c r="BA332" s="1877"/>
      <c r="BB332" s="1877"/>
      <c r="BC332" s="1877"/>
      <c r="BD332" s="1877"/>
      <c r="BE332" s="1877"/>
      <c r="BF332" s="1877"/>
      <c r="BG332" s="1877"/>
      <c r="BH332" s="1877"/>
      <c r="BI332" s="1877"/>
      <c r="BJ332" s="1877"/>
      <c r="BK332" s="1877"/>
      <c r="BL332" s="1877"/>
      <c r="BM332" s="1877"/>
      <c r="BN332" s="1877"/>
      <c r="BO332" s="1877"/>
      <c r="BP332" s="1877"/>
      <c r="BQ332" s="1877"/>
      <c r="BR332" s="1877"/>
      <c r="BS332" s="1877"/>
      <c r="BT332" s="1877"/>
      <c r="BU332" s="1877"/>
      <c r="BV332" s="1877"/>
      <c r="BW332" s="1877"/>
      <c r="BX332" s="1877"/>
      <c r="BY332" s="1877"/>
      <c r="BZ332" s="1877"/>
      <c r="CA332" s="1877"/>
      <c r="CB332" s="1877"/>
      <c r="CC332" s="1877"/>
      <c r="CD332" s="1877"/>
      <c r="CE332" s="1877"/>
      <c r="CF332" s="1877"/>
      <c r="CG332" s="1877"/>
      <c r="CH332" s="1877"/>
      <c r="CI332" s="1877"/>
      <c r="CJ332" s="1877"/>
      <c r="CK332" s="1877"/>
      <c r="CL332" s="1877"/>
      <c r="CM332" s="1877"/>
      <c r="CN332" s="1877"/>
      <c r="CO332" s="1877"/>
      <c r="CP332" s="1877"/>
      <c r="CQ332" s="1877"/>
      <c r="CR332" s="1877"/>
      <c r="CS332" s="1877"/>
      <c r="CT332" s="1877"/>
      <c r="CU332" s="1877"/>
      <c r="CV332" s="1877"/>
      <c r="CW332" s="1877"/>
      <c r="CX332" s="1877"/>
      <c r="CY332" s="1877"/>
      <c r="CZ332" s="1877"/>
      <c r="DA332" s="1877"/>
      <c r="DB332" s="1877"/>
      <c r="DC332" s="1877"/>
      <c r="DD332" s="1877"/>
      <c r="DE332" s="1877"/>
      <c r="DF332" s="1877"/>
      <c r="DG332" s="1877"/>
      <c r="DH332" s="1877"/>
      <c r="DI332" s="1877"/>
      <c r="DJ332" s="1877"/>
      <c r="DK332" s="1877"/>
      <c r="DL332" s="1877"/>
      <c r="DM332" s="1877"/>
      <c r="DN332" s="1877"/>
      <c r="DO332" s="1877"/>
      <c r="DP332" s="1877"/>
      <c r="DQ332" s="1877"/>
      <c r="DR332" s="1877"/>
      <c r="DS332" s="1877"/>
      <c r="DT332" s="1877"/>
      <c r="DU332" s="1877"/>
      <c r="DV332" s="1877"/>
      <c r="DW332" s="1877"/>
      <c r="DX332" s="1877"/>
      <c r="DY332" s="1877"/>
      <c r="DZ332" s="1877"/>
      <c r="EA332" s="1877"/>
      <c r="EB332" s="1877"/>
      <c r="EC332" s="1877"/>
      <c r="ED332" s="1877"/>
      <c r="EE332" s="1877"/>
      <c r="EF332" s="1877"/>
      <c r="EG332" s="1877"/>
      <c r="EH332" s="1877"/>
      <c r="EI332" s="1877"/>
      <c r="EJ332" s="1877"/>
      <c r="EK332" s="1877"/>
      <c r="EL332" s="1877"/>
      <c r="EM332" s="1877"/>
      <c r="EN332" s="1877"/>
      <c r="EO332" s="1877"/>
      <c r="EP332" s="1877"/>
      <c r="EQ332" s="1877"/>
      <c r="ER332" s="1877"/>
      <c r="ES332" s="1877"/>
      <c r="ET332" s="1877"/>
      <c r="EU332" s="1877"/>
      <c r="EV332" s="1877"/>
      <c r="EW332" s="1877"/>
      <c r="EX332" s="1877"/>
      <c r="EY332" s="1877"/>
      <c r="EZ332" s="1877"/>
      <c r="FA332" s="1877"/>
      <c r="FB332" s="1877"/>
      <c r="FC332" s="1877"/>
      <c r="FD332" s="1877"/>
      <c r="FE332" s="1877"/>
      <c r="FF332" s="1877"/>
      <c r="FG332" s="1877"/>
      <c r="FH332" s="1877"/>
      <c r="FI332" s="1877"/>
      <c r="FJ332" s="1877"/>
      <c r="FK332" s="1877"/>
      <c r="FL332" s="1877"/>
      <c r="FM332" s="1877"/>
      <c r="FN332" s="1877"/>
      <c r="FO332" s="1877"/>
      <c r="FP332" s="1877"/>
      <c r="FQ332" s="1877"/>
      <c r="FR332" s="1877"/>
      <c r="FS332" s="1877"/>
      <c r="FT332" s="1877"/>
      <c r="FU332" s="1877"/>
      <c r="FV332" s="1877"/>
      <c r="FW332" s="1877"/>
      <c r="FX332" s="1877"/>
      <c r="FY332" s="1877"/>
      <c r="FZ332" s="1877"/>
      <c r="GA332" s="1877"/>
      <c r="GB332" s="1877"/>
      <c r="GC332" s="1877"/>
      <c r="GD332" s="1877"/>
      <c r="GE332" s="1877"/>
      <c r="GF332" s="1877"/>
      <c r="GG332" s="1877"/>
      <c r="GH332" s="1877"/>
      <c r="GI332" s="1877"/>
      <c r="GJ332" s="1877"/>
      <c r="GK332" s="1877"/>
      <c r="GL332" s="1877"/>
      <c r="GM332" s="1877"/>
      <c r="GN332" s="1877"/>
      <c r="GO332" s="1877"/>
      <c r="GP332" s="1877"/>
      <c r="GQ332" s="1877"/>
      <c r="GR332" s="1877"/>
      <c r="GS332" s="1877"/>
      <c r="GT332" s="1877"/>
      <c r="GU332" s="1877"/>
      <c r="GV332" s="1877"/>
      <c r="GW332" s="1877"/>
      <c r="GX332" s="1877"/>
      <c r="GY332" s="1877"/>
      <c r="GZ332" s="1877"/>
      <c r="HA332" s="1877"/>
      <c r="HB332" s="1877"/>
      <c r="HC332" s="1877"/>
      <c r="HD332" s="1877"/>
      <c r="HE332" s="1877"/>
      <c r="HF332" s="1877"/>
      <c r="HG332" s="1877"/>
      <c r="HH332" s="1877"/>
      <c r="HI332" s="1877"/>
      <c r="HJ332" s="1877"/>
      <c r="HK332" s="1877"/>
      <c r="HL332" s="1877"/>
      <c r="HM332" s="1877"/>
      <c r="HN332" s="1877"/>
      <c r="HO332" s="1877"/>
      <c r="HP332" s="1877"/>
      <c r="HQ332" s="1877"/>
      <c r="HR332" s="1877"/>
      <c r="HS332" s="1877"/>
      <c r="HT332" s="1877"/>
      <c r="HU332" s="1877"/>
      <c r="HV332" s="1877"/>
      <c r="HW332" s="1877"/>
      <c r="HX332" s="1877"/>
      <c r="HY332" s="1877"/>
      <c r="HZ332" s="1877"/>
      <c r="IA332" s="1877"/>
      <c r="IB332" s="1877"/>
      <c r="IC332" s="1877"/>
      <c r="ID332" s="1877"/>
      <c r="IE332" s="1877"/>
      <c r="IF332" s="1877"/>
      <c r="IG332" s="1877"/>
      <c r="IH332" s="1877"/>
      <c r="II332" s="1877"/>
      <c r="IJ332" s="1877"/>
      <c r="IK332" s="1877"/>
      <c r="IL332" s="1877"/>
    </row>
    <row r="333" spans="1:246" s="1855" customFormat="1" ht="26.25">
      <c r="A333" s="1888" t="s">
        <v>582</v>
      </c>
      <c r="B333" s="1918"/>
      <c r="C333" s="1909" t="s">
        <v>583</v>
      </c>
      <c r="D333" s="1910">
        <v>0</v>
      </c>
      <c r="E333" s="1912">
        <f>+Dettes!D65</f>
        <v>253490.28914967997</v>
      </c>
      <c r="F333" s="2072">
        <f>+Dettes!E65</f>
        <v>0</v>
      </c>
      <c r="G333" s="1912">
        <f>+Dettes!F65</f>
        <v>-11238.207129999995</v>
      </c>
      <c r="H333" s="1912">
        <f>+Dettes!J65</f>
        <v>0</v>
      </c>
      <c r="I333" s="1912">
        <f>+Dettes!N65</f>
        <v>0</v>
      </c>
      <c r="J333" s="1912">
        <f>+Dettes!R65</f>
        <v>0</v>
      </c>
      <c r="K333" s="1912">
        <f>+Dettes!V65</f>
        <v>0</v>
      </c>
      <c r="L333" s="1912">
        <f>+Dettes!Z65</f>
        <v>280606.15456</v>
      </c>
      <c r="M333" s="1912">
        <f>+Dettes!AD65</f>
        <v>178059.18504800001</v>
      </c>
      <c r="N333" s="1912">
        <f>+Dettes!AH65</f>
        <v>0</v>
      </c>
      <c r="O333" s="1912">
        <f>+Dettes!AL65</f>
        <v>35019.415999999997</v>
      </c>
      <c r="P333" s="1912">
        <f>+Dettes!AP65</f>
        <v>638232.93099999998</v>
      </c>
      <c r="Q333" s="1912">
        <f>+Dettes!AT65</f>
        <v>26630.924051999998</v>
      </c>
      <c r="R333" s="1912">
        <f>+Dettes!AX65</f>
        <v>320828.85795174999</v>
      </c>
      <c r="S333" s="1980">
        <f t="shared" si="109"/>
        <v>1468139.2614817501</v>
      </c>
      <c r="T333" s="2169">
        <f>+Dettes!S65</f>
        <v>22907.567665000002</v>
      </c>
      <c r="U333" s="2178">
        <f t="shared" si="116"/>
        <v>1445231.6938167501</v>
      </c>
      <c r="V333" s="1854"/>
      <c r="W333" s="2003">
        <f t="shared" si="80"/>
        <v>0.17648025742057338</v>
      </c>
      <c r="Y333" s="2008">
        <f t="shared" si="105"/>
        <v>1468.1392614817501</v>
      </c>
    </row>
    <row r="334" spans="1:246" s="1855" customFormat="1" ht="26.25">
      <c r="A334" s="1888"/>
      <c r="B334" s="1918"/>
      <c r="C334" s="1909"/>
      <c r="D334" s="1910"/>
      <c r="E334" s="1912"/>
      <c r="F334" s="2072"/>
      <c r="G334" s="1912"/>
      <c r="H334" s="1912"/>
      <c r="I334" s="1912"/>
      <c r="J334" s="1912"/>
      <c r="K334" s="1912"/>
      <c r="L334" s="1912"/>
      <c r="M334" s="1912"/>
      <c r="N334" s="1912"/>
      <c r="O334" s="1912"/>
      <c r="P334" s="1912"/>
      <c r="Q334" s="1912"/>
      <c r="R334" s="1912"/>
      <c r="S334" s="1980">
        <f t="shared" si="109"/>
        <v>0</v>
      </c>
      <c r="T334" s="2169"/>
      <c r="U334" s="2178">
        <f t="shared" si="116"/>
        <v>0</v>
      </c>
      <c r="V334" s="1854"/>
      <c r="W334" s="2003">
        <f t="shared" si="80"/>
        <v>0</v>
      </c>
      <c r="Y334" s="2008">
        <f t="shared" si="105"/>
        <v>0</v>
      </c>
    </row>
    <row r="335" spans="1:246" s="1855" customFormat="1" ht="26.25">
      <c r="A335" s="1888"/>
      <c r="B335" s="1918"/>
      <c r="C335" s="1909" t="s">
        <v>3210</v>
      </c>
      <c r="D335" s="1910"/>
      <c r="E335" s="1912">
        <f>+E336</f>
        <v>2651001.9739999985</v>
      </c>
      <c r="F335" s="2072">
        <f>+F336</f>
        <v>0</v>
      </c>
      <c r="G335" s="1912">
        <f>+G336</f>
        <v>0</v>
      </c>
      <c r="H335" s="1912">
        <f t="shared" ref="H335:Q335" si="117">+H336</f>
        <v>0</v>
      </c>
      <c r="I335" s="1912">
        <f t="shared" si="117"/>
        <v>0</v>
      </c>
      <c r="J335" s="1912">
        <f t="shared" si="117"/>
        <v>0</v>
      </c>
      <c r="K335" s="1912">
        <f t="shared" si="117"/>
        <v>0</v>
      </c>
      <c r="L335" s="1912">
        <f t="shared" si="117"/>
        <v>0</v>
      </c>
      <c r="M335" s="1912">
        <f t="shared" si="117"/>
        <v>0</v>
      </c>
      <c r="N335" s="1912">
        <f t="shared" si="117"/>
        <v>0</v>
      </c>
      <c r="O335" s="1912">
        <f t="shared" si="117"/>
        <v>0</v>
      </c>
      <c r="P335" s="1912">
        <f t="shared" si="117"/>
        <v>0</v>
      </c>
      <c r="Q335" s="1912">
        <f t="shared" si="117"/>
        <v>0</v>
      </c>
      <c r="R335" s="1912">
        <f>+R336</f>
        <v>11937178.016000001</v>
      </c>
      <c r="S335" s="1981">
        <f>+S336</f>
        <v>11937178.016000001</v>
      </c>
      <c r="T335" s="2169">
        <f>+T336</f>
        <v>0</v>
      </c>
      <c r="U335" s="2178">
        <f t="shared" si="116"/>
        <v>11937178.016000001</v>
      </c>
      <c r="V335" s="1854"/>
      <c r="W335" s="2003">
        <f t="shared" si="80"/>
        <v>1.4349294405577595</v>
      </c>
      <c r="Y335" s="2008">
        <f t="shared" si="105"/>
        <v>11937.178016000002</v>
      </c>
    </row>
    <row r="336" spans="1:246" s="1855" customFormat="1" ht="26.25">
      <c r="A336" s="1883"/>
      <c r="B336" s="1918" t="s">
        <v>3222</v>
      </c>
      <c r="C336" s="1909" t="s">
        <v>3219</v>
      </c>
      <c r="D336" s="1910"/>
      <c r="E336" s="1912">
        <f>+[28]Tofe!$Q$91</f>
        <v>2651001.9739999985</v>
      </c>
      <c r="F336" s="2072">
        <v>0</v>
      </c>
      <c r="G336" s="1912">
        <f>ARRIERE!P6/1000</f>
        <v>0</v>
      </c>
      <c r="H336" s="1912">
        <f>ARRIERE!Q6/1000</f>
        <v>0</v>
      </c>
      <c r="I336" s="1912">
        <f>ARRIERE!R6/1000</f>
        <v>0</v>
      </c>
      <c r="J336" s="1912">
        <f>ARRIERE!S6/1000</f>
        <v>0</v>
      </c>
      <c r="K336" s="1912">
        <f>ARRIERE!T6/1000</f>
        <v>0</v>
      </c>
      <c r="L336" s="1912">
        <f>ARRIERE!U6/1000</f>
        <v>0</v>
      </c>
      <c r="M336" s="1912">
        <f>ARRIERE!V6/1000</f>
        <v>0</v>
      </c>
      <c r="N336" s="1912">
        <f>ARRIERE!W6/1000</f>
        <v>0</v>
      </c>
      <c r="O336" s="1912">
        <f>ARRIERE!X6/1000</f>
        <v>0</v>
      </c>
      <c r="P336" s="1985"/>
      <c r="Q336" s="1985">
        <f>ARRIERE!Z6/1000</f>
        <v>0</v>
      </c>
      <c r="R336" s="1985">
        <f>ARRIERE!AA6/1000</f>
        <v>11937178.016000001</v>
      </c>
      <c r="S336" s="1981">
        <f>ARRIERE!AB6/1000</f>
        <v>11937178.016000001</v>
      </c>
      <c r="T336" s="2169">
        <f>ARRIERE!AC6/1000</f>
        <v>0</v>
      </c>
      <c r="U336" s="2178">
        <f t="shared" si="116"/>
        <v>11937178.016000001</v>
      </c>
      <c r="V336" s="1854"/>
      <c r="W336" s="2003"/>
      <c r="Y336" s="2008">
        <f t="shared" si="105"/>
        <v>11937.178016000002</v>
      </c>
    </row>
    <row r="337" spans="1:25" s="1855" customFormat="1" ht="26.25">
      <c r="A337" s="1882" t="s">
        <v>183</v>
      </c>
      <c r="B337" s="1937"/>
      <c r="C337" s="1938" t="s">
        <v>685</v>
      </c>
      <c r="D337" s="1906" t="e">
        <f t="shared" ref="D337:S337" si="118">D309+D317</f>
        <v>#REF!</v>
      </c>
      <c r="E337" s="1907">
        <f>E309+E317</f>
        <v>-32158833.710434049</v>
      </c>
      <c r="F337" s="2068">
        <f>F309+F317</f>
        <v>76237201.719999999</v>
      </c>
      <c r="G337" s="1907">
        <f t="shared" si="118"/>
        <v>-2803281.0861496809</v>
      </c>
      <c r="H337" s="1907">
        <f t="shared" si="118"/>
        <v>-5217455.4553126488</v>
      </c>
      <c r="I337" s="1907">
        <f t="shared" si="118"/>
        <v>-9830819.7809564937</v>
      </c>
      <c r="J337" s="1907">
        <f t="shared" si="118"/>
        <v>-5531190.7281238846</v>
      </c>
      <c r="K337" s="1907">
        <f t="shared" si="118"/>
        <v>2319520.8768350007</v>
      </c>
      <c r="L337" s="1907">
        <f t="shared" si="118"/>
        <v>593807.85591557762</v>
      </c>
      <c r="M337" s="1907">
        <f t="shared" si="118"/>
        <v>2231312.4820000008</v>
      </c>
      <c r="N337" s="1907">
        <f t="shared" si="118"/>
        <v>-3946215.6249599988</v>
      </c>
      <c r="O337" s="1907">
        <f t="shared" si="118"/>
        <v>-12865997.561085101</v>
      </c>
      <c r="P337" s="1907">
        <f t="shared" si="118"/>
        <v>3357850.861384999</v>
      </c>
      <c r="Q337" s="1907">
        <f t="shared" si="118"/>
        <v>-3672106.154473199</v>
      </c>
      <c r="R337" s="1907">
        <f t="shared" si="118"/>
        <v>9081558.5599998124</v>
      </c>
      <c r="S337" s="1980">
        <f t="shared" si="118"/>
        <v>-26283015.754925616</v>
      </c>
      <c r="T337" s="2165">
        <f t="shared" ref="T337" si="119">T309+T317</f>
        <v>84256813.520414978</v>
      </c>
      <c r="U337" s="2178">
        <f t="shared" si="116"/>
        <v>-110539829.27534059</v>
      </c>
      <c r="V337" s="1854">
        <f>S337/$V$3*100/1000</f>
        <v>-3.2511987425842843</v>
      </c>
      <c r="W337" s="2003">
        <f t="shared" ref="W337:W390" si="120">+S337/$W$3*100</f>
        <v>-3.15939605180017</v>
      </c>
      <c r="Y337" s="2008">
        <f t="shared" si="105"/>
        <v>-26283.015754925615</v>
      </c>
    </row>
    <row r="338" spans="1:25" s="1855" customFormat="1" ht="26.25">
      <c r="A338" s="1883"/>
      <c r="B338" s="1939"/>
      <c r="C338" s="1940" t="s">
        <v>686</v>
      </c>
      <c r="D338" s="1910"/>
      <c r="E338" s="1912"/>
      <c r="F338" s="2072"/>
      <c r="G338" s="1912"/>
      <c r="H338" s="1912"/>
      <c r="I338" s="1912"/>
      <c r="J338" s="1912"/>
      <c r="K338" s="1912"/>
      <c r="L338" s="1912"/>
      <c r="M338" s="1912"/>
      <c r="N338" s="1912"/>
      <c r="O338" s="1912"/>
      <c r="P338" s="1912"/>
      <c r="Q338" s="1912"/>
      <c r="R338" s="1912"/>
      <c r="S338" s="1980">
        <f t="shared" si="109"/>
        <v>0</v>
      </c>
      <c r="T338" s="2169"/>
      <c r="U338" s="2178">
        <f t="shared" si="116"/>
        <v>0</v>
      </c>
      <c r="V338" s="1854"/>
      <c r="W338" s="2003">
        <f t="shared" si="120"/>
        <v>0</v>
      </c>
      <c r="Y338" s="2008">
        <f t="shared" si="105"/>
        <v>0</v>
      </c>
    </row>
    <row r="339" spans="1:25" s="1855" customFormat="1" ht="26.25">
      <c r="A339" s="1882" t="s">
        <v>184</v>
      </c>
      <c r="B339" s="1964">
        <v>5</v>
      </c>
      <c r="C339" s="1965" t="s">
        <v>3221</v>
      </c>
      <c r="D339" s="1966" t="e">
        <f t="shared" ref="D339:S339" si="121">D340+D377</f>
        <v>#REF!</v>
      </c>
      <c r="E339" s="1990">
        <f t="shared" si="121"/>
        <v>33923631.577230141</v>
      </c>
      <c r="F339" s="2068">
        <f t="shared" si="121"/>
        <v>26581087.611000001</v>
      </c>
      <c r="G339" s="1990">
        <f t="shared" si="121"/>
        <v>4922869.4445874849</v>
      </c>
      <c r="H339" s="1990">
        <f t="shared" si="121"/>
        <v>3646289.8808497684</v>
      </c>
      <c r="I339" s="1990">
        <f t="shared" si="121"/>
        <v>7381711.4267963907</v>
      </c>
      <c r="J339" s="1990">
        <f t="shared" si="121"/>
        <v>3981210.3672386813</v>
      </c>
      <c r="K339" s="1990">
        <f t="shared" si="121"/>
        <v>-26017966.118999999</v>
      </c>
      <c r="L339" s="1990">
        <f t="shared" si="121"/>
        <v>-519147.01132552279</v>
      </c>
      <c r="M339" s="1990">
        <f t="shared" si="121"/>
        <v>38194.672999995528</v>
      </c>
      <c r="N339" s="1990">
        <f t="shared" si="121"/>
        <v>848720.59999999637</v>
      </c>
      <c r="O339" s="1990">
        <f t="shared" si="121"/>
        <v>12335707.148000002</v>
      </c>
      <c r="P339" s="1990">
        <f t="shared" si="121"/>
        <v>3733889.4091474917</v>
      </c>
      <c r="Q339" s="1990">
        <f t="shared" si="121"/>
        <v>2155816.8648300115</v>
      </c>
      <c r="R339" s="1991">
        <f t="shared" si="121"/>
        <v>8672935.481999997</v>
      </c>
      <c r="S339" s="1992">
        <f t="shared" si="121"/>
        <v>21180232.166124299</v>
      </c>
      <c r="T339" s="2165">
        <f t="shared" ref="T339" si="122">T340+T377</f>
        <v>3977201.2040000348</v>
      </c>
      <c r="U339" s="2178">
        <f t="shared" si="116"/>
        <v>17203030.962124266</v>
      </c>
      <c r="V339" s="1854">
        <f>S339/$V$3*100/1000</f>
        <v>2.6199864135926445</v>
      </c>
      <c r="W339" s="2003">
        <f t="shared" si="120"/>
        <v>2.546006991961089</v>
      </c>
      <c r="Y339" s="2008">
        <f t="shared" si="105"/>
        <v>21180.2321661243</v>
      </c>
    </row>
    <row r="340" spans="1:25" s="1855" customFormat="1" ht="26.25">
      <c r="A340" s="1882" t="s">
        <v>688</v>
      </c>
      <c r="B340" s="1956" t="s">
        <v>590</v>
      </c>
      <c r="C340" s="1941" t="s">
        <v>3211</v>
      </c>
      <c r="D340" s="1906" t="e">
        <f t="shared" ref="D340:S340" si="123">D341+D365</f>
        <v>#REF!</v>
      </c>
      <c r="E340" s="1907">
        <f t="shared" si="123"/>
        <v>17600005.97299999</v>
      </c>
      <c r="F340" s="2068">
        <f t="shared" si="123"/>
        <v>10224000</v>
      </c>
      <c r="G340" s="1907">
        <f t="shared" si="123"/>
        <v>5089628.3829999845</v>
      </c>
      <c r="H340" s="1907">
        <f t="shared" si="123"/>
        <v>3807958.1450000186</v>
      </c>
      <c r="I340" s="1907">
        <f t="shared" si="123"/>
        <v>3962434.5669999905</v>
      </c>
      <c r="J340" s="1907">
        <f t="shared" si="123"/>
        <v>4322454.6480000112</v>
      </c>
      <c r="K340" s="1907">
        <f t="shared" si="123"/>
        <v>-25871231.618999999</v>
      </c>
      <c r="L340" s="1907">
        <f t="shared" si="123"/>
        <v>-2928658.274000003</v>
      </c>
      <c r="M340" s="1907">
        <f t="shared" si="123"/>
        <v>156399.5289999955</v>
      </c>
      <c r="N340" s="1907">
        <f t="shared" si="123"/>
        <v>1008599.4859999963</v>
      </c>
      <c r="O340" s="1907">
        <f t="shared" si="123"/>
        <v>3982504.6940000029</v>
      </c>
      <c r="P340" s="1907">
        <f t="shared" si="123"/>
        <v>3940141.0959999915</v>
      </c>
      <c r="Q340" s="1907">
        <f t="shared" si="123"/>
        <v>2305304.6270000115</v>
      </c>
      <c r="R340" s="1907">
        <f t="shared" si="123"/>
        <v>9529949.7819999978</v>
      </c>
      <c r="S340" s="1980">
        <f t="shared" si="123"/>
        <v>9305485.0639999993</v>
      </c>
      <c r="T340" s="2165">
        <f t="shared" ref="T340" si="124">T341+T365</f>
        <v>3830466.7040000348</v>
      </c>
      <c r="U340" s="2178">
        <f t="shared" si="116"/>
        <v>5475018.359999964</v>
      </c>
      <c r="V340" s="1854">
        <f>S340/$V$3*100/1000</f>
        <v>1.1510848534778144</v>
      </c>
      <c r="W340" s="2003">
        <f t="shared" si="120"/>
        <v>1.1185821690106983</v>
      </c>
      <c r="Y340" s="2008">
        <f t="shared" si="105"/>
        <v>9305.4850639999986</v>
      </c>
    </row>
    <row r="341" spans="1:25" s="1863" customFormat="1" ht="26.25">
      <c r="A341" s="1888" t="s">
        <v>690</v>
      </c>
      <c r="B341" s="1919" t="s">
        <v>593</v>
      </c>
      <c r="C341" s="1925" t="s">
        <v>691</v>
      </c>
      <c r="D341" s="1906" t="e">
        <f t="shared" ref="D341:R341" si="125">D342+D350</f>
        <v>#REF!</v>
      </c>
      <c r="E341" s="1907">
        <f>E342+E350</f>
        <v>17600005.97299999</v>
      </c>
      <c r="F341" s="2068">
        <f>F342+F350</f>
        <v>10224000</v>
      </c>
      <c r="G341" s="1907">
        <f t="shared" si="125"/>
        <v>5089628.3829999845</v>
      </c>
      <c r="H341" s="1907">
        <f t="shared" si="125"/>
        <v>3807958.1450000186</v>
      </c>
      <c r="I341" s="1907">
        <f t="shared" si="125"/>
        <v>3962434.5669999905</v>
      </c>
      <c r="J341" s="1907">
        <f t="shared" si="125"/>
        <v>4322454.6480000112</v>
      </c>
      <c r="K341" s="1907">
        <f t="shared" si="125"/>
        <v>-25871231.618999999</v>
      </c>
      <c r="L341" s="1907">
        <f t="shared" si="125"/>
        <v>-2928658.274000003</v>
      </c>
      <c r="M341" s="1907">
        <f t="shared" si="125"/>
        <v>156399.5289999955</v>
      </c>
      <c r="N341" s="1907">
        <f t="shared" si="125"/>
        <v>1008599.4859999963</v>
      </c>
      <c r="O341" s="1907">
        <f>O342+O350</f>
        <v>3982504.6940000029</v>
      </c>
      <c r="P341" s="1907">
        <f>P342+P350</f>
        <v>3940141.0959999915</v>
      </c>
      <c r="Q341" s="1907">
        <f t="shared" si="125"/>
        <v>2305304.6270000115</v>
      </c>
      <c r="R341" s="1907">
        <f t="shared" si="125"/>
        <v>9529949.7819999978</v>
      </c>
      <c r="S341" s="1980">
        <f>S342+S350</f>
        <v>9305485.0639999993</v>
      </c>
      <c r="T341" s="2165">
        <f t="shared" ref="T341" si="126">T342+T350</f>
        <v>3830466.7040000348</v>
      </c>
      <c r="U341" s="2178">
        <f t="shared" si="116"/>
        <v>5475018.359999964</v>
      </c>
      <c r="V341" s="1862"/>
      <c r="W341" s="2003"/>
      <c r="Y341" s="2008">
        <f t="shared" si="105"/>
        <v>9305.4850639999986</v>
      </c>
    </row>
    <row r="342" spans="1:25" s="2043" customFormat="1" ht="26.25">
      <c r="A342" s="2156" t="s">
        <v>285</v>
      </c>
      <c r="B342" s="2157" t="s">
        <v>606</v>
      </c>
      <c r="C342" s="2160" t="s">
        <v>692</v>
      </c>
      <c r="D342" s="2037">
        <f>D343+D346+D347+D348</f>
        <v>0</v>
      </c>
      <c r="E342" s="2038">
        <f>+E343+E348</f>
        <v>6611941.2239999995</v>
      </c>
      <c r="F342" s="2071">
        <f>+F343+F348</f>
        <v>0</v>
      </c>
      <c r="G342" s="2038">
        <f>G343+G346+G347+G348+G349</f>
        <v>-592415.55999999994</v>
      </c>
      <c r="H342" s="2038">
        <f t="shared" ref="H342:R342" si="127">H343+H346+H347+H348+H349</f>
        <v>49845.860000000037</v>
      </c>
      <c r="I342" s="2038">
        <f t="shared" si="127"/>
        <v>-6411390.1569999997</v>
      </c>
      <c r="J342" s="2038">
        <f t="shared" si="127"/>
        <v>-410931.82999999955</v>
      </c>
      <c r="K342" s="2038">
        <f>K343+K346+K347+K348+K349</f>
        <v>337577.85499999917</v>
      </c>
      <c r="L342" s="2038">
        <f t="shared" si="127"/>
        <v>5156933.4170000004</v>
      </c>
      <c r="M342" s="2038">
        <f t="shared" si="127"/>
        <v>490333.54200000007</v>
      </c>
      <c r="N342" s="2038">
        <f t="shared" si="127"/>
        <v>371043.15900000004</v>
      </c>
      <c r="O342" s="2038">
        <f t="shared" si="127"/>
        <v>-3414533.8130000001</v>
      </c>
      <c r="P342" s="2038">
        <f t="shared" si="127"/>
        <v>-2396688.6430000011</v>
      </c>
      <c r="Q342" s="2038">
        <f t="shared" si="127"/>
        <v>1207190.6349999998</v>
      </c>
      <c r="R342" s="2038">
        <f t="shared" si="127"/>
        <v>4319168.9640000006</v>
      </c>
      <c r="S342" s="2158">
        <f>S343+S346+S347+S348+S349</f>
        <v>-1293866.5709999993</v>
      </c>
      <c r="T342" s="2168">
        <f>T343+T346+T347+T348+T349</f>
        <v>0</v>
      </c>
      <c r="U342" s="2178">
        <f t="shared" si="116"/>
        <v>-1293866.5709999993</v>
      </c>
      <c r="V342" s="2041"/>
      <c r="W342" s="2042"/>
      <c r="Y342" s="2044">
        <f t="shared" si="105"/>
        <v>-1293.8665709999993</v>
      </c>
    </row>
    <row r="343" spans="1:25" s="1855" customFormat="1" ht="26.25">
      <c r="A343" s="1894" t="s">
        <v>693</v>
      </c>
      <c r="B343" s="1918" t="s">
        <v>3212</v>
      </c>
      <c r="C343" s="2152" t="s">
        <v>694</v>
      </c>
      <c r="D343" s="1910"/>
      <c r="E343" s="1912">
        <f>E344-E345</f>
        <v>1298631.5099999991</v>
      </c>
      <c r="F343" s="2072"/>
      <c r="G343" s="1912">
        <f t="shared" ref="G343:Q343" si="128">G344+G345</f>
        <v>-369425.76499999996</v>
      </c>
      <c r="H343" s="1912">
        <f t="shared" si="128"/>
        <v>0</v>
      </c>
      <c r="I343" s="1912">
        <f t="shared" si="128"/>
        <v>0</v>
      </c>
      <c r="J343" s="1912">
        <f t="shared" si="128"/>
        <v>0</v>
      </c>
      <c r="K343" s="1912">
        <f t="shared" si="128"/>
        <v>0</v>
      </c>
      <c r="L343" s="1912">
        <f t="shared" si="128"/>
        <v>-369425.76499999996</v>
      </c>
      <c r="M343" s="1912">
        <f t="shared" si="128"/>
        <v>0</v>
      </c>
      <c r="N343" s="1912">
        <f t="shared" si="128"/>
        <v>0</v>
      </c>
      <c r="O343" s="1912">
        <f t="shared" si="128"/>
        <v>0</v>
      </c>
      <c r="P343" s="1912">
        <f t="shared" si="128"/>
        <v>0</v>
      </c>
      <c r="Q343" s="1912">
        <f t="shared" si="128"/>
        <v>-177523.8700000009</v>
      </c>
      <c r="R343" s="1912">
        <f>R344+R345</f>
        <v>-369425.76499999996</v>
      </c>
      <c r="S343" s="1981">
        <f t="shared" ref="S343:S388" si="129">SUM(G343:R343)</f>
        <v>-1285801.1650000007</v>
      </c>
      <c r="T343" s="2169">
        <f t="shared" ref="T343" si="130">T344+T345</f>
        <v>0</v>
      </c>
      <c r="U343" s="2178">
        <f t="shared" si="116"/>
        <v>-1285801.1650000007</v>
      </c>
      <c r="V343" s="1854"/>
      <c r="W343" s="2003"/>
      <c r="Y343" s="2008">
        <f t="shared" si="105"/>
        <v>-1285.8011650000008</v>
      </c>
    </row>
    <row r="344" spans="1:25" s="1855" customFormat="1" ht="26.25">
      <c r="A344" s="1883" t="s">
        <v>749</v>
      </c>
      <c r="B344" s="1918" t="s">
        <v>3451</v>
      </c>
      <c r="C344" s="2161" t="s">
        <v>695</v>
      </c>
      <c r="D344" s="1910"/>
      <c r="E344" s="1912">
        <f>+[28]Tofe!$Q$99</f>
        <v>1298629.5099999991</v>
      </c>
      <c r="F344" s="2072"/>
      <c r="G344" s="1912">
        <f>+IF(PNT!O127&gt;0,PNT!O127,0)*1000</f>
        <v>0</v>
      </c>
      <c r="H344" s="1912">
        <f>+IF(PNT!P127&gt;0,PNT!P127,0)*1000</f>
        <v>0</v>
      </c>
      <c r="I344" s="1912">
        <f>+IF(PNT!Q127&gt;0,PNT!Q127,0)*1000</f>
        <v>0</v>
      </c>
      <c r="J344" s="1912">
        <f>+IF(PNT!R127&gt;0,PNT!R127,0)*1000</f>
        <v>0</v>
      </c>
      <c r="K344" s="1912">
        <f>+IF(PNT!S127&gt;0,PNT!S127,0)*1000</f>
        <v>0</v>
      </c>
      <c r="L344" s="1912">
        <f>+IF(PNT!T127&gt;0,PNT!T127,0)*1000</f>
        <v>0</v>
      </c>
      <c r="M344" s="1912">
        <f>+IF(PNT!U127&gt;0,PNT!U127,0)*1000</f>
        <v>0</v>
      </c>
      <c r="N344" s="1912">
        <f>+IF(PNT!V127&gt;0,PNT!V127,0)*1000</f>
        <v>0</v>
      </c>
      <c r="O344" s="1912">
        <f>+IF(PNT!W127&gt;0,PNT!W127,0)*1000</f>
        <v>0</v>
      </c>
      <c r="P344" s="1912">
        <f>+IF(PNT!X127&gt;0,PNT!X127,0)*1000</f>
        <v>0</v>
      </c>
      <c r="Q344" s="1912">
        <f>+IF(PNT!Y127&gt;0,PNT!Y127,0)*1000</f>
        <v>0</v>
      </c>
      <c r="R344" s="1912">
        <f>+IF(PNT!Z127&gt;0,PNT!Z127,0)*1000</f>
        <v>0</v>
      </c>
      <c r="S344" s="1981">
        <f t="shared" si="129"/>
        <v>0</v>
      </c>
      <c r="T344" s="2169">
        <f>+IF(PNT!AB127&gt;0,PNT!AB127,0)*1000</f>
        <v>0</v>
      </c>
      <c r="U344" s="2178">
        <f t="shared" si="116"/>
        <v>0</v>
      </c>
      <c r="V344" s="1854"/>
      <c r="W344" s="2003"/>
      <c r="Y344" s="2008">
        <f t="shared" si="105"/>
        <v>0</v>
      </c>
    </row>
    <row r="345" spans="1:25" s="1855" customFormat="1" ht="23.25" customHeight="1">
      <c r="A345" s="1883" t="s">
        <v>696</v>
      </c>
      <c r="B345" s="1918" t="s">
        <v>3452</v>
      </c>
      <c r="C345" s="2161" t="s">
        <v>697</v>
      </c>
      <c r="D345" s="1910"/>
      <c r="E345" s="1912">
        <v>-2</v>
      </c>
      <c r="F345" s="2072">
        <v>-2</v>
      </c>
      <c r="G345" s="1912">
        <f>+IF(PNT!O127&lt;0,PNT!O127,0)*1000</f>
        <v>-369425.76499999996</v>
      </c>
      <c r="H345" s="1912">
        <f>+IF(PNT!P127&lt;0,PNT!P127,0)*1000</f>
        <v>0</v>
      </c>
      <c r="I345" s="1912">
        <f>+IF(PNT!Q127&lt;0,PNT!Q127,0)*1000</f>
        <v>0</v>
      </c>
      <c r="J345" s="1912">
        <f>+IF(PNT!R127&lt;0,PNT!R127,0)*1000</f>
        <v>0</v>
      </c>
      <c r="K345" s="1912">
        <f>+IF(PNT!S127&lt;0,PNT!S127,0)*1000</f>
        <v>0</v>
      </c>
      <c r="L345" s="1912">
        <f>+IF(PNT!T127&lt;0,PNT!T127,0)*1000</f>
        <v>-369425.76499999996</v>
      </c>
      <c r="M345" s="1912">
        <f>+IF(PNT!U127&lt;0,PNT!U127,0)*1000</f>
        <v>0</v>
      </c>
      <c r="N345" s="1912">
        <f>+IF(PNT!V127&lt;0,PNT!V127,0)*1000</f>
        <v>0</v>
      </c>
      <c r="O345" s="1912">
        <f>+IF(PNT!W127&lt;0,PNT!W127,0)*1000</f>
        <v>0</v>
      </c>
      <c r="P345" s="1912">
        <f>+IF(PNT!X127&lt;0,PNT!X127,0)*1000</f>
        <v>0</v>
      </c>
      <c r="Q345" s="1912">
        <f>+IF(PNT!Y127&lt;0,PNT!Y127,0)*1000</f>
        <v>-177523.8700000009</v>
      </c>
      <c r="R345" s="1912">
        <f>+IF(PNT!Z127&lt;0,PNT!Z127,0)*1000</f>
        <v>-369425.76499999996</v>
      </c>
      <c r="S345" s="1981">
        <f t="shared" si="129"/>
        <v>-1285801.1650000007</v>
      </c>
      <c r="T345" s="2169">
        <f>+IF(PNT!AB127&lt;0,PNT!AB127,0)*1000</f>
        <v>0</v>
      </c>
      <c r="U345" s="2178">
        <f t="shared" si="116"/>
        <v>-1285801.1650000007</v>
      </c>
      <c r="V345" s="1854"/>
      <c r="W345" s="2003"/>
      <c r="Y345" s="2008">
        <f t="shared" si="105"/>
        <v>-1285.8011650000008</v>
      </c>
    </row>
    <row r="346" spans="1:25" s="1855" customFormat="1" ht="23.25" customHeight="1">
      <c r="A346" s="1895" t="s">
        <v>1363</v>
      </c>
      <c r="B346" s="1918" t="s">
        <v>3450</v>
      </c>
      <c r="C346" s="2153" t="s">
        <v>3444</v>
      </c>
      <c r="D346" s="1910"/>
      <c r="E346" s="1912">
        <f>+PNT!M80*1000</f>
        <v>1105200</v>
      </c>
      <c r="F346" s="2072">
        <f>+PNT!N80*1000</f>
        <v>1105200</v>
      </c>
      <c r="G346" s="1912">
        <f>+PNT!O80*1000</f>
        <v>0</v>
      </c>
      <c r="H346" s="1912">
        <f>+PNT!P80*1000</f>
        <v>0</v>
      </c>
      <c r="I346" s="1912">
        <f>+PNT!Q80*1000</f>
        <v>0</v>
      </c>
      <c r="J346" s="1912">
        <f>+PNT!R80*1000</f>
        <v>0</v>
      </c>
      <c r="K346" s="1912">
        <f>+PNT!S80*1000</f>
        <v>0</v>
      </c>
      <c r="L346" s="1912">
        <f>+PNT!T80*1000</f>
        <v>0</v>
      </c>
      <c r="M346" s="1912">
        <f>+PNT!U80*1000</f>
        <v>0</v>
      </c>
      <c r="N346" s="1912">
        <f>+PNT!V80*1000</f>
        <v>0</v>
      </c>
      <c r="O346" s="1912">
        <f>+PNT!W80*1000</f>
        <v>0</v>
      </c>
      <c r="P346" s="1912"/>
      <c r="Q346" s="1912">
        <f>+PNT!Y80*1000</f>
        <v>0</v>
      </c>
      <c r="R346" s="1912">
        <f>+PNT!Z80*1000</f>
        <v>0</v>
      </c>
      <c r="S346" s="1981">
        <f t="shared" si="129"/>
        <v>0</v>
      </c>
      <c r="T346" s="2169">
        <f>+PNT!AB80*1000</f>
        <v>0</v>
      </c>
      <c r="U346" s="2178">
        <f t="shared" si="116"/>
        <v>0</v>
      </c>
      <c r="V346" s="1854"/>
      <c r="W346" s="2003"/>
      <c r="Y346" s="2008">
        <f t="shared" si="105"/>
        <v>0</v>
      </c>
    </row>
    <row r="347" spans="1:25" s="1855" customFormat="1" ht="23.25" customHeight="1">
      <c r="A347" s="1895" t="s">
        <v>1364</v>
      </c>
      <c r="B347" s="1918" t="s">
        <v>3453</v>
      </c>
      <c r="C347" s="2153" t="s">
        <v>698</v>
      </c>
      <c r="D347" s="1910"/>
      <c r="E347" s="1912">
        <f>+PNT!M81*1000</f>
        <v>5055300</v>
      </c>
      <c r="F347" s="2072">
        <f>+PNT!N81*1000</f>
        <v>5055300</v>
      </c>
      <c r="G347" s="1912">
        <f>+PNT!O81*1000</f>
        <v>0</v>
      </c>
      <c r="H347" s="1912">
        <f>+PNT!P81*1000</f>
        <v>0</v>
      </c>
      <c r="I347" s="1912">
        <f>+PNT!Q81*1000</f>
        <v>0</v>
      </c>
      <c r="J347" s="1912">
        <f>+PNT!R81*1000</f>
        <v>0</v>
      </c>
      <c r="K347" s="1912">
        <f>+PNT!S81*1000</f>
        <v>0</v>
      </c>
      <c r="L347" s="1912">
        <f>+PNT!T81*1000</f>
        <v>0</v>
      </c>
      <c r="M347" s="1912">
        <f>+PNT!U81*1000</f>
        <v>0</v>
      </c>
      <c r="N347" s="1912">
        <f>+PNT!V81*1000</f>
        <v>0</v>
      </c>
      <c r="O347" s="1912">
        <f>+PNT!W81*1000</f>
        <v>0</v>
      </c>
      <c r="P347" s="1912"/>
      <c r="Q347" s="1912">
        <f>+PNT!Y81*1000</f>
        <v>0</v>
      </c>
      <c r="R347" s="1912">
        <f>+PNT!Z81*1000</f>
        <v>0</v>
      </c>
      <c r="S347" s="1981">
        <f t="shared" si="129"/>
        <v>0</v>
      </c>
      <c r="T347" s="2169">
        <f>+PNT!AB81*1000</f>
        <v>0</v>
      </c>
      <c r="U347" s="2178">
        <f t="shared" si="116"/>
        <v>0</v>
      </c>
      <c r="V347" s="1854"/>
      <c r="W347" s="2003"/>
      <c r="Y347" s="2008">
        <f t="shared" si="105"/>
        <v>0</v>
      </c>
    </row>
    <row r="348" spans="1:25" s="1855" customFormat="1" ht="26.25">
      <c r="A348" s="1895" t="s">
        <v>1365</v>
      </c>
      <c r="B348" s="1918" t="s">
        <v>3454</v>
      </c>
      <c r="C348" s="2153" t="s">
        <v>700</v>
      </c>
      <c r="D348" s="1910"/>
      <c r="E348" s="1912">
        <f>+[28]Tofe!$Q$103</f>
        <v>5313309.7140000006</v>
      </c>
      <c r="F348" s="2072"/>
      <c r="G348" s="1912">
        <f>-(PNT!O4+PNT!O5)*1000</f>
        <v>-222989.79500000001</v>
      </c>
      <c r="H348" s="1912">
        <f>-(PNT!P5+PNT!P4)*1000</f>
        <v>49845.860000000037</v>
      </c>
      <c r="I348" s="1912">
        <f>-(PNT!Q5+PNT!Q4)*1000</f>
        <v>-6411390.1569999997</v>
      </c>
      <c r="J348" s="1912">
        <f>-(PNT!R5+PNT!R4)*1000</f>
        <v>-410931.82999999955</v>
      </c>
      <c r="K348" s="1912">
        <f>-(PNT!S5+PNT!S4)*1000</f>
        <v>337577.85499999917</v>
      </c>
      <c r="L348" s="1912">
        <f>-(PNT!T5+PNT!T4)*1000</f>
        <v>5526359.182</v>
      </c>
      <c r="M348" s="1912">
        <f>-(PNT!U5+PNT!U4)*1000</f>
        <v>490333.54200000007</v>
      </c>
      <c r="N348" s="1912">
        <f>-(PNT!V5+PNT!V4)*1000</f>
        <v>371043.15900000004</v>
      </c>
      <c r="O348" s="1912">
        <f>-(PNT!W5+PNT!W4)*1000</f>
        <v>-3414533.8130000001</v>
      </c>
      <c r="P348" s="1912">
        <f>-(PNT!X5+PNT!X4)*1000</f>
        <v>-2396688.6430000011</v>
      </c>
      <c r="Q348" s="1912">
        <f>-(PNT!Y5+PNT!Y4)*1000</f>
        <v>1384714.5050000006</v>
      </c>
      <c r="R348" s="1912">
        <f>-(PNT!Z5+PNT!Z4)*1000</f>
        <v>4688594.7290000003</v>
      </c>
      <c r="S348" s="1981">
        <f>SUM(G348:R348)</f>
        <v>-8065.405999998562</v>
      </c>
      <c r="T348" s="2169">
        <f>-(PNT!AB4+PNT!AB5)*1000</f>
        <v>0</v>
      </c>
      <c r="U348" s="2178">
        <f t="shared" si="116"/>
        <v>-8065.405999998562</v>
      </c>
      <c r="V348" s="1854"/>
      <c r="W348" s="2003"/>
      <c r="Y348" s="2008">
        <f t="shared" si="105"/>
        <v>-8.0654059999985623</v>
      </c>
    </row>
    <row r="349" spans="1:25" s="1855" customFormat="1" ht="23.25" customHeight="1">
      <c r="A349" s="1895" t="s">
        <v>701</v>
      </c>
      <c r="B349" s="1918" t="s">
        <v>3455</v>
      </c>
      <c r="C349" s="2154" t="s">
        <v>702</v>
      </c>
      <c r="D349" s="1910"/>
      <c r="E349" s="1912"/>
      <c r="F349" s="2072"/>
      <c r="G349" s="1912"/>
      <c r="H349" s="1912"/>
      <c r="I349" s="1912"/>
      <c r="J349" s="1912"/>
      <c r="K349" s="1912"/>
      <c r="L349" s="1912"/>
      <c r="M349" s="1912"/>
      <c r="N349" s="1912"/>
      <c r="O349" s="1912"/>
      <c r="P349" s="1912"/>
      <c r="Q349" s="1912"/>
      <c r="R349" s="1912"/>
      <c r="S349" s="1981">
        <f t="shared" si="129"/>
        <v>0</v>
      </c>
      <c r="T349" s="2169"/>
      <c r="U349" s="2178">
        <f t="shared" si="116"/>
        <v>0</v>
      </c>
      <c r="V349" s="1854"/>
      <c r="W349" s="2003"/>
      <c r="Y349" s="2008">
        <f t="shared" si="105"/>
        <v>0</v>
      </c>
    </row>
    <row r="350" spans="1:25" s="2043" customFormat="1" ht="26.25">
      <c r="A350" s="2156" t="s">
        <v>624</v>
      </c>
      <c r="B350" s="2159" t="s">
        <v>623</v>
      </c>
      <c r="C350" s="2160" t="s">
        <v>625</v>
      </c>
      <c r="D350" s="2037" t="e">
        <f>D351+#REF!+D354+D355+D362+D363+D364</f>
        <v>#REF!</v>
      </c>
      <c r="E350" s="2038">
        <f>+E351+E355</f>
        <v>10988064.748999991</v>
      </c>
      <c r="F350" s="2071">
        <f>+F351+F355</f>
        <v>10224000</v>
      </c>
      <c r="G350" s="2038">
        <f t="shared" ref="G350:R350" si="131">G351+G354+G355+G362+G363+G364</f>
        <v>5682043.9429999841</v>
      </c>
      <c r="H350" s="2038">
        <f t="shared" si="131"/>
        <v>3758112.2850000188</v>
      </c>
      <c r="I350" s="2038">
        <f t="shared" si="131"/>
        <v>10373824.72399999</v>
      </c>
      <c r="J350" s="2038">
        <f t="shared" si="131"/>
        <v>4733386.4780000104</v>
      </c>
      <c r="K350" s="2038">
        <f t="shared" si="131"/>
        <v>-26208809.473999999</v>
      </c>
      <c r="L350" s="2038">
        <f t="shared" si="131"/>
        <v>-8085591.6910000034</v>
      </c>
      <c r="M350" s="2038">
        <f t="shared" si="131"/>
        <v>-333934.01300000458</v>
      </c>
      <c r="N350" s="2038">
        <f t="shared" si="131"/>
        <v>637556.32699999621</v>
      </c>
      <c r="O350" s="2038">
        <f t="shared" si="131"/>
        <v>7397038.507000003</v>
      </c>
      <c r="P350" s="2038">
        <f t="shared" si="131"/>
        <v>6336829.7389999926</v>
      </c>
      <c r="Q350" s="2038">
        <f t="shared" si="131"/>
        <v>1098113.9920000117</v>
      </c>
      <c r="R350" s="2038">
        <f t="shared" si="131"/>
        <v>5210780.8179999981</v>
      </c>
      <c r="S350" s="2158">
        <f>SUM(G350:R350)</f>
        <v>10599351.634999998</v>
      </c>
      <c r="T350" s="2168">
        <f t="shared" ref="T350" si="132">T351+T354+T355+T362+T363+T364</f>
        <v>3830466.7040000348</v>
      </c>
      <c r="U350" s="2178">
        <f t="shared" si="116"/>
        <v>6768884.9309999626</v>
      </c>
      <c r="V350" s="2041"/>
      <c r="W350" s="2042"/>
      <c r="Y350" s="2044">
        <f t="shared" si="105"/>
        <v>10599.351634999997</v>
      </c>
    </row>
    <row r="351" spans="1:25" s="1855" customFormat="1" ht="26.25">
      <c r="A351" s="1896" t="s">
        <v>1360</v>
      </c>
      <c r="B351" s="1918"/>
      <c r="C351" s="2152" t="s">
        <v>3447</v>
      </c>
      <c r="D351" s="1910">
        <v>0</v>
      </c>
      <c r="E351" s="1912">
        <f>SUM(E352:E353)</f>
        <v>-7166384.2410000004</v>
      </c>
      <c r="F351" s="2072">
        <f>SUM(F352:F353)</f>
        <v>0</v>
      </c>
      <c r="G351" s="1912">
        <f t="shared" ref="G351:R351" si="133">SUM(G352:G353)</f>
        <v>5800171.9780000001</v>
      </c>
      <c r="H351" s="1912">
        <f t="shared" si="133"/>
        <v>387773.61599999992</v>
      </c>
      <c r="I351" s="1912">
        <f t="shared" si="133"/>
        <v>642161.63000000012</v>
      </c>
      <c r="J351" s="1912">
        <f t="shared" si="133"/>
        <v>531457.60699999984</v>
      </c>
      <c r="K351" s="1912">
        <f t="shared" si="133"/>
        <v>-662132.82900000014</v>
      </c>
      <c r="L351" s="1912">
        <f t="shared" si="133"/>
        <v>-1586841.5550000002</v>
      </c>
      <c r="M351" s="1912">
        <f t="shared" si="133"/>
        <v>545402.68000000017</v>
      </c>
      <c r="N351" s="1912">
        <f t="shared" si="133"/>
        <v>1320097.1960000002</v>
      </c>
      <c r="O351" s="1912">
        <f t="shared" si="133"/>
        <v>258551.04999999993</v>
      </c>
      <c r="P351" s="1912">
        <f>SUM(P352:P353)</f>
        <v>22170.612000000117</v>
      </c>
      <c r="Q351" s="1912">
        <f>SUM(Q352:Q353)</f>
        <v>33952.612999999925</v>
      </c>
      <c r="R351" s="1912">
        <f t="shared" si="133"/>
        <v>-4631442.0459999982</v>
      </c>
      <c r="S351" s="1981">
        <f t="shared" si="129"/>
        <v>2661322.552000002</v>
      </c>
      <c r="T351" s="2169">
        <f t="shared" ref="T351" si="134">SUM(T352:T353)</f>
        <v>0</v>
      </c>
      <c r="U351" s="2178">
        <f t="shared" si="116"/>
        <v>2661322.552000002</v>
      </c>
      <c r="V351" s="1854"/>
      <c r="W351" s="2003"/>
      <c r="Y351" s="2008">
        <f t="shared" si="105"/>
        <v>2661.3225520000019</v>
      </c>
    </row>
    <row r="352" spans="1:25" s="1855" customFormat="1" ht="26.25">
      <c r="A352" s="1895" t="s">
        <v>1359</v>
      </c>
      <c r="B352" s="1920"/>
      <c r="C352" s="2161" t="s">
        <v>3445</v>
      </c>
      <c r="D352" s="1910">
        <v>0</v>
      </c>
      <c r="E352" s="1912">
        <f>+[28]Tofe!$Q$107</f>
        <v>-7166384.2410000004</v>
      </c>
      <c r="F352" s="2072"/>
      <c r="G352" s="1912">
        <f>-PNT!O19*1000</f>
        <v>5800171.9780000001</v>
      </c>
      <c r="H352" s="1912">
        <f>-PNT!P19*1000</f>
        <v>387773.61599999992</v>
      </c>
      <c r="I352" s="1912">
        <f>-PNT!Q19*1000</f>
        <v>642161.63000000012</v>
      </c>
      <c r="J352" s="1912">
        <f>-PNT!R19*1000</f>
        <v>531457.60699999984</v>
      </c>
      <c r="K352" s="1912">
        <f>-PNT!S19*1000</f>
        <v>-662132.82900000014</v>
      </c>
      <c r="L352" s="1912">
        <f>-PNT!T19*1000</f>
        <v>-1586841.5550000002</v>
      </c>
      <c r="M352" s="1912">
        <f>-PNT!U19*1000</f>
        <v>545402.68000000017</v>
      </c>
      <c r="N352" s="1912">
        <f>-PNT!V19*1000</f>
        <v>1320097.1960000002</v>
      </c>
      <c r="O352" s="1912">
        <f>-PNT!W19*1000</f>
        <v>258551.04999999993</v>
      </c>
      <c r="P352" s="1912">
        <f>-PNT!X19*1000</f>
        <v>22170.612000000117</v>
      </c>
      <c r="Q352" s="1912">
        <f>-PNT!Y19*1000</f>
        <v>33952.612999999925</v>
      </c>
      <c r="R352" s="1912">
        <f>-PNT!Z19*1000</f>
        <v>-4631442.0459999982</v>
      </c>
      <c r="S352" s="1981">
        <f t="shared" si="129"/>
        <v>2661322.552000002</v>
      </c>
      <c r="T352" s="2169">
        <f>-PNT!AB19*1000</f>
        <v>0</v>
      </c>
      <c r="U352" s="2178">
        <f t="shared" si="116"/>
        <v>2661322.552000002</v>
      </c>
      <c r="V352" s="1854"/>
      <c r="W352" s="2003"/>
      <c r="Y352" s="2008">
        <f t="shared" si="105"/>
        <v>2661.3225520000019</v>
      </c>
    </row>
    <row r="353" spans="1:26" s="1855" customFormat="1" ht="23.25" customHeight="1">
      <c r="A353" s="1895" t="s">
        <v>1361</v>
      </c>
      <c r="B353" s="1920"/>
      <c r="C353" s="2161" t="s">
        <v>3446</v>
      </c>
      <c r="D353" s="1910">
        <v>0</v>
      </c>
      <c r="E353" s="1912">
        <f>+PNT!M70*1000</f>
        <v>0</v>
      </c>
      <c r="F353" s="2072">
        <f>+PNT!N70*1000</f>
        <v>0</v>
      </c>
      <c r="G353" s="1912">
        <f>+PNT!O70*1000</f>
        <v>0</v>
      </c>
      <c r="H353" s="1912">
        <f>+PNT!P70*1000</f>
        <v>0</v>
      </c>
      <c r="I353" s="1912">
        <f>+PNT!Q70*1000</f>
        <v>0</v>
      </c>
      <c r="J353" s="1912">
        <f>+PNT!R70*1000</f>
        <v>0</v>
      </c>
      <c r="K353" s="1912">
        <f>+PNT!S70*1000</f>
        <v>0</v>
      </c>
      <c r="L353" s="1912">
        <f>+PNT!T70*1000</f>
        <v>0</v>
      </c>
      <c r="M353" s="1912">
        <f>+PNT!U70*1000</f>
        <v>0</v>
      </c>
      <c r="N353" s="1912">
        <f>+PNT!V70*1000</f>
        <v>0</v>
      </c>
      <c r="O353" s="1912">
        <f>+PNT!W70*1000</f>
        <v>0</v>
      </c>
      <c r="P353" s="1912">
        <f>+PNT!X70*1000</f>
        <v>0</v>
      </c>
      <c r="Q353" s="1912">
        <f>+PNT!Y70*1000</f>
        <v>0</v>
      </c>
      <c r="R353" s="1912">
        <f>+PNT!Z70*1000</f>
        <v>0</v>
      </c>
      <c r="S353" s="1981">
        <f t="shared" si="129"/>
        <v>0</v>
      </c>
      <c r="T353" s="2169">
        <f>+PNT!AB70*1000</f>
        <v>0</v>
      </c>
      <c r="U353" s="2178">
        <f t="shared" si="116"/>
        <v>0</v>
      </c>
      <c r="V353" s="1854"/>
      <c r="W353" s="2003"/>
      <c r="Y353" s="2008">
        <f t="shared" si="105"/>
        <v>0</v>
      </c>
    </row>
    <row r="354" spans="1:26" s="1855" customFormat="1" ht="23.25" customHeight="1">
      <c r="A354" s="1895" t="s">
        <v>1366</v>
      </c>
      <c r="B354" s="1918"/>
      <c r="C354" s="1914" t="s">
        <v>1642</v>
      </c>
      <c r="D354" s="1910">
        <v>0</v>
      </c>
      <c r="E354" s="1912">
        <f>-PNT!M71*1000</f>
        <v>0</v>
      </c>
      <c r="F354" s="2072">
        <f>-PNT!N71*1000</f>
        <v>0</v>
      </c>
      <c r="G354" s="1912">
        <f>-PNT!O71*1000</f>
        <v>0</v>
      </c>
      <c r="H354" s="1912">
        <f>-PNT!P71*1000</f>
        <v>0</v>
      </c>
      <c r="I354" s="1912">
        <f>-PNT!Q71*1000</f>
        <v>0</v>
      </c>
      <c r="J354" s="1912">
        <f>-PNT!R71*1000</f>
        <v>0</v>
      </c>
      <c r="K354" s="1912">
        <f>-PNT!S71*1000</f>
        <v>0</v>
      </c>
      <c r="L354" s="1912">
        <f>-PNT!T71*1000</f>
        <v>0</v>
      </c>
      <c r="M354" s="1912">
        <f>-PNT!U71*1000</f>
        <v>0</v>
      </c>
      <c r="N354" s="1912">
        <f>-PNT!V71*1000</f>
        <v>0</v>
      </c>
      <c r="O354" s="1912">
        <f>-PNT!W71*1000</f>
        <v>0</v>
      </c>
      <c r="P354" s="1912">
        <f>-PNT!X71*1000</f>
        <v>0</v>
      </c>
      <c r="Q354" s="1912">
        <f>-PNT!Y71*1000</f>
        <v>0</v>
      </c>
      <c r="R354" s="1912">
        <f>-PNT!Z71*1000</f>
        <v>0</v>
      </c>
      <c r="S354" s="1981">
        <f t="shared" si="129"/>
        <v>0</v>
      </c>
      <c r="T354" s="2169">
        <f>-PNT!AB71*1000</f>
        <v>0</v>
      </c>
      <c r="U354" s="2178">
        <f t="shared" si="116"/>
        <v>0</v>
      </c>
      <c r="V354" s="1854"/>
      <c r="W354" s="2003"/>
      <c r="Y354" s="2008">
        <f t="shared" si="105"/>
        <v>0</v>
      </c>
    </row>
    <row r="355" spans="1:26" s="1855" customFormat="1" ht="26.25">
      <c r="A355" s="1883" t="s">
        <v>1367</v>
      </c>
      <c r="B355" s="1918"/>
      <c r="C355" s="1914" t="s">
        <v>3448</v>
      </c>
      <c r="D355" s="1910">
        <v>0</v>
      </c>
      <c r="E355" s="1912">
        <f t="shared" ref="E355:R355" si="135">+E356+E359</f>
        <v>18154448.989999991</v>
      </c>
      <c r="F355" s="2072">
        <f t="shared" si="135"/>
        <v>10224000</v>
      </c>
      <c r="G355" s="1912">
        <f>+G356+G359</f>
        <v>-118128.0350000161</v>
      </c>
      <c r="H355" s="1912">
        <f t="shared" si="135"/>
        <v>3370338.6690000189</v>
      </c>
      <c r="I355" s="1912">
        <f t="shared" si="135"/>
        <v>9731663.0939999893</v>
      </c>
      <c r="J355" s="1912">
        <f>+J356+J359</f>
        <v>4201928.8710000105</v>
      </c>
      <c r="K355" s="1912">
        <f t="shared" si="135"/>
        <v>-25546676.645</v>
      </c>
      <c r="L355" s="1912">
        <f t="shared" si="135"/>
        <v>-6498750.1360000027</v>
      </c>
      <c r="M355" s="1912">
        <f t="shared" si="135"/>
        <v>-879336.69300000474</v>
      </c>
      <c r="N355" s="1912">
        <f t="shared" si="135"/>
        <v>-682540.86900000402</v>
      </c>
      <c r="O355" s="1912">
        <f t="shared" si="135"/>
        <v>7138487.4570000032</v>
      </c>
      <c r="P355" s="1912">
        <f t="shared" si="135"/>
        <v>6314659.1269999929</v>
      </c>
      <c r="Q355" s="1912">
        <f t="shared" si="135"/>
        <v>1064161.3790000118</v>
      </c>
      <c r="R355" s="1912">
        <f t="shared" si="135"/>
        <v>9842222.8639999963</v>
      </c>
      <c r="S355" s="1981">
        <f t="shared" si="129"/>
        <v>7938029.0829999931</v>
      </c>
      <c r="T355" s="2169">
        <f>+T356+T359</f>
        <v>3830466.7040000348</v>
      </c>
      <c r="U355" s="2178">
        <f t="shared" si="116"/>
        <v>4107562.3789999583</v>
      </c>
      <c r="V355" s="1854"/>
      <c r="W355" s="2003"/>
      <c r="Y355" s="2008">
        <f t="shared" si="105"/>
        <v>7938.0290829999931</v>
      </c>
    </row>
    <row r="356" spans="1:26" s="1855" customFormat="1" ht="23.25" customHeight="1">
      <c r="A356" s="1895"/>
      <c r="B356" s="1918"/>
      <c r="C356" s="2155" t="s">
        <v>3449</v>
      </c>
      <c r="D356" s="1910"/>
      <c r="E356" s="1912">
        <f>+[28]Tofe!$Q$111-((([28]PNT!$N$107+[28]PNT!$N$112)-([28]PNT!$B$112+[28]PNT!$B$107))*1000)</f>
        <v>7668068.9899999909</v>
      </c>
      <c r="F356" s="2072">
        <v>-5700000</v>
      </c>
      <c r="G356" s="1912">
        <f>+G357+G358</f>
        <v>-118128.0350000161</v>
      </c>
      <c r="H356" s="1912">
        <f>+Tofe!G199-((PNT!P113+PNT!P118)*1000)</f>
        <v>3712338.6690000189</v>
      </c>
      <c r="I356" s="1912">
        <f>+Tofe!H199-((PNT!Q113+PNT!Q118)*1000)</f>
        <v>3165233.0939999893</v>
      </c>
      <c r="J356" s="1912">
        <f>+Tofe!I199-((PNT!R113+PNT!R118)*1000)</f>
        <v>913928.87100001052</v>
      </c>
      <c r="K356" s="1912">
        <f>+Tofe!J199-((PNT!S113+PNT!S118)*1000)</f>
        <v>-25546676.645</v>
      </c>
      <c r="L356" s="1912">
        <f>+Tofe!K199-((PNT!T113+PNT!T118)*1000)</f>
        <v>-1259750.1360000027</v>
      </c>
      <c r="M356" s="1912">
        <f>+Tofe!L199-((PNT!U113+PNT!U118)*1000)</f>
        <v>-879336.69300000474</v>
      </c>
      <c r="N356" s="1912">
        <f>+Tofe!M199-((PNT!V113+PNT!V118)*1000)</f>
        <v>-682540.86900000402</v>
      </c>
      <c r="O356" s="1912">
        <f>+Tofe!N199-((PNT!W113+PNT!W118)*1000)</f>
        <v>1638487.4570000032</v>
      </c>
      <c r="P356" s="1912">
        <f>+Tofe!O199-((PNT!X113+PNT!X118)*1000)</f>
        <v>-10185340.873000007</v>
      </c>
      <c r="Q356" s="1912">
        <f>+Tofe!P199-((PNT!Y113+PNT!Y118)*1000)</f>
        <v>1064161.3790000118</v>
      </c>
      <c r="R356" s="1912">
        <f>+Tofe!Q199-((PNT!Z113+PNT!Z118)*1000)</f>
        <v>9842222.8639999963</v>
      </c>
      <c r="S356" s="1981">
        <f t="shared" si="129"/>
        <v>-18335400.917000003</v>
      </c>
      <c r="T356" s="2169">
        <f>+T357+T358</f>
        <v>3830466.7040000348</v>
      </c>
      <c r="U356" s="2178">
        <f t="shared" si="116"/>
        <v>-22165867.621000037</v>
      </c>
      <c r="V356" s="1854"/>
      <c r="W356" s="2003"/>
      <c r="Y356" s="2008">
        <f t="shared" si="105"/>
        <v>-18335.400917000003</v>
      </c>
    </row>
    <row r="357" spans="1:26" s="1855" customFormat="1" ht="23.25" customHeight="1">
      <c r="A357" s="1895"/>
      <c r="B357" s="1918"/>
      <c r="C357" s="2161" t="s">
        <v>3459</v>
      </c>
      <c r="D357" s="1910"/>
      <c r="E357" s="1912"/>
      <c r="F357" s="2072"/>
      <c r="G357" s="1912">
        <f>IF((PNT!C82-PNT!C113-PNT!C118)-(PNT!B82-PNT!B113-PNT!B118)&lt;=0,((PNT!C82-PNT!C113-PNT!C118)-(PNT!B82-PNT!B113-PNT!B118))*1000,0)</f>
        <v>-118128.0350000161</v>
      </c>
      <c r="H357" s="1912">
        <f>IF((PNT!D82-PNT!D113-PNT!D118)-(PNT!C82-PNT!C113-PNT!C118)&lt;=0,((PNT!D82-PNT!D113-PNT!D118)-(PNT!C82-PNT!C113-PNT!C118))*1000,0)</f>
        <v>0</v>
      </c>
      <c r="I357" s="1912">
        <f>IF((PNT!E82-PNT!E113-PNT!E118)-(PNT!D82-PNT!D113-PNT!D118)&lt;=0,((PNT!E82-PNT!E113-PNT!E118)-(PNT!D82-PNT!D113-PNT!D118))*1000,0)</f>
        <v>0</v>
      </c>
      <c r="J357" s="1912">
        <f>IF((PNT!F82-PNT!F113-PNT!F118)-(PNT!E82-PNT!E113-PNT!E118)&lt;=0,((PNT!F82-PNT!F113-PNT!F118)-(PNT!E82-PNT!E113-PNT!E118))*1000,0)</f>
        <v>0</v>
      </c>
      <c r="K357" s="1912">
        <f>IF((PNT!G82-PNT!G113-PNT!G118)-(PNT!F82-PNT!F113-PNT!F118)&lt;=0,((PNT!G82-PNT!G113-PNT!G118)-(PNT!F82-PNT!F113-PNT!F118))*1000,0)</f>
        <v>-25546676.645</v>
      </c>
      <c r="L357" s="1912">
        <f>IF((PNT!H82-PNT!H113-PNT!H118)-(PNT!G82-PNT!G113-PNT!G118)&lt;=0,((PNT!H82-PNT!H113-PNT!H118)-(PNT!G82-PNT!G113-PNT!G118))*1000,0)</f>
        <v>-1259750.1360000023</v>
      </c>
      <c r="M357" s="1912">
        <f>IF((PNT!I82-PNT!I113-PNT!I118)-(PNT!H82-PNT!H113-PNT!H118)&lt;=0,((PNT!I82-PNT!I113-PNT!I118)-(PNT!H82-PNT!H113-PNT!H118))*1000,0)</f>
        <v>-879336.69300000474</v>
      </c>
      <c r="N357" s="1912">
        <f>IF((PNT!J82-PNT!J113-PNT!J118)-(PNT!I82-PNT!I113-PNT!I118)&lt;=0,((PNT!J82-PNT!J113-PNT!J118)-(PNT!I82-PNT!I113-PNT!I118))*1000,0)</f>
        <v>-682540.86900000402</v>
      </c>
      <c r="O357" s="1912">
        <f>IF((PNT!K82-PNT!K113-PNT!K118)-(PNT!J82-PNT!J113-PNT!J118)&lt;=0,((PNT!K82-PNT!K113-PNT!K118)-(PNT!J82-PNT!J113-PNT!J118))*1000,0)</f>
        <v>0</v>
      </c>
      <c r="P357" s="1912">
        <f>IF((PNT!L82-PNT!L113-PNT!L118)-(PNT!K82-PNT!K113-PNT!K118)&lt;=0,((PNT!L82-PNT!L113-PNT!L118)-(PNT!K82-PNT!K113-PNT!K118))*1000,0)</f>
        <v>-10185340.873000009</v>
      </c>
      <c r="Q357" s="1912">
        <f>IF((PNT!M82-PNT!M113-PNT!M118)-(PNT!L82-PNT!L113-PNT!L118)&lt;=0,((PNT!M82-PNT!M113-PNT!M118)-(PNT!L82-PNT!L113-PNT!L118))*1000,0)</f>
        <v>0</v>
      </c>
      <c r="R357" s="1912">
        <f>IF((PNT!N82-PNT!N113-PNT!N118)-(PNT!M82-PNT!M113-PNT!M118)&lt;=0,((PNT!N82-PNT!N113-PNT!N118)-(PNT!M82-PNT!M113-PNT!M118))*1000,0)</f>
        <v>0</v>
      </c>
      <c r="S357" s="1981">
        <f t="shared" si="129"/>
        <v>-38671773.251000032</v>
      </c>
      <c r="T357" s="2169">
        <f>IF((PNT!P82-PNT!P113-PNT!P118)-(PNT!O82-PNT!O113-PNT!O118)&lt;=0,((PNT!P82-PNT!P113-PNT!P118)-(PNT!O82-PNT!O113-PNT!O118))*1000,0)</f>
        <v>0</v>
      </c>
      <c r="U357" s="2178">
        <f t="shared" si="116"/>
        <v>-38671773.251000032</v>
      </c>
      <c r="V357" s="1854"/>
      <c r="W357" s="2003"/>
      <c r="Y357" s="2008"/>
    </row>
    <row r="358" spans="1:26" s="1855" customFormat="1" ht="23.25" customHeight="1">
      <c r="A358" s="1895"/>
      <c r="B358" s="1918"/>
      <c r="C358" s="2161" t="s">
        <v>3458</v>
      </c>
      <c r="D358" s="1910"/>
      <c r="E358" s="1912"/>
      <c r="F358" s="2072"/>
      <c r="G358" s="1912">
        <f>IF((PNT!C82-PNT!C113-PNT!C118)-(PNT!B82-PNT!B113-PNT!B118)&gt;0,((PNT!C82-PNT!C113-PNT!C118)-(PNT!B82-PNT!B113-PNT!B118))*1000,0)</f>
        <v>0</v>
      </c>
      <c r="H358" s="1912">
        <f>IF((PNT!D82-PNT!D113-PNT!D118)-(PNT!C82-PNT!C113-PNT!C118)&gt;0,((PNT!D82-PNT!D113-PNT!D118)-(PNT!C82-PNT!C113-PNT!C118))*1000,0)</f>
        <v>3712338.6690000189</v>
      </c>
      <c r="I358" s="1912">
        <f>IF((PNT!E82-PNT!E113-PNT!E118)-(PNT!D82-PNT!D113-PNT!D118)&gt;0,((PNT!E82-PNT!E113-PNT!E118)-(PNT!D82-PNT!D113-PNT!D118))*1000,0)</f>
        <v>3165233.0939999884</v>
      </c>
      <c r="J358" s="1912">
        <f>IF((PNT!F82-PNT!F113-PNT!F118)-(PNT!E82-PNT!E113-PNT!E118)&gt;0,((PNT!F82-PNT!F113-PNT!F118)-(PNT!E82-PNT!E113-PNT!E118))*1000,0)</f>
        <v>913928.87100001099</v>
      </c>
      <c r="K358" s="1912">
        <f>IF((PNT!G82-PNT!G113-PNT!G118)-(PNT!F82-PNT!F113-PNT!F118)&gt;0,((PNT!G82-PNT!G113-PNT!G118)-(PNT!F82-PNT!F113-PNT!F118))*1000,0)</f>
        <v>0</v>
      </c>
      <c r="L358" s="1912">
        <f>IF((PNT!H82-PNT!H113-PNT!H118)-(PNT!G82-PNT!G113-PNT!G118)&gt;0,((PNT!H82-PNT!H113-PNT!H118)-(PNT!G82-PNT!G113-PNT!G118))*1000,0)</f>
        <v>0</v>
      </c>
      <c r="M358" s="1912">
        <f>IF((PNT!I82-PNT!I113-PNT!I118)-(PNT!H82-PNT!H113-PNT!H118)&gt;0,((PNT!I82-PNT!I113-PNT!I118)-(PNT!H82-PNT!H113-PNT!H118))*1000,0)</f>
        <v>0</v>
      </c>
      <c r="N358" s="1912">
        <f>IF((PNT!J82-PNT!J113-PNT!J118)-(PNT!I82-PNT!I113-PNT!I118)&gt;0,((PNT!J82-PNT!J113-PNT!J118)-(PNT!I82-PNT!I113-PNT!I118))*1000,0)</f>
        <v>0</v>
      </c>
      <c r="O358" s="1912">
        <f>IF((PNT!K82-PNT!K113-PNT!K118)-(PNT!J82-PNT!J113-PNT!J118)&gt;0,((PNT!K82-PNT!K113-PNT!K118)-(PNT!J82-PNT!J113-PNT!J118))*1000,0)</f>
        <v>1638487.457000003</v>
      </c>
      <c r="P358" s="1912">
        <f>IF((PNT!L82-PNT!L113-PNT!L118)-(PNT!K82-PNT!K113-PNT!K118)&gt;0,((PNT!L82-PNT!L113-PNT!L118)-(PNT!K82-PNT!K113-PNT!K118))*1000,0)</f>
        <v>0</v>
      </c>
      <c r="Q358" s="1912">
        <f>IF((PNT!M82-PNT!M113-PNT!M118)-(PNT!L82-PNT!L113-PNT!L118)&gt;0,((PNT!M82-PNT!M113-PNT!M118)-(PNT!L82-PNT!L113-PNT!L118))*1000,0)</f>
        <v>1064161.3790000118</v>
      </c>
      <c r="R358" s="1912">
        <f>IF((PNT!N82-PNT!N113-PNT!N118)-(PNT!M82-PNT!M113-PNT!M118)&gt;0,((PNT!N82-PNT!N113-PNT!N118)-(PNT!M82-PNT!M113-PNT!M118))*1000,0)</f>
        <v>9842222.8639999963</v>
      </c>
      <c r="S358" s="1981">
        <f>SUM(G358:R358)</f>
        <v>20336372.334000029</v>
      </c>
      <c r="T358" s="2169">
        <f>IF((PNT!P82-PNT!P113-PNT!P118)-(PNT!O82-PNT!O113-PNT!O118)&gt;0,((PNT!P82-PNT!P113-PNT!P118)-(PNT!O82-PNT!O113-PNT!O118))*1000,0)</f>
        <v>3830466.7040000348</v>
      </c>
      <c r="U358" s="2178">
        <f t="shared" si="116"/>
        <v>16505905.629999993</v>
      </c>
      <c r="V358" s="1854"/>
      <c r="W358" s="2003"/>
      <c r="Y358" s="2008"/>
    </row>
    <row r="359" spans="1:26" s="1855" customFormat="1" ht="23.25" customHeight="1">
      <c r="A359" s="1895"/>
      <c r="B359" s="1918"/>
      <c r="C359" s="2155" t="s">
        <v>3456</v>
      </c>
      <c r="D359" s="1910"/>
      <c r="E359" s="1912">
        <f>+E360+E361</f>
        <v>10486380</v>
      </c>
      <c r="F359" s="2072">
        <f>+F360+F361</f>
        <v>15924000</v>
      </c>
      <c r="G359" s="1912">
        <f t="shared" ref="G359:Q359" si="136">+G360+G361</f>
        <v>0</v>
      </c>
      <c r="H359" s="1912">
        <f t="shared" si="136"/>
        <v>-342000</v>
      </c>
      <c r="I359" s="1912">
        <f t="shared" si="136"/>
        <v>6566430</v>
      </c>
      <c r="J359" s="1912">
        <f t="shared" si="136"/>
        <v>3288000</v>
      </c>
      <c r="K359" s="1912">
        <f t="shared" si="136"/>
        <v>0</v>
      </c>
      <c r="L359" s="1912">
        <f t="shared" si="136"/>
        <v>-5239000</v>
      </c>
      <c r="M359" s="1912">
        <f t="shared" si="136"/>
        <v>0</v>
      </c>
      <c r="N359" s="1912">
        <f t="shared" si="136"/>
        <v>0</v>
      </c>
      <c r="O359" s="1912">
        <f t="shared" si="136"/>
        <v>5500000</v>
      </c>
      <c r="P359" s="1912">
        <f t="shared" si="136"/>
        <v>16500000</v>
      </c>
      <c r="Q359" s="1912">
        <f t="shared" si="136"/>
        <v>0</v>
      </c>
      <c r="R359" s="1912">
        <f>+R360+R361</f>
        <v>0</v>
      </c>
      <c r="S359" s="1981">
        <f t="shared" si="129"/>
        <v>26273430</v>
      </c>
      <c r="T359" s="2169">
        <f t="shared" ref="T359" si="137">+T360+T361</f>
        <v>0</v>
      </c>
      <c r="U359" s="2178">
        <f t="shared" si="116"/>
        <v>26273430</v>
      </c>
      <c r="V359" s="1854"/>
      <c r="W359" s="2003"/>
      <c r="Y359" s="2008">
        <f t="shared" si="105"/>
        <v>26273.43</v>
      </c>
    </row>
    <row r="360" spans="1:26" s="1855" customFormat="1" ht="23.25" customHeight="1">
      <c r="A360" s="1895"/>
      <c r="B360" s="1918"/>
      <c r="C360" s="2161" t="s">
        <v>3232</v>
      </c>
      <c r="D360" s="1910"/>
      <c r="E360" s="1912">
        <f>+-([29]TitulosTesouro!$J$44+[29]TitulosTesouro!$J$52+[29]TitulosTesouro!$J$51+[29]TitulosTesouro!$J$49)/1000</f>
        <v>-24750000</v>
      </c>
      <c r="F360" s="2072">
        <f>-(36000000)</f>
        <v>-36000000</v>
      </c>
      <c r="G360" s="1912"/>
      <c r="H360" s="1912">
        <f>+-[29]TitulosTesouro!$H$88/1000</f>
        <v>-4350000</v>
      </c>
      <c r="I360" s="1912">
        <v>0</v>
      </c>
      <c r="J360" s="1912">
        <f>+-[29]TitulosTesouro!$H$92/1000</f>
        <v>-5512000</v>
      </c>
      <c r="K360" s="1912"/>
      <c r="L360" s="1912">
        <f>+-[29]TitulosTesouro!$H$54/1000</f>
        <v>-16239000</v>
      </c>
      <c r="M360" s="1912"/>
      <c r="N360" s="1912"/>
      <c r="O360" s="1912">
        <f>+-[29]TitulosTesouro!$H$115/1000</f>
        <v>-5500000</v>
      </c>
      <c r="P360" s="1912"/>
      <c r="Q360" s="1912"/>
      <c r="R360" s="1912"/>
      <c r="S360" s="1981">
        <f t="shared" si="129"/>
        <v>-31601000</v>
      </c>
      <c r="T360" s="2169"/>
      <c r="U360" s="2178">
        <f t="shared" si="116"/>
        <v>-31601000</v>
      </c>
      <c r="V360" s="1854"/>
      <c r="W360" s="2003"/>
      <c r="Y360" s="2008">
        <f t="shared" si="105"/>
        <v>-31601</v>
      </c>
    </row>
    <row r="361" spans="1:26" s="1855" customFormat="1" ht="23.25" customHeight="1">
      <c r="A361" s="1895"/>
      <c r="B361" s="1918"/>
      <c r="C361" s="2161" t="s">
        <v>3457</v>
      </c>
      <c r="D361" s="1910"/>
      <c r="E361" s="1912">
        <f>+[29]TitulosTesouro!$E$244/1000</f>
        <v>35236380</v>
      </c>
      <c r="F361" s="2072">
        <v>51924000</v>
      </c>
      <c r="G361" s="1912"/>
      <c r="H361" s="1912">
        <f>+[29]TitulosTesouro!$E$132/1000</f>
        <v>4008000</v>
      </c>
      <c r="I361" s="1912">
        <f>+[29]TitulosTesouro!$E$150/1000</f>
        <v>6566430</v>
      </c>
      <c r="J361" s="1912">
        <f>+[29]TitulosTesouro!$E$159/1000</f>
        <v>8800000</v>
      </c>
      <c r="K361" s="1912"/>
      <c r="L361" s="1912">
        <f>+[29]TitulosTesouro!$E$191/1000</f>
        <v>11000000</v>
      </c>
      <c r="M361" s="1912"/>
      <c r="N361" s="1912"/>
      <c r="O361" s="1912">
        <f>+[29]TitulosTesouro!$E$226/1000</f>
        <v>11000000</v>
      </c>
      <c r="P361" s="1912">
        <f>+[29]TitulosTesouro!$E$242/1000</f>
        <v>16500000</v>
      </c>
      <c r="Q361" s="1912"/>
      <c r="R361" s="1912"/>
      <c r="S361" s="1981">
        <f t="shared" si="129"/>
        <v>57874430</v>
      </c>
      <c r="T361" s="2169"/>
      <c r="U361" s="2178">
        <f t="shared" si="116"/>
        <v>57874430</v>
      </c>
      <c r="V361" s="1854"/>
      <c r="W361" s="2003"/>
      <c r="Y361" s="2008">
        <f t="shared" si="105"/>
        <v>57874.43</v>
      </c>
      <c r="Z361" s="2010">
        <f>'[27]QUADRO 19 (2019)'!$AD$13</f>
        <v>15101</v>
      </c>
    </row>
    <row r="362" spans="1:26" s="1855" customFormat="1" ht="23.25" customHeight="1">
      <c r="A362" s="1895" t="s">
        <v>705</v>
      </c>
      <c r="B362" s="1918"/>
      <c r="C362" s="1914" t="s">
        <v>1648</v>
      </c>
      <c r="D362" s="1910">
        <v>0</v>
      </c>
      <c r="E362" s="1912">
        <f>-PNT!M126*1000</f>
        <v>0</v>
      </c>
      <c r="F362" s="2072">
        <f>-PNT!N126*1000</f>
        <v>0</v>
      </c>
      <c r="G362" s="1912">
        <f>-PNT!O126*1000</f>
        <v>0</v>
      </c>
      <c r="H362" s="1912">
        <f>-PNT!P126*1000</f>
        <v>0</v>
      </c>
      <c r="I362" s="1912">
        <f>-PNT!Q126*1000</f>
        <v>0</v>
      </c>
      <c r="J362" s="1912">
        <f>-PNT!R126*1000</f>
        <v>0</v>
      </c>
      <c r="K362" s="1912">
        <f>-PNT!S126*1000</f>
        <v>0</v>
      </c>
      <c r="L362" s="1912">
        <f>-PNT!T126*1000</f>
        <v>0</v>
      </c>
      <c r="M362" s="1912">
        <f>-PNT!U126*1000</f>
        <v>0</v>
      </c>
      <c r="N362" s="1912">
        <f>-PNT!V126*1000</f>
        <v>0</v>
      </c>
      <c r="O362" s="1912">
        <f>-PNT!W126*1000</f>
        <v>0</v>
      </c>
      <c r="P362" s="1912">
        <f>-PNT!X126*1000</f>
        <v>0</v>
      </c>
      <c r="Q362" s="1912">
        <f>-PNT!Y126*1000</f>
        <v>0</v>
      </c>
      <c r="R362" s="1912">
        <f>-PNT!Z126*1000</f>
        <v>0</v>
      </c>
      <c r="S362" s="1981">
        <f>SUM(G362:R362)</f>
        <v>0</v>
      </c>
      <c r="T362" s="2169">
        <f>-PNT!AB126*1000</f>
        <v>0</v>
      </c>
      <c r="U362" s="2178">
        <f t="shared" si="116"/>
        <v>0</v>
      </c>
      <c r="V362" s="1854"/>
      <c r="W362" s="2003"/>
      <c r="Y362" s="2008">
        <f>S362/1000</f>
        <v>0</v>
      </c>
    </row>
    <row r="363" spans="1:26" s="1855" customFormat="1" ht="23.25" customHeight="1">
      <c r="A363" s="1895" t="s">
        <v>706</v>
      </c>
      <c r="B363" s="1918"/>
      <c r="C363" s="1914" t="s">
        <v>707</v>
      </c>
      <c r="D363" s="1910">
        <v>0</v>
      </c>
      <c r="E363" s="1912">
        <f>-PNT!M129*1000</f>
        <v>0</v>
      </c>
      <c r="F363" s="2072">
        <f>-PNT!N129*1000</f>
        <v>0</v>
      </c>
      <c r="G363" s="1912">
        <f>-PNT!O129*1000</f>
        <v>0</v>
      </c>
      <c r="H363" s="1912">
        <f>-PNT!P129*1000</f>
        <v>0</v>
      </c>
      <c r="I363" s="1912">
        <f>-PNT!Q129*1000</f>
        <v>0</v>
      </c>
      <c r="J363" s="1912">
        <f>-PNT!R129*1000</f>
        <v>0</v>
      </c>
      <c r="K363" s="1912">
        <f>-PNT!S129*1000</f>
        <v>0</v>
      </c>
      <c r="L363" s="1912">
        <f>-PNT!T129*1000</f>
        <v>0</v>
      </c>
      <c r="M363" s="1912">
        <f>-PNT!U129*1000</f>
        <v>0</v>
      </c>
      <c r="N363" s="1912">
        <f>-PNT!V129*1000</f>
        <v>0</v>
      </c>
      <c r="O363" s="1912">
        <f>-PNT!W129*1000</f>
        <v>0</v>
      </c>
      <c r="P363" s="1912">
        <f>-PNT!X129*1000</f>
        <v>0</v>
      </c>
      <c r="Q363" s="1912">
        <f>-PNT!Y129*1000</f>
        <v>0</v>
      </c>
      <c r="R363" s="1912">
        <f>-PNT!Z129*1000</f>
        <v>0</v>
      </c>
      <c r="S363" s="1981">
        <f>SUM(G363:R363)</f>
        <v>0</v>
      </c>
      <c r="T363" s="2169">
        <f>-PNT!AB129*1000</f>
        <v>0</v>
      </c>
      <c r="U363" s="2178">
        <f t="shared" si="116"/>
        <v>0</v>
      </c>
      <c r="V363" s="1854"/>
      <c r="W363" s="2003"/>
      <c r="Y363" s="2008">
        <f>S363/1000</f>
        <v>0</v>
      </c>
    </row>
    <row r="364" spans="1:26" s="1855" customFormat="1" ht="23.25" customHeight="1">
      <c r="A364" s="1895" t="s">
        <v>708</v>
      </c>
      <c r="B364" s="1918"/>
      <c r="C364" s="1914" t="s">
        <v>1650</v>
      </c>
      <c r="D364" s="1910">
        <v>0</v>
      </c>
      <c r="E364" s="1912">
        <f>-PNT!M128*1000</f>
        <v>0</v>
      </c>
      <c r="F364" s="2072">
        <f>-PNT!N128*1000</f>
        <v>0</v>
      </c>
      <c r="G364" s="1912">
        <f>-PNT!O128*1000</f>
        <v>0</v>
      </c>
      <c r="H364" s="1912">
        <f>-PNT!P128*1000</f>
        <v>0</v>
      </c>
      <c r="I364" s="1912">
        <f>-PNT!Q128*1000</f>
        <v>0</v>
      </c>
      <c r="J364" s="1912">
        <f>-PNT!R128*1000</f>
        <v>0</v>
      </c>
      <c r="K364" s="1912">
        <f>-PNT!S128*1000</f>
        <v>0</v>
      </c>
      <c r="L364" s="1912">
        <f>-PNT!T128*1000</f>
        <v>0</v>
      </c>
      <c r="M364" s="1912">
        <f>-PNT!U128*1000</f>
        <v>0</v>
      </c>
      <c r="N364" s="1912">
        <f>-PNT!V128*1000</f>
        <v>0</v>
      </c>
      <c r="O364" s="1912">
        <f>-PNT!W128*1000</f>
        <v>0</v>
      </c>
      <c r="P364" s="1912">
        <f>-PNT!X128*1000</f>
        <v>0</v>
      </c>
      <c r="Q364" s="1912">
        <f>-PNT!Y128*1000</f>
        <v>0</v>
      </c>
      <c r="R364" s="1912">
        <f>-PNT!Z128*1000</f>
        <v>0</v>
      </c>
      <c r="S364" s="1981">
        <f>SUM(G364:R364)</f>
        <v>0</v>
      </c>
      <c r="T364" s="2169">
        <f>-PNT!AB128*1000</f>
        <v>0</v>
      </c>
      <c r="U364" s="2178">
        <f t="shared" si="116"/>
        <v>0</v>
      </c>
      <c r="V364" s="1854"/>
      <c r="W364" s="2003"/>
      <c r="Y364" s="2008">
        <f>S364/1000</f>
        <v>0</v>
      </c>
    </row>
    <row r="365" spans="1:26" s="1855" customFormat="1" ht="26.25">
      <c r="A365" s="1882" t="s">
        <v>709</v>
      </c>
      <c r="B365" s="1959"/>
      <c r="C365" s="1925" t="s">
        <v>710</v>
      </c>
      <c r="D365" s="1906">
        <f t="shared" ref="D365:R365" si="138">D366+D367+D368+D369+D370+D373+D374</f>
        <v>0</v>
      </c>
      <c r="E365" s="1907">
        <v>0</v>
      </c>
      <c r="F365" s="2068">
        <v>0</v>
      </c>
      <c r="G365" s="1907">
        <f>G366+G367+G368+G369+G370+G373+G374</f>
        <v>0</v>
      </c>
      <c r="H365" s="1907">
        <f t="shared" si="138"/>
        <v>0</v>
      </c>
      <c r="I365" s="1907">
        <f t="shared" si="138"/>
        <v>0</v>
      </c>
      <c r="J365" s="1907">
        <f t="shared" si="138"/>
        <v>0</v>
      </c>
      <c r="K365" s="1907">
        <f t="shared" si="138"/>
        <v>0</v>
      </c>
      <c r="L365" s="1907">
        <f t="shared" si="138"/>
        <v>0</v>
      </c>
      <c r="M365" s="1907">
        <f t="shared" si="138"/>
        <v>0</v>
      </c>
      <c r="N365" s="1907">
        <f t="shared" si="138"/>
        <v>0</v>
      </c>
      <c r="O365" s="1907">
        <f t="shared" si="138"/>
        <v>0</v>
      </c>
      <c r="P365" s="1907">
        <f>P366+P367+P368+P369+P370+P373+P374</f>
        <v>0</v>
      </c>
      <c r="Q365" s="1907">
        <f t="shared" si="138"/>
        <v>0</v>
      </c>
      <c r="R365" s="1907">
        <f t="shared" si="138"/>
        <v>0</v>
      </c>
      <c r="S365" s="1981">
        <f t="shared" si="129"/>
        <v>0</v>
      </c>
      <c r="T365" s="2165">
        <f t="shared" ref="T365" si="139">T366+T367+T368+T369+T370+T373+T374</f>
        <v>0</v>
      </c>
      <c r="U365" s="2178">
        <f t="shared" si="116"/>
        <v>0</v>
      </c>
      <c r="V365" s="1854"/>
      <c r="W365" s="2003"/>
      <c r="Y365" s="2008">
        <f t="shared" si="105"/>
        <v>0</v>
      </c>
    </row>
    <row r="366" spans="1:26" s="1855" customFormat="1" ht="23.25" customHeight="1">
      <c r="A366" s="1883" t="s">
        <v>711</v>
      </c>
      <c r="B366" s="1960"/>
      <c r="C366" s="1914" t="s">
        <v>3460</v>
      </c>
      <c r="D366" s="1910"/>
      <c r="E366" s="1912"/>
      <c r="F366" s="2072"/>
      <c r="G366" s="1912"/>
      <c r="H366" s="1912"/>
      <c r="I366" s="1912"/>
      <c r="J366" s="1912"/>
      <c r="K366" s="1912"/>
      <c r="L366" s="1912"/>
      <c r="M366" s="1912"/>
      <c r="N366" s="1912"/>
      <c r="O366" s="1912"/>
      <c r="P366" s="1912"/>
      <c r="Q366" s="1912"/>
      <c r="R366" s="1912"/>
      <c r="S366" s="1981">
        <f t="shared" si="129"/>
        <v>0</v>
      </c>
      <c r="T366" s="2169"/>
      <c r="U366" s="2178">
        <f t="shared" si="116"/>
        <v>0</v>
      </c>
      <c r="V366" s="1854"/>
      <c r="W366" s="2003">
        <f t="shared" si="120"/>
        <v>0</v>
      </c>
      <c r="Y366" s="2008">
        <f t="shared" si="105"/>
        <v>0</v>
      </c>
    </row>
    <row r="367" spans="1:26" s="1855" customFormat="1" ht="23.25" customHeight="1">
      <c r="A367" s="1883" t="s">
        <v>715</v>
      </c>
      <c r="B367" s="1960"/>
      <c r="C367" s="1914" t="s">
        <v>3462</v>
      </c>
      <c r="D367" s="1910"/>
      <c r="E367" s="1995">
        <v>0</v>
      </c>
      <c r="F367" s="2079">
        <v>0</v>
      </c>
      <c r="G367" s="1995">
        <v>0</v>
      </c>
      <c r="H367" s="1995">
        <v>0</v>
      </c>
      <c r="I367" s="1995">
        <v>0</v>
      </c>
      <c r="J367" s="1995">
        <v>0</v>
      </c>
      <c r="K367" s="1995">
        <v>0</v>
      </c>
      <c r="L367" s="1995">
        <v>0</v>
      </c>
      <c r="M367" s="1995">
        <v>0</v>
      </c>
      <c r="N367" s="1995">
        <v>0</v>
      </c>
      <c r="O367" s="1995">
        <v>0</v>
      </c>
      <c r="P367" s="1995">
        <v>0</v>
      </c>
      <c r="Q367" s="1995">
        <v>0</v>
      </c>
      <c r="R367" s="1995">
        <v>0</v>
      </c>
      <c r="S367" s="1981">
        <f t="shared" si="129"/>
        <v>0</v>
      </c>
      <c r="T367" s="2169">
        <v>0</v>
      </c>
      <c r="U367" s="2178">
        <f t="shared" si="116"/>
        <v>0</v>
      </c>
      <c r="V367" s="1854"/>
      <c r="W367" s="2003">
        <f t="shared" si="120"/>
        <v>0</v>
      </c>
      <c r="Y367" s="2008">
        <f t="shared" si="105"/>
        <v>0</v>
      </c>
    </row>
    <row r="368" spans="1:26" s="1855" customFormat="1" ht="23.25" customHeight="1">
      <c r="A368" s="1883" t="s">
        <v>716</v>
      </c>
      <c r="B368" s="1957"/>
      <c r="C368" s="1914" t="s">
        <v>1654</v>
      </c>
      <c r="D368" s="1910">
        <v>0</v>
      </c>
      <c r="E368" s="1912">
        <v>0</v>
      </c>
      <c r="F368" s="2072">
        <v>0</v>
      </c>
      <c r="G368" s="1912">
        <v>0</v>
      </c>
      <c r="H368" s="1912">
        <v>0</v>
      </c>
      <c r="I368" s="1912">
        <v>0</v>
      </c>
      <c r="J368" s="1912">
        <v>0</v>
      </c>
      <c r="K368" s="1912">
        <v>0</v>
      </c>
      <c r="L368" s="1912">
        <v>0</v>
      </c>
      <c r="M368" s="1912">
        <v>0</v>
      </c>
      <c r="N368" s="1912">
        <v>0</v>
      </c>
      <c r="O368" s="1912">
        <v>0</v>
      </c>
      <c r="P368" s="1912">
        <v>0</v>
      </c>
      <c r="Q368" s="1912">
        <v>0</v>
      </c>
      <c r="R368" s="1912">
        <v>0</v>
      </c>
      <c r="S368" s="1981">
        <f t="shared" si="129"/>
        <v>0</v>
      </c>
      <c r="T368" s="2169">
        <v>0</v>
      </c>
      <c r="U368" s="2178">
        <f t="shared" si="116"/>
        <v>0</v>
      </c>
      <c r="V368" s="1854">
        <f>S368/$V$3*100/1000</f>
        <v>0</v>
      </c>
      <c r="W368" s="2003">
        <f t="shared" si="120"/>
        <v>0</v>
      </c>
      <c r="Y368" s="2008">
        <f t="shared" si="105"/>
        <v>0</v>
      </c>
    </row>
    <row r="369" spans="1:26" s="1855" customFormat="1" ht="23.25" customHeight="1">
      <c r="A369" s="1883" t="s">
        <v>717</v>
      </c>
      <c r="B369" s="1957"/>
      <c r="C369" s="1914" t="s">
        <v>3461</v>
      </c>
      <c r="D369" s="1910"/>
      <c r="E369" s="1912"/>
      <c r="F369" s="2072"/>
      <c r="G369" s="1912"/>
      <c r="H369" s="1912"/>
      <c r="I369" s="1912"/>
      <c r="J369" s="1912"/>
      <c r="K369" s="1912"/>
      <c r="L369" s="1912"/>
      <c r="M369" s="1912"/>
      <c r="N369" s="1912"/>
      <c r="O369" s="1912"/>
      <c r="P369" s="1912"/>
      <c r="Q369" s="1912"/>
      <c r="R369" s="1912"/>
      <c r="S369" s="1981">
        <f t="shared" si="129"/>
        <v>0</v>
      </c>
      <c r="T369" s="2169"/>
      <c r="U369" s="2178">
        <f t="shared" si="116"/>
        <v>0</v>
      </c>
      <c r="V369" s="1854"/>
      <c r="W369" s="2003">
        <f t="shared" si="120"/>
        <v>0</v>
      </c>
      <c r="Y369" s="2008">
        <f t="shared" si="105"/>
        <v>0</v>
      </c>
    </row>
    <row r="370" spans="1:26" s="1855" customFormat="1" ht="23.25" customHeight="1">
      <c r="A370" s="1883" t="s">
        <v>719</v>
      </c>
      <c r="B370" s="1957"/>
      <c r="C370" s="1914" t="s">
        <v>720</v>
      </c>
      <c r="D370" s="1910"/>
      <c r="E370" s="1912"/>
      <c r="F370" s="2072">
        <f>F371+F372</f>
        <v>0</v>
      </c>
      <c r="G370" s="1912">
        <f>G371+G372</f>
        <v>0</v>
      </c>
      <c r="H370" s="1912">
        <f t="shared" ref="H370:R370" si="140">H371+H372</f>
        <v>0</v>
      </c>
      <c r="I370" s="1912">
        <f t="shared" si="140"/>
        <v>0</v>
      </c>
      <c r="J370" s="1912">
        <f t="shared" si="140"/>
        <v>0</v>
      </c>
      <c r="K370" s="1912">
        <f t="shared" si="140"/>
        <v>0</v>
      </c>
      <c r="L370" s="1912">
        <f t="shared" si="140"/>
        <v>0</v>
      </c>
      <c r="M370" s="1912">
        <f t="shared" si="140"/>
        <v>0</v>
      </c>
      <c r="N370" s="1912">
        <f t="shared" si="140"/>
        <v>0</v>
      </c>
      <c r="O370" s="1912">
        <f t="shared" si="140"/>
        <v>0</v>
      </c>
      <c r="P370" s="1912">
        <f>P371+P372</f>
        <v>0</v>
      </c>
      <c r="Q370" s="1912">
        <f t="shared" si="140"/>
        <v>0</v>
      </c>
      <c r="R370" s="1912">
        <f t="shared" si="140"/>
        <v>0</v>
      </c>
      <c r="S370" s="1981">
        <f t="shared" si="129"/>
        <v>0</v>
      </c>
      <c r="T370" s="2169">
        <f>T371+T372</f>
        <v>0</v>
      </c>
      <c r="U370" s="2178">
        <f t="shared" si="116"/>
        <v>0</v>
      </c>
      <c r="V370" s="1854"/>
      <c r="W370" s="2003">
        <f t="shared" si="120"/>
        <v>0</v>
      </c>
      <c r="Y370" s="2008">
        <f t="shared" si="105"/>
        <v>0</v>
      </c>
    </row>
    <row r="371" spans="1:26" s="1855" customFormat="1" ht="23.25" customHeight="1">
      <c r="A371" s="1883" t="s">
        <v>721</v>
      </c>
      <c r="B371" s="1957"/>
      <c r="C371" s="2161" t="s">
        <v>722</v>
      </c>
      <c r="D371" s="1910"/>
      <c r="E371" s="1912"/>
      <c r="F371" s="2072">
        <f>+'Fin-Int'!B21</f>
        <v>0</v>
      </c>
      <c r="G371" s="1912">
        <f>+'Fin-Int'!C21</f>
        <v>0</v>
      </c>
      <c r="H371" s="1912">
        <f>+'Fin-Int'!D21</f>
        <v>0</v>
      </c>
      <c r="I371" s="1912">
        <f>+'Fin-Int'!E21</f>
        <v>0</v>
      </c>
      <c r="J371" s="1912">
        <f>+'Fin-Int'!F21</f>
        <v>0</v>
      </c>
      <c r="K371" s="1912">
        <f>+'Fin-Int'!G21</f>
        <v>0</v>
      </c>
      <c r="L371" s="1912">
        <f>+'Fin-Int'!H21</f>
        <v>0</v>
      </c>
      <c r="M371" s="1912">
        <f>+'Fin-Int'!I21</f>
        <v>0</v>
      </c>
      <c r="N371" s="1912">
        <f>+'Fin-Int'!J21</f>
        <v>0</v>
      </c>
      <c r="O371" s="1912">
        <f>+'Fin-Int'!K21</f>
        <v>0</v>
      </c>
      <c r="P371" s="1912">
        <f>+'Fin-Int'!L21</f>
        <v>0</v>
      </c>
      <c r="Q371" s="1912">
        <f>+'Fin-Int'!M21</f>
        <v>0</v>
      </c>
      <c r="R371" s="1912">
        <f>+'Fin-Int'!N21</f>
        <v>0</v>
      </c>
      <c r="S371" s="1981">
        <f t="shared" si="129"/>
        <v>0</v>
      </c>
      <c r="T371" s="2169">
        <f>+'Fin-Int'!P21</f>
        <v>0</v>
      </c>
      <c r="U371" s="2178">
        <f t="shared" si="116"/>
        <v>0</v>
      </c>
      <c r="V371" s="1854"/>
      <c r="W371" s="2003">
        <f t="shared" si="120"/>
        <v>0</v>
      </c>
      <c r="Y371" s="2008">
        <f t="shared" si="105"/>
        <v>0</v>
      </c>
    </row>
    <row r="372" spans="1:26" s="1855" customFormat="1" ht="23.25" customHeight="1">
      <c r="A372" s="1883" t="s">
        <v>723</v>
      </c>
      <c r="B372" s="1961"/>
      <c r="C372" s="2161" t="s">
        <v>697</v>
      </c>
      <c r="D372" s="1952"/>
      <c r="E372" s="1996"/>
      <c r="F372" s="2072">
        <f>-'Fin-Int'!B24</f>
        <v>0</v>
      </c>
      <c r="G372" s="1996">
        <f>-'Fin-Int'!C24</f>
        <v>0</v>
      </c>
      <c r="H372" s="1996">
        <f>-'Fin-Int'!D24</f>
        <v>0</v>
      </c>
      <c r="I372" s="1996">
        <f>-'Fin-Int'!E24</f>
        <v>0</v>
      </c>
      <c r="J372" s="1996">
        <f>-'Fin-Int'!F24</f>
        <v>0</v>
      </c>
      <c r="K372" s="1996">
        <f>-'Fin-Int'!G24</f>
        <v>0</v>
      </c>
      <c r="L372" s="1996">
        <f>-'Fin-Int'!H24</f>
        <v>0</v>
      </c>
      <c r="M372" s="1996">
        <f>-'Fin-Int'!I24</f>
        <v>0</v>
      </c>
      <c r="N372" s="1996">
        <f>-'Fin-Int'!J24</f>
        <v>0</v>
      </c>
      <c r="O372" s="1996">
        <f>-'Fin-Int'!K24</f>
        <v>0</v>
      </c>
      <c r="P372" s="1996">
        <f>-'Fin-Int'!L24</f>
        <v>0</v>
      </c>
      <c r="Q372" s="1996">
        <f>-'Fin-Int'!M24</f>
        <v>0</v>
      </c>
      <c r="R372" s="1996">
        <f>-'Fin-Int'!N24</f>
        <v>0</v>
      </c>
      <c r="S372" s="1981">
        <f t="shared" si="129"/>
        <v>0</v>
      </c>
      <c r="T372" s="2169">
        <f>-'Fin-Int'!P24</f>
        <v>0</v>
      </c>
      <c r="U372" s="2178">
        <f t="shared" si="116"/>
        <v>0</v>
      </c>
      <c r="V372" s="1854"/>
      <c r="W372" s="2003">
        <f t="shared" si="120"/>
        <v>0</v>
      </c>
      <c r="Y372" s="2008">
        <f t="shared" si="105"/>
        <v>0</v>
      </c>
    </row>
    <row r="373" spans="1:26" s="1855" customFormat="1" ht="23.25" customHeight="1">
      <c r="A373" s="1883" t="s">
        <v>740</v>
      </c>
      <c r="B373" s="1957"/>
      <c r="C373" s="1914" t="s">
        <v>1672</v>
      </c>
      <c r="D373" s="1910"/>
      <c r="E373" s="1912"/>
      <c r="F373" s="2072"/>
      <c r="G373" s="1912"/>
      <c r="H373" s="1912"/>
      <c r="I373" s="1912"/>
      <c r="J373" s="1912"/>
      <c r="K373" s="1912"/>
      <c r="L373" s="1912"/>
      <c r="M373" s="1912"/>
      <c r="N373" s="1912"/>
      <c r="O373" s="1912"/>
      <c r="P373" s="1912"/>
      <c r="Q373" s="1912"/>
      <c r="R373" s="1912"/>
      <c r="S373" s="1981">
        <f t="shared" si="129"/>
        <v>0</v>
      </c>
      <c r="T373" s="2169"/>
      <c r="U373" s="2178">
        <f t="shared" si="116"/>
        <v>0</v>
      </c>
      <c r="V373" s="1854"/>
      <c r="W373" s="2003">
        <f t="shared" si="120"/>
        <v>0</v>
      </c>
      <c r="Y373" s="2008">
        <f t="shared" si="105"/>
        <v>0</v>
      </c>
    </row>
    <row r="374" spans="1:26" s="1855" customFormat="1" ht="23.25" customHeight="1">
      <c r="A374" s="1883" t="s">
        <v>743</v>
      </c>
      <c r="B374" s="1957"/>
      <c r="C374" s="1914" t="s">
        <v>1574</v>
      </c>
      <c r="D374" s="1910"/>
      <c r="E374" s="1912" t="str">
        <f>+'Receitas (mensais)'!C335</f>
        <v>10 01 00</v>
      </c>
      <c r="F374" s="2072" t="str">
        <f>+'Receitas (mensais)'!D335</f>
        <v>Privatizaçoes</v>
      </c>
      <c r="G374" s="1912">
        <f>+'Receitas (mensais)'!E335</f>
        <v>0</v>
      </c>
      <c r="H374" s="1912">
        <f>+'Receitas (mensais)'!F342</f>
        <v>0</v>
      </c>
      <c r="I374" s="1912">
        <f>+'Receitas (mensais)'!G335</f>
        <v>0</v>
      </c>
      <c r="J374" s="1912">
        <f>+'Receitas (mensais)'!H335</f>
        <v>0</v>
      </c>
      <c r="K374" s="1912">
        <f>+'Receitas (mensais)'!I335</f>
        <v>0</v>
      </c>
      <c r="L374" s="1912">
        <f>+'Receitas (mensais)'!J335</f>
        <v>0</v>
      </c>
      <c r="M374" s="1912">
        <f>+'Receitas (mensais)'!K335</f>
        <v>0</v>
      </c>
      <c r="N374" s="1912">
        <f>+'Receitas (mensais)'!L335</f>
        <v>0</v>
      </c>
      <c r="O374" s="1912">
        <f>+'Receitas (mensais)'!M335</f>
        <v>0</v>
      </c>
      <c r="P374" s="1912">
        <f>+'Receitas (mensais)'!N335</f>
        <v>0</v>
      </c>
      <c r="Q374" s="1912">
        <f>+'Receitas (mensais)'!O335</f>
        <v>0</v>
      </c>
      <c r="R374" s="1912">
        <f>+'Receitas (mensais)'!P335</f>
        <v>0</v>
      </c>
      <c r="S374" s="1981">
        <f t="shared" si="129"/>
        <v>0</v>
      </c>
      <c r="T374" s="2169">
        <f>+'Receitas (mensais)'!R335</f>
        <v>0</v>
      </c>
      <c r="U374" s="2178">
        <f t="shared" si="116"/>
        <v>0</v>
      </c>
      <c r="V374" s="1854"/>
      <c r="W374" s="2003">
        <f t="shared" si="120"/>
        <v>0</v>
      </c>
      <c r="Y374" s="2008">
        <f t="shared" si="105"/>
        <v>0</v>
      </c>
    </row>
    <row r="375" spans="1:26" s="1855" customFormat="1" ht="23.25" customHeight="1">
      <c r="A375" s="1883"/>
      <c r="B375" s="1957"/>
      <c r="C375" s="1943"/>
      <c r="D375" s="1910"/>
      <c r="E375" s="1912"/>
      <c r="F375" s="2072"/>
      <c r="G375" s="1912"/>
      <c r="H375" s="1912"/>
      <c r="I375" s="1912"/>
      <c r="J375" s="1912"/>
      <c r="K375" s="1912"/>
      <c r="L375" s="1912"/>
      <c r="M375" s="1912"/>
      <c r="N375" s="1912"/>
      <c r="O375" s="1912"/>
      <c r="P375" s="1912"/>
      <c r="Q375" s="1912"/>
      <c r="R375" s="1912"/>
      <c r="S375" s="1981">
        <f t="shared" si="129"/>
        <v>0</v>
      </c>
      <c r="T375" s="2169"/>
      <c r="U375" s="2178">
        <f t="shared" si="116"/>
        <v>0</v>
      </c>
      <c r="V375" s="1854"/>
      <c r="W375" s="2003">
        <f t="shared" si="120"/>
        <v>0</v>
      </c>
      <c r="Y375" s="2008">
        <f t="shared" si="105"/>
        <v>0</v>
      </c>
    </row>
    <row r="376" spans="1:26" s="1855" customFormat="1" ht="26.25">
      <c r="A376" s="1883"/>
      <c r="B376" s="1957"/>
      <c r="C376" s="1943"/>
      <c r="D376" s="1910"/>
      <c r="E376" s="1912"/>
      <c r="F376" s="2072"/>
      <c r="G376" s="1912"/>
      <c r="H376" s="1912"/>
      <c r="I376" s="1912"/>
      <c r="J376" s="1912"/>
      <c r="K376" s="1912"/>
      <c r="L376" s="1912"/>
      <c r="M376" s="1912"/>
      <c r="N376" s="1912"/>
      <c r="O376" s="1912"/>
      <c r="P376" s="1912"/>
      <c r="Q376" s="1912"/>
      <c r="R376" s="1912"/>
      <c r="S376" s="1981">
        <f t="shared" si="129"/>
        <v>0</v>
      </c>
      <c r="T376" s="2169"/>
      <c r="U376" s="2178">
        <f t="shared" si="116"/>
        <v>0</v>
      </c>
      <c r="V376" s="1854"/>
      <c r="W376" s="2003">
        <f t="shared" si="120"/>
        <v>0</v>
      </c>
      <c r="Y376" s="2008">
        <f t="shared" ref="Y376:Y391" si="141">S376/1000</f>
        <v>0</v>
      </c>
    </row>
    <row r="377" spans="1:26" s="1863" customFormat="1" ht="26.25">
      <c r="A377" s="1888" t="s">
        <v>725</v>
      </c>
      <c r="B377" s="1919" t="s">
        <v>745</v>
      </c>
      <c r="C377" s="1925" t="s">
        <v>3213</v>
      </c>
      <c r="D377" s="1906">
        <f>D378+D382+D383+D384+D387</f>
        <v>0</v>
      </c>
      <c r="E377" s="1907">
        <f>+E378+E382</f>
        <v>16323625.604230151</v>
      </c>
      <c r="F377" s="2068">
        <f>+F378+F382</f>
        <v>16357087.611000001</v>
      </c>
      <c r="G377" s="1907">
        <f>G378+G382+G383+G384</f>
        <v>-166758.93841249999</v>
      </c>
      <c r="H377" s="1907">
        <f t="shared" ref="H377:R377" si="142">H378+H382+H383+H384</f>
        <v>-161668.26415025</v>
      </c>
      <c r="I377" s="1907">
        <f t="shared" si="142"/>
        <v>3419276.8597964002</v>
      </c>
      <c r="J377" s="1907">
        <f t="shared" si="142"/>
        <v>-341244.28076133004</v>
      </c>
      <c r="K377" s="1907">
        <f t="shared" si="142"/>
        <v>-146734.5</v>
      </c>
      <c r="L377" s="1907">
        <f t="shared" si="142"/>
        <v>2409511.2626744802</v>
      </c>
      <c r="M377" s="1907">
        <f t="shared" si="142"/>
        <v>-118204.85599999997</v>
      </c>
      <c r="N377" s="1907">
        <f t="shared" si="142"/>
        <v>-159878.886</v>
      </c>
      <c r="O377" s="1907">
        <f t="shared" si="142"/>
        <v>8353202.453999999</v>
      </c>
      <c r="P377" s="1907">
        <f>P378+P382+P383+P384</f>
        <v>-206251.68685250002</v>
      </c>
      <c r="Q377" s="1907">
        <f>Q378+Q382+Q383+Q384</f>
        <v>-149487.76217</v>
      </c>
      <c r="R377" s="1907">
        <f t="shared" si="142"/>
        <v>-857014.3</v>
      </c>
      <c r="S377" s="1981">
        <f t="shared" si="129"/>
        <v>11874747.1021243</v>
      </c>
      <c r="T377" s="2165">
        <f>T378+T382+T383+T384</f>
        <v>146734.5</v>
      </c>
      <c r="U377" s="2178">
        <f t="shared" si="116"/>
        <v>11728012.6021243</v>
      </c>
      <c r="V377" s="1862">
        <f>S377/$V$3*100/1000</f>
        <v>1.4689015601148303</v>
      </c>
      <c r="W377" s="2003">
        <f t="shared" si="120"/>
        <v>1.4274248229503907</v>
      </c>
      <c r="Y377" s="2008">
        <f t="shared" si="141"/>
        <v>11874.7471021243</v>
      </c>
    </row>
    <row r="378" spans="1:26" s="1855" customFormat="1" ht="26.25">
      <c r="A378" s="1883" t="s">
        <v>749</v>
      </c>
      <c r="B378" s="1956" t="s">
        <v>748</v>
      </c>
      <c r="C378" s="1962" t="s">
        <v>750</v>
      </c>
      <c r="D378" s="1910">
        <f t="shared" ref="D378:R378" si="143">SUM(D379:D381)</f>
        <v>0</v>
      </c>
      <c r="E378" s="1912">
        <f>+E379+E380</f>
        <v>18229365.747000001</v>
      </c>
      <c r="F378" s="2072">
        <f>+F379+F380</f>
        <v>23481087.611000001</v>
      </c>
      <c r="G378" s="1912">
        <f>SUM(G379:G381)</f>
        <v>0</v>
      </c>
      <c r="H378" s="1912">
        <f t="shared" si="143"/>
        <v>0</v>
      </c>
      <c r="I378" s="1912">
        <f t="shared" si="143"/>
        <v>3549161.0410000002</v>
      </c>
      <c r="J378" s="1912">
        <f t="shared" si="143"/>
        <v>0</v>
      </c>
      <c r="K378" s="1912">
        <f t="shared" si="143"/>
        <v>0</v>
      </c>
      <c r="L378" s="1912">
        <f t="shared" si="143"/>
        <v>2620536.50856</v>
      </c>
      <c r="M378" s="1912">
        <f t="shared" si="143"/>
        <v>0</v>
      </c>
      <c r="N378" s="1912">
        <f t="shared" si="143"/>
        <v>0</v>
      </c>
      <c r="O378" s="1912">
        <f t="shared" si="143"/>
        <v>8422775.3149999995</v>
      </c>
      <c r="P378" s="1912">
        <f>SUM(P379:P381)</f>
        <v>0</v>
      </c>
      <c r="Q378" s="1912">
        <f>SUM(Q379:Q381)</f>
        <v>0</v>
      </c>
      <c r="R378" s="1912">
        <f t="shared" si="143"/>
        <v>165.7</v>
      </c>
      <c r="S378" s="1981">
        <f t="shared" si="129"/>
        <v>14592638.56456</v>
      </c>
      <c r="T378" s="2169">
        <f t="shared" ref="T378" si="144">SUM(T379:T381)</f>
        <v>0</v>
      </c>
      <c r="U378" s="2178">
        <f t="shared" si="116"/>
        <v>14592638.56456</v>
      </c>
      <c r="V378" s="1854"/>
      <c r="W378" s="2003"/>
      <c r="Y378" s="2008">
        <f t="shared" si="141"/>
        <v>14592.63856456</v>
      </c>
    </row>
    <row r="379" spans="1:26" s="1855" customFormat="1" ht="26.25">
      <c r="A379" s="1883" t="s">
        <v>752</v>
      </c>
      <c r="B379" s="1956" t="s">
        <v>751</v>
      </c>
      <c r="C379" s="1955" t="s">
        <v>753</v>
      </c>
      <c r="D379" s="1910">
        <v>0</v>
      </c>
      <c r="E379" s="1912">
        <f>+[28]Tofe!$Q$129</f>
        <v>18229365.747000001</v>
      </c>
      <c r="F379" s="2072">
        <v>23481087.611000001</v>
      </c>
      <c r="G379" s="1912">
        <f>+'Ordon-Dep'!E46</f>
        <v>0</v>
      </c>
      <c r="H379" s="1912">
        <f>+'Ordon-Dep'!F46</f>
        <v>0</v>
      </c>
      <c r="I379" s="1912">
        <f>+'Ordon-Dep'!G46</f>
        <v>3549161.0410000002</v>
      </c>
      <c r="J379" s="1912">
        <f>+'Ordon-Dep'!H46</f>
        <v>0</v>
      </c>
      <c r="K379" s="1912">
        <f>+'Ordon-Dep'!I46</f>
        <v>0</v>
      </c>
      <c r="L379" s="1912">
        <f>+'Ordon-Dep'!J46</f>
        <v>2620536.50856</v>
      </c>
      <c r="M379" s="1912">
        <f>+'Ordon-Dep'!K46</f>
        <v>0</v>
      </c>
      <c r="N379" s="1912">
        <f>+'Ordon-Dep'!L46</f>
        <v>0</v>
      </c>
      <c r="O379" s="1912">
        <f>+'Ordon-Dep'!M46</f>
        <v>8422775.3149999995</v>
      </c>
      <c r="P379" s="1912">
        <f>+'Ordon-Dep'!N46</f>
        <v>0</v>
      </c>
      <c r="Q379" s="1912">
        <f>+'Ordon-Dep'!O46</f>
        <v>0</v>
      </c>
      <c r="R379" s="1912">
        <f>+'Ordon-Dep'!P46</f>
        <v>165.7</v>
      </c>
      <c r="S379" s="1981">
        <f t="shared" si="129"/>
        <v>14592638.56456</v>
      </c>
      <c r="T379" s="2169">
        <f>+'Ordon-Dep'!R46</f>
        <v>0</v>
      </c>
      <c r="U379" s="2178">
        <f t="shared" si="116"/>
        <v>14592638.56456</v>
      </c>
      <c r="V379" s="1854"/>
      <c r="W379" s="2003"/>
      <c r="Y379" s="2008">
        <f t="shared" si="141"/>
        <v>14592.63856456</v>
      </c>
    </row>
    <row r="380" spans="1:26" s="1855" customFormat="1" ht="26.25">
      <c r="A380" s="1883" t="s">
        <v>755</v>
      </c>
      <c r="B380" s="1956" t="s">
        <v>754</v>
      </c>
      <c r="C380" s="1955" t="s">
        <v>756</v>
      </c>
      <c r="D380" s="1910">
        <f>+'Appui-Bud'!E19</f>
        <v>0</v>
      </c>
      <c r="E380" s="1912">
        <f>+'Appui-Bud'!E19</f>
        <v>0</v>
      </c>
      <c r="F380" s="2072">
        <f>+'Appui-Bud'!F19</f>
        <v>0</v>
      </c>
      <c r="G380" s="1912">
        <f>+'Appui-Bud'!G19</f>
        <v>0</v>
      </c>
      <c r="H380" s="1912">
        <f>+'Appui-Bud'!H19</f>
        <v>0</v>
      </c>
      <c r="I380" s="1912">
        <f>+'Appui-Bud'!I19</f>
        <v>0</v>
      </c>
      <c r="J380" s="1912">
        <f>+'Appui-Bud'!J19</f>
        <v>0</v>
      </c>
      <c r="K380" s="1912">
        <f>+'Appui-Bud'!K19</f>
        <v>0</v>
      </c>
      <c r="L380" s="1912">
        <f>+'Appui-Bud'!L19</f>
        <v>0</v>
      </c>
      <c r="M380" s="1912">
        <f>+'Appui-Bud'!M19</f>
        <v>0</v>
      </c>
      <c r="N380" s="1912">
        <f>+'Appui-Bud'!N19</f>
        <v>0</v>
      </c>
      <c r="O380" s="1912">
        <f>+'Appui-Bud'!O19</f>
        <v>0</v>
      </c>
      <c r="P380" s="1912">
        <f>+'Appui-Bud'!P19</f>
        <v>0</v>
      </c>
      <c r="Q380" s="1912">
        <f>+'Appui-Bud'!Q19</f>
        <v>0</v>
      </c>
      <c r="R380" s="1912">
        <f>+'Appui-Bud'!R19</f>
        <v>0</v>
      </c>
      <c r="S380" s="1981">
        <f t="shared" si="129"/>
        <v>0</v>
      </c>
      <c r="T380" s="2169">
        <f>+'Appui-Bud'!T19</f>
        <v>0</v>
      </c>
      <c r="U380" s="2178">
        <f t="shared" si="116"/>
        <v>0</v>
      </c>
      <c r="V380" s="1854"/>
      <c r="W380" s="2003"/>
      <c r="Y380" s="2008">
        <f t="shared" si="141"/>
        <v>0</v>
      </c>
    </row>
    <row r="381" spans="1:26" s="1855" customFormat="1" ht="23.25" customHeight="1">
      <c r="A381" s="1883" t="s">
        <v>761</v>
      </c>
      <c r="B381" s="1956" t="s">
        <v>757</v>
      </c>
      <c r="C381" s="1955" t="s">
        <v>762</v>
      </c>
      <c r="D381" s="1910"/>
      <c r="E381" s="1912"/>
      <c r="F381" s="2072"/>
      <c r="G381" s="1912"/>
      <c r="H381" s="1912"/>
      <c r="I381" s="1912"/>
      <c r="J381" s="1912"/>
      <c r="K381" s="1912"/>
      <c r="L381" s="1912"/>
      <c r="M381" s="1912"/>
      <c r="N381" s="1912"/>
      <c r="O381" s="1912"/>
      <c r="P381" s="1912"/>
      <c r="Q381" s="1912"/>
      <c r="R381" s="1912"/>
      <c r="S381" s="1981">
        <f t="shared" si="129"/>
        <v>0</v>
      </c>
      <c r="T381" s="2169"/>
      <c r="U381" s="2178">
        <f t="shared" si="116"/>
        <v>0</v>
      </c>
      <c r="V381" s="1854"/>
      <c r="W381" s="2003"/>
      <c r="Y381" s="2008">
        <f t="shared" si="141"/>
        <v>0</v>
      </c>
    </row>
    <row r="382" spans="1:26" s="1855" customFormat="1" ht="26.25">
      <c r="A382" s="1883" t="s">
        <v>767</v>
      </c>
      <c r="B382" s="1957" t="s">
        <v>766</v>
      </c>
      <c r="C382" s="1962" t="s">
        <v>768</v>
      </c>
      <c r="D382" s="1910"/>
      <c r="E382" s="1912">
        <f>+[28]Tofe!$Q$132+[28]Tofe!$Q$134</f>
        <v>-1905740.1427698499</v>
      </c>
      <c r="F382" s="2072">
        <v>-7124000</v>
      </c>
      <c r="G382" s="1912">
        <f>-'Ordon-Dep'!E36</f>
        <v>-166758.93841249999</v>
      </c>
      <c r="H382" s="1912">
        <f>-'Ordon-Dep'!F36</f>
        <v>-161668.26415025</v>
      </c>
      <c r="I382" s="1912">
        <f>-'Ordon-Dep'!G36</f>
        <v>-208992.39620359999</v>
      </c>
      <c r="J382" s="1912">
        <f>-'Ordon-Dep'!H36</f>
        <v>-341244.28076133004</v>
      </c>
      <c r="K382" s="1912">
        <f>-'Ordon-Dep'!I36</f>
        <v>-146734.5</v>
      </c>
      <c r="L382" s="1912">
        <f>-'Ordon-Dep'!J36</f>
        <v>-211025.24588551998</v>
      </c>
      <c r="M382" s="1912">
        <f>-'Ordon-Dep'!K36</f>
        <v>-446954.85599999997</v>
      </c>
      <c r="N382" s="1912">
        <f>-'Ordon-Dep'!L36</f>
        <v>-159878.886</v>
      </c>
      <c r="O382" s="1912">
        <f>-'Ordon-Dep'!M36</f>
        <v>-273286.26199999999</v>
      </c>
      <c r="P382" s="1912">
        <f>-'Ordon-Dep'!N36</f>
        <v>-509501.68685250002</v>
      </c>
      <c r="Q382" s="1912">
        <f>-'Ordon-Dep'!O36</f>
        <v>-149487.76217</v>
      </c>
      <c r="R382" s="1912">
        <f>-'Ordon-Dep'!P36</f>
        <v>-922841.45</v>
      </c>
      <c r="S382" s="1981">
        <f t="shared" si="129"/>
        <v>-3698374.5284356996</v>
      </c>
      <c r="T382" s="2169">
        <f>-'Ordon-Dep'!R36</f>
        <v>0</v>
      </c>
      <c r="U382" s="2178">
        <f t="shared" si="116"/>
        <v>-3698374.5284356996</v>
      </c>
      <c r="V382" s="1854"/>
      <c r="W382" s="2003"/>
      <c r="Y382" s="2008">
        <f t="shared" si="141"/>
        <v>-3698.3745284356996</v>
      </c>
      <c r="Z382" s="2010">
        <f>'[27]QUADRO 19 (2019)'!$AD$30</f>
        <v>4179.1760000000004</v>
      </c>
    </row>
    <row r="383" spans="1:26" s="1855" customFormat="1" ht="23.25" customHeight="1">
      <c r="A383" s="1883" t="s">
        <v>770</v>
      </c>
      <c r="B383" s="1942"/>
      <c r="C383" s="1962" t="s">
        <v>771</v>
      </c>
      <c r="D383" s="1910"/>
      <c r="E383" s="1912"/>
      <c r="F383" s="2072">
        <f>+Dettes!B131</f>
        <v>0</v>
      </c>
      <c r="G383" s="1912">
        <f>+Dettes!C131</f>
        <v>0</v>
      </c>
      <c r="H383" s="1912">
        <f>+Dettes!D131</f>
        <v>0</v>
      </c>
      <c r="I383" s="1912">
        <f>+Dettes!E131</f>
        <v>0</v>
      </c>
      <c r="J383" s="1912">
        <f>+Dettes!F131</f>
        <v>0</v>
      </c>
      <c r="K383" s="1912">
        <f>+Dettes!G131</f>
        <v>0</v>
      </c>
      <c r="L383" s="1912">
        <f>+Dettes!H131</f>
        <v>0</v>
      </c>
      <c r="M383" s="1912">
        <f>+Dettes!I131</f>
        <v>0</v>
      </c>
      <c r="N383" s="1912">
        <f>+Dettes!J131</f>
        <v>0</v>
      </c>
      <c r="O383" s="1912">
        <f>+Dettes!K131</f>
        <v>0</v>
      </c>
      <c r="P383" s="1912">
        <f>+Dettes!L131</f>
        <v>0</v>
      </c>
      <c r="Q383" s="1912">
        <f>+Dettes!M131</f>
        <v>0</v>
      </c>
      <c r="R383" s="1912">
        <f>+Dettes!N131</f>
        <v>0</v>
      </c>
      <c r="S383" s="1981">
        <f t="shared" si="129"/>
        <v>0</v>
      </c>
      <c r="T383" s="2169">
        <f>+Dettes!P131</f>
        <v>0</v>
      </c>
      <c r="U383" s="2178">
        <f t="shared" si="116"/>
        <v>0</v>
      </c>
      <c r="V383" s="1854">
        <f t="shared" ref="V383:V389" si="145">S383/$V$3*100/1000</f>
        <v>0</v>
      </c>
      <c r="W383" s="2003">
        <f t="shared" si="120"/>
        <v>0</v>
      </c>
      <c r="Y383" s="2008">
        <f t="shared" si="141"/>
        <v>0</v>
      </c>
    </row>
    <row r="384" spans="1:26" s="1855" customFormat="1" ht="23.25" customHeight="1">
      <c r="A384" s="1883" t="s">
        <v>1653</v>
      </c>
      <c r="B384" s="1942"/>
      <c r="C384" s="1962" t="s">
        <v>1654</v>
      </c>
      <c r="D384" s="1910"/>
      <c r="E384" s="1912">
        <f>+E385+E386</f>
        <v>166758.93841249999</v>
      </c>
      <c r="F384" s="2072">
        <f>+F385+F386</f>
        <v>0</v>
      </c>
      <c r="G384" s="1912">
        <f>+G385+G386</f>
        <v>0</v>
      </c>
      <c r="H384" s="1912">
        <f t="shared" ref="H384:R384" si="146">+H385+H386</f>
        <v>0</v>
      </c>
      <c r="I384" s="1912">
        <f t="shared" si="146"/>
        <v>79108.214999999997</v>
      </c>
      <c r="J384" s="1912">
        <f t="shared" si="146"/>
        <v>0</v>
      </c>
      <c r="K384" s="1912">
        <f t="shared" si="146"/>
        <v>0</v>
      </c>
      <c r="L384" s="1912">
        <f t="shared" si="146"/>
        <v>0</v>
      </c>
      <c r="M384" s="1912">
        <f t="shared" si="146"/>
        <v>328750</v>
      </c>
      <c r="N384" s="1912">
        <f t="shared" si="146"/>
        <v>0</v>
      </c>
      <c r="O384" s="1912">
        <f t="shared" si="146"/>
        <v>203713.40100000001</v>
      </c>
      <c r="P384" s="1912">
        <f t="shared" si="146"/>
        <v>303250</v>
      </c>
      <c r="Q384" s="1912">
        <f>+Q385+Q386</f>
        <v>0</v>
      </c>
      <c r="R384" s="1912">
        <f t="shared" si="146"/>
        <v>65661.45</v>
      </c>
      <c r="S384" s="1981">
        <f t="shared" si="129"/>
        <v>980483.06599999988</v>
      </c>
      <c r="T384" s="2169">
        <f>+T385+T386</f>
        <v>146734.5</v>
      </c>
      <c r="U384" s="2178">
        <f t="shared" si="116"/>
        <v>833748.56599999988</v>
      </c>
      <c r="V384" s="1854">
        <f t="shared" si="145"/>
        <v>0.12128537078957458</v>
      </c>
      <c r="W384" s="2003">
        <f t="shared" si="120"/>
        <v>0.11786068830388266</v>
      </c>
      <c r="Y384" s="2008">
        <f t="shared" si="141"/>
        <v>980.48306599999989</v>
      </c>
    </row>
    <row r="385" spans="1:25" s="1855" customFormat="1" ht="23.25" customHeight="1">
      <c r="A385" s="1883" t="s">
        <v>1659</v>
      </c>
      <c r="B385" s="1942"/>
      <c r="C385" s="1955" t="s">
        <v>1660</v>
      </c>
      <c r="D385" s="1910"/>
      <c r="E385" s="1912">
        <f>+Dettes!D6</f>
        <v>166758.93841249999</v>
      </c>
      <c r="F385" s="2072">
        <f>+Dettes!E6</f>
        <v>0</v>
      </c>
      <c r="G385" s="1912">
        <f>+Dettes!F6</f>
        <v>0</v>
      </c>
      <c r="H385" s="1912">
        <f>+Dettes!J6</f>
        <v>0</v>
      </c>
      <c r="I385" s="1912">
        <f>+Dettes!N6</f>
        <v>79108.214999999997</v>
      </c>
      <c r="J385" s="1912">
        <f>+Dettes!R6</f>
        <v>0</v>
      </c>
      <c r="K385" s="1912">
        <f>+Dettes!V6</f>
        <v>0</v>
      </c>
      <c r="L385" s="1912">
        <f>+Dettes!Z6</f>
        <v>0</v>
      </c>
      <c r="M385" s="1912">
        <f>+Dettes!AD6</f>
        <v>328750</v>
      </c>
      <c r="N385" s="1912">
        <f>+Dettes!AH6</f>
        <v>0</v>
      </c>
      <c r="O385" s="1912">
        <f>+Dettes!AL6</f>
        <v>203713.40100000001</v>
      </c>
      <c r="P385" s="1912">
        <f>+Dettes!AP6</f>
        <v>303250</v>
      </c>
      <c r="Q385" s="1912">
        <f>+Dettes!AT6</f>
        <v>0</v>
      </c>
      <c r="R385" s="1912">
        <f>+Dettes!AX6</f>
        <v>65661.45</v>
      </c>
      <c r="S385" s="1981">
        <f t="shared" si="129"/>
        <v>980483.06599999988</v>
      </c>
      <c r="T385" s="2169">
        <f>+Dettes!S6</f>
        <v>146734.5</v>
      </c>
      <c r="U385" s="2178">
        <f t="shared" si="116"/>
        <v>833748.56599999988</v>
      </c>
      <c r="V385" s="1854">
        <f t="shared" si="145"/>
        <v>0.12128537078957458</v>
      </c>
      <c r="W385" s="2003">
        <f t="shared" si="120"/>
        <v>0.11786068830388266</v>
      </c>
      <c r="Y385" s="2008">
        <f t="shared" si="141"/>
        <v>980.48306599999989</v>
      </c>
    </row>
    <row r="386" spans="1:25" s="1855" customFormat="1" ht="23.25" customHeight="1">
      <c r="A386" s="1883" t="s">
        <v>726</v>
      </c>
      <c r="B386" s="1942"/>
      <c r="C386" s="1955" t="s">
        <v>1663</v>
      </c>
      <c r="D386" s="1910"/>
      <c r="E386" s="1912"/>
      <c r="F386" s="2072"/>
      <c r="G386" s="1912"/>
      <c r="H386" s="1912"/>
      <c r="I386" s="1912"/>
      <c r="J386" s="1912"/>
      <c r="K386" s="1912"/>
      <c r="L386" s="1912"/>
      <c r="M386" s="1912"/>
      <c r="N386" s="1912"/>
      <c r="O386" s="1912"/>
      <c r="P386" s="1912"/>
      <c r="Q386" s="1912"/>
      <c r="R386" s="1912"/>
      <c r="S386" s="1981">
        <f t="shared" si="129"/>
        <v>0</v>
      </c>
      <c r="T386" s="2169"/>
      <c r="U386" s="2178">
        <f t="shared" si="116"/>
        <v>0</v>
      </c>
      <c r="V386" s="1854">
        <f t="shared" si="145"/>
        <v>0</v>
      </c>
      <c r="W386" s="2003">
        <f t="shared" si="120"/>
        <v>0</v>
      </c>
      <c r="Y386" s="2008">
        <f t="shared" si="141"/>
        <v>0</v>
      </c>
    </row>
    <row r="387" spans="1:25" s="1855" customFormat="1" ht="23.25" customHeight="1">
      <c r="A387" s="1883"/>
      <c r="B387" s="1942"/>
      <c r="C387" s="1962" t="s">
        <v>1673</v>
      </c>
      <c r="D387" s="1910">
        <v>0</v>
      </c>
      <c r="E387" s="1912"/>
      <c r="F387" s="2072"/>
      <c r="G387" s="1912"/>
      <c r="H387" s="1912"/>
      <c r="I387" s="1912"/>
      <c r="J387" s="1912"/>
      <c r="K387" s="1912"/>
      <c r="L387" s="1912"/>
      <c r="M387" s="1912"/>
      <c r="N387" s="1912"/>
      <c r="O387" s="1912"/>
      <c r="P387" s="1912"/>
      <c r="Q387" s="1912"/>
      <c r="R387" s="1912"/>
      <c r="S387" s="1981">
        <f t="shared" si="129"/>
        <v>0</v>
      </c>
      <c r="T387" s="2169"/>
      <c r="U387" s="2178">
        <f t="shared" si="116"/>
        <v>0</v>
      </c>
      <c r="V387" s="1854">
        <f t="shared" si="145"/>
        <v>0</v>
      </c>
      <c r="W387" s="2003">
        <f t="shared" si="120"/>
        <v>0</v>
      </c>
      <c r="Y387" s="2008">
        <f t="shared" si="141"/>
        <v>0</v>
      </c>
    </row>
    <row r="388" spans="1:25" s="1855" customFormat="1" ht="26.25">
      <c r="A388" s="1883"/>
      <c r="B388" s="1942"/>
      <c r="C388" s="1943"/>
      <c r="D388" s="1910"/>
      <c r="E388" s="1912"/>
      <c r="F388" s="2072"/>
      <c r="G388" s="1912"/>
      <c r="H388" s="1912"/>
      <c r="I388" s="1912"/>
      <c r="J388" s="1912"/>
      <c r="K388" s="1912"/>
      <c r="L388" s="1912"/>
      <c r="M388" s="1912"/>
      <c r="N388" s="1912"/>
      <c r="O388" s="1912"/>
      <c r="P388" s="1912"/>
      <c r="Q388" s="1912"/>
      <c r="R388" s="1912"/>
      <c r="S388" s="1981">
        <f t="shared" si="129"/>
        <v>0</v>
      </c>
      <c r="T388" s="2169"/>
      <c r="U388" s="2178">
        <f t="shared" si="116"/>
        <v>0</v>
      </c>
      <c r="V388" s="1854">
        <f t="shared" si="145"/>
        <v>0</v>
      </c>
      <c r="W388" s="2003">
        <f t="shared" si="120"/>
        <v>0</v>
      </c>
      <c r="Y388" s="2008">
        <f t="shared" si="141"/>
        <v>0</v>
      </c>
    </row>
    <row r="389" spans="1:25" s="1855" customFormat="1" ht="27" thickBot="1">
      <c r="A389" s="1883" t="s">
        <v>727</v>
      </c>
      <c r="B389" s="1953"/>
      <c r="C389" s="1963" t="s">
        <v>728</v>
      </c>
      <c r="D389" s="1954"/>
      <c r="E389" s="1997">
        <f t="shared" ref="E389:R389" si="147">E337+E339</f>
        <v>1764797.8667960912</v>
      </c>
      <c r="F389" s="2080">
        <f t="shared" si="147"/>
        <v>102818289.331</v>
      </c>
      <c r="G389" s="1997">
        <f t="shared" si="147"/>
        <v>2119588.358437804</v>
      </c>
      <c r="H389" s="1997">
        <f t="shared" si="147"/>
        <v>-1571165.5744628804</v>
      </c>
      <c r="I389" s="1997">
        <f t="shared" si="147"/>
        <v>-2449108.354160103</v>
      </c>
      <c r="J389" s="1997">
        <f t="shared" si="147"/>
        <v>-1549980.3608852034</v>
      </c>
      <c r="K389" s="1997">
        <f t="shared" si="147"/>
        <v>-23698445.242164999</v>
      </c>
      <c r="L389" s="1997">
        <f t="shared" si="147"/>
        <v>74660.844590054825</v>
      </c>
      <c r="M389" s="1997">
        <f t="shared" si="147"/>
        <v>2269507.1549999965</v>
      </c>
      <c r="N389" s="1997">
        <f t="shared" si="147"/>
        <v>-3097495.0249600024</v>
      </c>
      <c r="O389" s="1997">
        <f t="shared" si="147"/>
        <v>-530290.41308509931</v>
      </c>
      <c r="P389" s="1997">
        <f t="shared" si="147"/>
        <v>7091740.2705324907</v>
      </c>
      <c r="Q389" s="1997">
        <f t="shared" si="147"/>
        <v>-1516289.2896431875</v>
      </c>
      <c r="R389" s="1997">
        <f t="shared" si="147"/>
        <v>17754494.041999809</v>
      </c>
      <c r="S389" s="1998">
        <f>SUM(G389:R389)</f>
        <v>-5102783.5888013206</v>
      </c>
      <c r="T389" s="2169">
        <f t="shared" ref="T389" si="148">T337+T339</f>
        <v>88234014.724415019</v>
      </c>
      <c r="U389" s="2178">
        <f t="shared" si="116"/>
        <v>-93336798.313216344</v>
      </c>
      <c r="V389" s="1854">
        <f t="shared" si="145"/>
        <v>-0.63121232899164048</v>
      </c>
      <c r="W389" s="2003">
        <f t="shared" si="120"/>
        <v>-0.61338905983908176</v>
      </c>
      <c r="Y389" s="2008">
        <f t="shared" si="141"/>
        <v>-5102.7835888013205</v>
      </c>
    </row>
    <row r="390" spans="1:25" s="1855" customFormat="1" ht="27" thickBot="1">
      <c r="A390" s="1897" t="s">
        <v>730</v>
      </c>
      <c r="B390" s="1901"/>
      <c r="C390" s="1902" t="s">
        <v>731</v>
      </c>
      <c r="D390" s="1903" t="e">
        <f t="shared" ref="D390:R390" si="149">D337+D339-D389</f>
        <v>#REF!</v>
      </c>
      <c r="E390" s="1999">
        <f t="shared" si="149"/>
        <v>0</v>
      </c>
      <c r="F390" s="1999">
        <f t="shared" si="149"/>
        <v>0</v>
      </c>
      <c r="G390" s="1999">
        <f t="shared" si="149"/>
        <v>0</v>
      </c>
      <c r="H390" s="1999">
        <f t="shared" si="149"/>
        <v>0</v>
      </c>
      <c r="I390" s="1999">
        <f t="shared" si="149"/>
        <v>0</v>
      </c>
      <c r="J390" s="1999">
        <f t="shared" si="149"/>
        <v>0</v>
      </c>
      <c r="K390" s="1999">
        <f t="shared" si="149"/>
        <v>0</v>
      </c>
      <c r="L390" s="1999">
        <f t="shared" si="149"/>
        <v>0</v>
      </c>
      <c r="M390" s="1999">
        <f t="shared" si="149"/>
        <v>0</v>
      </c>
      <c r="N390" s="1999">
        <f t="shared" si="149"/>
        <v>0</v>
      </c>
      <c r="O390" s="1999">
        <f t="shared" si="149"/>
        <v>0</v>
      </c>
      <c r="P390" s="1999">
        <f t="shared" si="149"/>
        <v>0</v>
      </c>
      <c r="Q390" s="1999">
        <f t="shared" si="149"/>
        <v>0</v>
      </c>
      <c r="R390" s="1999">
        <f t="shared" si="149"/>
        <v>0</v>
      </c>
      <c r="S390" s="2000">
        <f>SUM(G390:R390)</f>
        <v>0</v>
      </c>
      <c r="T390" s="2175">
        <f t="shared" ref="T390" si="150">T337+T339-T389</f>
        <v>0</v>
      </c>
      <c r="U390" s="2178">
        <f t="shared" si="116"/>
        <v>0</v>
      </c>
      <c r="V390" s="1880">
        <f>S390/$V$3*100/1000</f>
        <v>0</v>
      </c>
      <c r="W390" s="2003">
        <f t="shared" si="120"/>
        <v>0</v>
      </c>
      <c r="Y390" s="2008">
        <f t="shared" si="141"/>
        <v>0</v>
      </c>
    </row>
    <row r="391" spans="1:25" ht="26.25">
      <c r="A391" s="1814"/>
      <c r="B391" s="1815"/>
      <c r="C391" s="1815"/>
      <c r="D391" s="1816"/>
      <c r="E391" s="1816"/>
      <c r="F391" s="1816"/>
      <c r="G391" s="1816"/>
      <c r="H391" s="1816"/>
      <c r="I391" s="1816"/>
      <c r="J391" s="1816"/>
      <c r="K391" s="1816"/>
      <c r="L391" s="1816"/>
      <c r="M391" s="1816"/>
      <c r="N391" s="1816"/>
      <c r="O391" s="1816"/>
      <c r="P391" s="1816"/>
      <c r="Q391" s="1816"/>
      <c r="R391" s="1816"/>
      <c r="S391" s="1817"/>
      <c r="T391" s="1665"/>
      <c r="U391" s="2177"/>
      <c r="Y391" s="2008">
        <f t="shared" si="141"/>
        <v>0</v>
      </c>
    </row>
    <row r="392" spans="1:25" ht="26.25">
      <c r="A392" s="1814"/>
      <c r="B392" s="1818"/>
      <c r="C392" s="1818"/>
      <c r="D392" s="1819"/>
      <c r="E392" s="1819"/>
      <c r="F392" s="1816"/>
      <c r="G392" s="1816">
        <f>IF(G389=Tofe!F227,0,1)</f>
        <v>1</v>
      </c>
      <c r="H392" s="1816">
        <f>IF(H389=Tofe!G227,0,1)</f>
        <v>0</v>
      </c>
      <c r="I392" s="1816">
        <f>IF(I389=Tofe!H227,0,1)</f>
        <v>0</v>
      </c>
      <c r="J392" s="1816">
        <f>IF(J389=Tofe!I227,0,1)</f>
        <v>0</v>
      </c>
      <c r="K392" s="1816">
        <f>IF(K389=Tofe!J227,0,1)</f>
        <v>0</v>
      </c>
      <c r="L392" s="1816">
        <f>IF(L389=Tofe!K227,0,1)</f>
        <v>0</v>
      </c>
      <c r="M392" s="1816">
        <f>IF(M389=Tofe!L227,0,1)</f>
        <v>0</v>
      </c>
      <c r="N392" s="1816">
        <f>IF(N389=Tofe!M227,0,1)</f>
        <v>0</v>
      </c>
      <c r="O392" s="2022">
        <f>IF(O389=Tofe!N227,0,1)</f>
        <v>1</v>
      </c>
      <c r="P392" s="1816">
        <f>IF(P389=Tofe!O227,0,1)</f>
        <v>0</v>
      </c>
      <c r="Q392" s="1816">
        <f>IF(Q389=Tofe!P227,0,1)</f>
        <v>0</v>
      </c>
      <c r="R392" s="1816">
        <f>IF(R389=Tofe!Q227,0,1)</f>
        <v>0</v>
      </c>
      <c r="S392" s="1821"/>
      <c r="T392" s="1665"/>
      <c r="U392" s="2177"/>
      <c r="Y392" s="2008"/>
    </row>
    <row r="393" spans="1:25" ht="26.25">
      <c r="A393" s="1814"/>
      <c r="B393" s="1822"/>
      <c r="C393" s="1822"/>
      <c r="D393" s="1819"/>
      <c r="E393" s="1819"/>
      <c r="F393" s="1816"/>
      <c r="G393" s="1816">
        <f>G389-Tofe!F227</f>
        <v>0</v>
      </c>
      <c r="H393" s="1816"/>
      <c r="I393" s="1816"/>
      <c r="J393" s="1816"/>
      <c r="K393" s="1816"/>
      <c r="L393" s="1816"/>
      <c r="M393" s="1816"/>
      <c r="N393" s="1816"/>
      <c r="O393" s="1816"/>
      <c r="P393" s="1816"/>
      <c r="Q393" s="1816"/>
      <c r="R393" s="1816"/>
      <c r="S393" s="1817"/>
      <c r="T393" s="1665"/>
      <c r="U393" s="2177"/>
      <c r="Y393" s="2008"/>
    </row>
    <row r="394" spans="1:25" ht="26.25">
      <c r="A394" s="1814"/>
      <c r="B394" s="1822"/>
      <c r="C394" s="1822"/>
      <c r="D394" s="1819"/>
      <c r="E394" s="1819"/>
      <c r="F394" s="1823"/>
      <c r="G394" s="1816"/>
      <c r="H394" s="1816"/>
      <c r="I394" s="1816"/>
      <c r="J394" s="1816"/>
      <c r="K394" s="1816"/>
      <c r="L394" s="1816"/>
      <c r="M394" s="1816"/>
      <c r="N394" s="1816"/>
      <c r="O394" s="1816">
        <f>O389-Tofe!N227</f>
        <v>7.4505805969238281E-9</v>
      </c>
      <c r="P394" s="1816"/>
      <c r="Q394" s="1816"/>
      <c r="R394" s="1816"/>
      <c r="S394" s="1824"/>
      <c r="T394" s="1665"/>
      <c r="U394" s="2177"/>
      <c r="Y394" s="2008"/>
    </row>
    <row r="395" spans="1:25" ht="26.25">
      <c r="A395" s="1814"/>
      <c r="B395" s="1822"/>
      <c r="C395" s="1822"/>
      <c r="D395" s="1819"/>
      <c r="E395" s="1819"/>
      <c r="F395" s="1820"/>
      <c r="G395" s="1820"/>
      <c r="H395" s="1820"/>
      <c r="I395" s="1820"/>
      <c r="J395" s="1820"/>
      <c r="K395" s="1820"/>
      <c r="L395" s="1820"/>
      <c r="M395" s="1820"/>
      <c r="N395" s="1820"/>
      <c r="O395" s="1820"/>
      <c r="P395" s="1820"/>
      <c r="Q395" s="1820"/>
      <c r="R395" s="1820"/>
      <c r="S395" s="1820"/>
      <c r="T395" s="1665"/>
      <c r="U395" s="2177"/>
      <c r="Y395" s="2008"/>
    </row>
    <row r="396" spans="1:25" ht="26.25">
      <c r="A396" s="1786"/>
      <c r="B396" s="1822"/>
      <c r="C396" s="1822"/>
      <c r="D396" s="1819"/>
      <c r="E396" s="1819"/>
      <c r="F396" s="1820"/>
      <c r="G396" s="1820"/>
      <c r="H396" s="1820"/>
      <c r="I396" s="1820"/>
      <c r="J396" s="1820"/>
      <c r="K396" s="1820"/>
      <c r="L396" s="1820"/>
      <c r="M396" s="1820"/>
      <c r="N396" s="1820"/>
      <c r="O396" s="1820"/>
      <c r="P396" s="1820"/>
      <c r="Q396" s="1820"/>
      <c r="R396" s="1820"/>
      <c r="S396" s="1820"/>
      <c r="T396" s="1665"/>
      <c r="U396" s="2177"/>
      <c r="Y396" s="2008"/>
    </row>
    <row r="397" spans="1:25" ht="26.25">
      <c r="A397" s="1786"/>
      <c r="B397" s="1822"/>
      <c r="C397" s="1822"/>
      <c r="D397" s="1816"/>
      <c r="E397" s="1816"/>
      <c r="F397" s="1820"/>
      <c r="G397" s="1820"/>
      <c r="H397" s="1820"/>
      <c r="I397" s="1820"/>
      <c r="J397" s="1820"/>
      <c r="K397" s="1820"/>
      <c r="L397" s="1820"/>
      <c r="M397" s="1820"/>
      <c r="N397" s="1820"/>
      <c r="O397" s="1820"/>
      <c r="P397" s="1820"/>
      <c r="Q397" s="1820"/>
      <c r="R397" s="1820"/>
      <c r="S397" s="1820"/>
      <c r="T397" s="1665"/>
      <c r="U397" s="2177"/>
      <c r="Y397" s="2008"/>
    </row>
    <row r="398" spans="1:25" ht="26.25">
      <c r="A398" s="1786"/>
      <c r="B398" s="1822"/>
      <c r="C398" s="1822"/>
      <c r="D398" s="1816"/>
      <c r="E398" s="1816"/>
      <c r="F398" s="1826"/>
      <c r="G398" s="1826"/>
      <c r="H398" s="1826"/>
      <c r="I398" s="1826"/>
      <c r="J398" s="1826"/>
      <c r="K398" s="1826"/>
      <c r="L398" s="1826"/>
      <c r="M398" s="1826"/>
      <c r="N398" s="1826"/>
      <c r="O398" s="1826"/>
      <c r="P398" s="1826"/>
      <c r="Q398" s="1826"/>
      <c r="R398" s="1826"/>
      <c r="S398" s="1826"/>
      <c r="T398" s="1827"/>
      <c r="U398" s="2177"/>
      <c r="Y398" s="2008"/>
    </row>
    <row r="399" spans="1:25" ht="26.25">
      <c r="A399" s="1786"/>
      <c r="B399" s="1822"/>
      <c r="C399" s="1822"/>
      <c r="D399" s="1816"/>
      <c r="E399" s="1816"/>
      <c r="F399" s="1820"/>
      <c r="G399" s="1820"/>
      <c r="H399" s="1820"/>
      <c r="I399" s="1820"/>
      <c r="J399" s="1820"/>
      <c r="K399" s="1820"/>
      <c r="L399" s="1820"/>
      <c r="M399" s="1820"/>
      <c r="N399" s="1820"/>
      <c r="O399" s="1820"/>
      <c r="P399" s="1820"/>
      <c r="Q399" s="1820"/>
      <c r="R399" s="1820"/>
      <c r="S399" s="1826"/>
      <c r="T399" s="1827"/>
      <c r="U399" s="2177"/>
      <c r="Y399" s="2008"/>
    </row>
    <row r="400" spans="1:25">
      <c r="A400" s="1786"/>
      <c r="B400" s="1822"/>
      <c r="C400" s="1822"/>
      <c r="D400" s="1816"/>
      <c r="E400" s="1816"/>
      <c r="F400" s="1820"/>
      <c r="G400" s="1820"/>
      <c r="H400" s="1820"/>
      <c r="I400" s="1820"/>
      <c r="J400" s="1820"/>
      <c r="K400" s="1820"/>
      <c r="L400" s="1820"/>
      <c r="M400" s="1820"/>
      <c r="N400" s="1820"/>
      <c r="O400" s="1820"/>
      <c r="P400" s="1820"/>
      <c r="Q400" s="1820"/>
      <c r="R400" s="1820"/>
      <c r="S400" s="1826"/>
      <c r="T400" s="1827"/>
      <c r="U400" s="2177"/>
    </row>
    <row r="401" spans="1:21">
      <c r="A401" s="1786"/>
      <c r="B401" s="1822"/>
      <c r="C401" s="1822"/>
      <c r="D401" s="1816"/>
      <c r="E401" s="1816"/>
      <c r="F401" s="1820"/>
      <c r="G401" s="1820"/>
      <c r="H401" s="1820"/>
      <c r="I401" s="1820"/>
      <c r="J401" s="1820"/>
      <c r="K401" s="1820"/>
      <c r="L401" s="1820"/>
      <c r="M401" s="1820"/>
      <c r="N401" s="1820"/>
      <c r="O401" s="1820"/>
      <c r="P401" s="1820"/>
      <c r="Q401" s="1820"/>
      <c r="R401" s="1820"/>
      <c r="S401" s="1826"/>
      <c r="T401" s="1827"/>
      <c r="U401" s="2177"/>
    </row>
    <row r="402" spans="1:21">
      <c r="A402" s="1786"/>
      <c r="B402" s="1828"/>
      <c r="C402" s="1828"/>
      <c r="D402" s="1816"/>
      <c r="E402" s="1816"/>
      <c r="F402" s="1820"/>
      <c r="G402" s="1820"/>
      <c r="H402" s="1816"/>
      <c r="I402" s="1816"/>
      <c r="J402" s="1816"/>
      <c r="K402" s="1816"/>
      <c r="L402" s="1816"/>
      <c r="M402" s="1816"/>
      <c r="N402" s="1816"/>
      <c r="O402" s="1816"/>
      <c r="P402" s="1816"/>
      <c r="Q402" s="1816"/>
      <c r="R402" s="1816"/>
      <c r="S402" s="1826"/>
      <c r="T402" s="1665"/>
      <c r="U402" s="2177"/>
    </row>
    <row r="403" spans="1:21">
      <c r="A403" s="1786"/>
      <c r="B403" s="1829"/>
      <c r="C403" s="1829"/>
      <c r="D403" s="1786"/>
      <c r="E403" s="1786"/>
      <c r="F403" s="1830"/>
      <c r="G403" s="1831"/>
      <c r="H403" s="1831"/>
      <c r="I403" s="1831"/>
      <c r="J403" s="1831"/>
      <c r="K403" s="1831"/>
      <c r="L403" s="1831"/>
      <c r="M403" s="1831"/>
      <c r="N403" s="1831"/>
      <c r="O403" s="1831"/>
      <c r="P403" s="1831"/>
      <c r="Q403" s="1831"/>
      <c r="R403" s="1831"/>
      <c r="S403" s="1816"/>
    </row>
    <row r="404" spans="1:21">
      <c r="A404" s="1786"/>
      <c r="B404" s="1832"/>
      <c r="C404" s="1832"/>
      <c r="D404" s="1786"/>
      <c r="E404" s="1786"/>
      <c r="F404" s="1830"/>
      <c r="G404" s="1831"/>
      <c r="H404" s="1831"/>
      <c r="I404" s="1831"/>
      <c r="J404" s="1831"/>
      <c r="K404" s="1831"/>
      <c r="L404" s="1831"/>
      <c r="M404" s="1831"/>
      <c r="N404" s="1831"/>
      <c r="O404" s="1831"/>
      <c r="P404" s="1831"/>
      <c r="Q404" s="1831"/>
      <c r="R404" s="1831"/>
      <c r="S404" s="1816"/>
    </row>
    <row r="405" spans="1:21">
      <c r="A405" s="1786"/>
      <c r="B405" s="1834"/>
      <c r="C405" s="1834"/>
      <c r="D405" s="1786"/>
      <c r="E405" s="1786"/>
      <c r="F405" s="1786"/>
      <c r="G405" s="1816"/>
      <c r="H405" s="1816"/>
      <c r="I405" s="1816"/>
      <c r="J405" s="1816"/>
      <c r="K405" s="1816"/>
      <c r="L405" s="1816"/>
      <c r="M405" s="1816"/>
      <c r="N405" s="1816"/>
      <c r="O405" s="1816"/>
      <c r="P405" s="1816"/>
      <c r="Q405" s="1816"/>
      <c r="R405" s="1816"/>
      <c r="S405" s="1816"/>
      <c r="T405" s="1665"/>
      <c r="U405" s="2177"/>
    </row>
    <row r="406" spans="1:21">
      <c r="A406" s="1786"/>
      <c r="B406" s="1835"/>
      <c r="C406" s="1835"/>
      <c r="D406" s="1786"/>
      <c r="E406" s="1786"/>
      <c r="F406" s="1786"/>
      <c r="G406" s="1816"/>
      <c r="H406" s="1816"/>
      <c r="I406" s="1816"/>
      <c r="J406" s="1816"/>
      <c r="K406" s="1816"/>
      <c r="L406" s="1816"/>
      <c r="M406" s="1816"/>
      <c r="N406" s="1816"/>
      <c r="O406" s="1816"/>
      <c r="P406" s="1819"/>
      <c r="Q406" s="1816"/>
      <c r="R406" s="1819"/>
      <c r="S406" s="1816"/>
    </row>
    <row r="407" spans="1:21">
      <c r="G407" s="1816"/>
      <c r="H407" s="1816"/>
      <c r="I407" s="1816"/>
      <c r="J407" s="1816"/>
      <c r="K407" s="1816"/>
      <c r="L407" s="1816"/>
      <c r="M407" s="1816"/>
      <c r="N407" s="1816"/>
      <c r="O407" s="1816"/>
      <c r="P407" s="1816"/>
      <c r="Q407" s="1816"/>
      <c r="R407" s="1816"/>
      <c r="S407" s="1816"/>
    </row>
    <row r="408" spans="1:21">
      <c r="G408" s="1816"/>
      <c r="H408" s="1816"/>
      <c r="I408" s="1816"/>
      <c r="J408" s="1816"/>
      <c r="K408" s="1816"/>
      <c r="L408" s="1816"/>
      <c r="M408" s="1816"/>
      <c r="N408" s="1816"/>
      <c r="O408" s="1816"/>
      <c r="P408" s="1816"/>
      <c r="Q408" s="1816"/>
      <c r="R408" s="1816"/>
      <c r="S408" s="1816"/>
    </row>
    <row r="409" spans="1:21">
      <c r="G409" s="1816"/>
      <c r="H409" s="1816"/>
      <c r="I409" s="1816"/>
      <c r="J409" s="1816"/>
      <c r="K409" s="1816"/>
      <c r="L409" s="1816"/>
      <c r="M409" s="1816"/>
      <c r="N409" s="1816"/>
      <c r="O409" s="1816"/>
      <c r="P409" s="1816"/>
      <c r="Q409" s="1816"/>
      <c r="R409" s="1816"/>
      <c r="S409" s="1816"/>
    </row>
    <row r="410" spans="1:21">
      <c r="F410" s="1836"/>
      <c r="G410" s="1823"/>
      <c r="H410" s="1823"/>
      <c r="I410" s="1823"/>
      <c r="J410" s="1823"/>
      <c r="K410" s="1823"/>
      <c r="L410" s="1823"/>
      <c r="M410" s="1823"/>
      <c r="N410" s="1823"/>
      <c r="O410" s="1823"/>
      <c r="P410" s="1823"/>
      <c r="Q410" s="1823"/>
      <c r="R410" s="1823"/>
      <c r="S410" s="1823"/>
    </row>
    <row r="411" spans="1:21">
      <c r="G411" s="1708"/>
      <c r="H411" s="1708"/>
      <c r="I411" s="1708"/>
      <c r="J411" s="1708"/>
      <c r="K411" s="1708"/>
      <c r="L411" s="1708"/>
      <c r="M411" s="1708"/>
      <c r="N411" s="1708"/>
      <c r="O411" s="1708"/>
      <c r="P411" s="1708"/>
      <c r="Q411" s="1708"/>
      <c r="R411" s="1708"/>
      <c r="S411" s="1816"/>
    </row>
    <row r="412" spans="1:21">
      <c r="G412" s="1665"/>
      <c r="H412" s="1665"/>
      <c r="I412" s="1665"/>
      <c r="J412" s="1665"/>
      <c r="K412" s="1665"/>
      <c r="L412" s="1665"/>
      <c r="M412" s="1665"/>
      <c r="N412" s="1665"/>
      <c r="O412" s="1665"/>
      <c r="P412" s="1665"/>
      <c r="Q412" s="1665"/>
      <c r="R412" s="1665"/>
      <c r="S412" s="1816"/>
    </row>
    <row r="413" spans="1:21">
      <c r="G413" s="1665"/>
      <c r="H413" s="1665"/>
      <c r="I413" s="1665"/>
      <c r="J413" s="1665"/>
      <c r="K413" s="1665"/>
      <c r="L413" s="1665"/>
      <c r="M413" s="1665"/>
      <c r="N413" s="1665"/>
      <c r="O413" s="1665"/>
      <c r="P413" s="1665"/>
      <c r="Q413" s="1665"/>
      <c r="R413" s="1665"/>
      <c r="S413" s="1816"/>
    </row>
    <row r="414" spans="1:21">
      <c r="G414" s="1819"/>
      <c r="H414" s="1819"/>
      <c r="I414" s="1819"/>
      <c r="J414" s="1819"/>
      <c r="K414" s="1819"/>
      <c r="L414" s="1819"/>
      <c r="M414" s="1819"/>
      <c r="N414" s="1819"/>
      <c r="O414" s="1819"/>
      <c r="P414" s="1819"/>
      <c r="Q414" s="1819"/>
      <c r="R414" s="1819"/>
      <c r="S414" s="1816"/>
    </row>
    <row r="415" spans="1:21">
      <c r="G415" s="1819"/>
      <c r="H415" s="1819"/>
      <c r="I415" s="1819"/>
      <c r="J415" s="1819"/>
      <c r="K415" s="1819"/>
      <c r="L415" s="1819"/>
      <c r="M415" s="1819"/>
      <c r="N415" s="1819"/>
      <c r="O415" s="1819"/>
      <c r="P415" s="1819"/>
      <c r="Q415" s="1819"/>
      <c r="R415" s="1819"/>
      <c r="S415" s="1816"/>
    </row>
    <row r="416" spans="1:21">
      <c r="G416" s="1819"/>
      <c r="H416" s="1819"/>
      <c r="I416" s="1819"/>
      <c r="J416" s="1819"/>
      <c r="K416" s="1819"/>
      <c r="L416" s="1819"/>
      <c r="M416" s="1819"/>
      <c r="N416" s="1819"/>
      <c r="O416" s="1819"/>
      <c r="P416" s="1819"/>
      <c r="Q416" s="1819"/>
      <c r="R416" s="1819"/>
      <c r="S416" s="1816"/>
    </row>
    <row r="417" spans="6:19">
      <c r="F417" s="1751"/>
      <c r="G417" s="1823"/>
      <c r="H417" s="1823"/>
      <c r="I417" s="1823"/>
      <c r="J417" s="1823"/>
      <c r="K417" s="1823"/>
      <c r="L417" s="1823"/>
      <c r="M417" s="1823"/>
      <c r="N417" s="1823"/>
      <c r="O417" s="1823"/>
      <c r="P417" s="1823"/>
      <c r="Q417" s="1823"/>
      <c r="R417" s="1823"/>
      <c r="S417" s="1823"/>
    </row>
    <row r="418" spans="6:19">
      <c r="G418" s="1823"/>
      <c r="H418" s="1823"/>
      <c r="I418" s="1823"/>
      <c r="J418" s="1823"/>
      <c r="K418" s="1823"/>
      <c r="L418" s="1823"/>
      <c r="M418" s="1823"/>
      <c r="N418" s="1816"/>
      <c r="O418" s="1816"/>
      <c r="P418" s="1816"/>
      <c r="Q418" s="1816"/>
      <c r="R418" s="1816"/>
      <c r="S418" s="1816"/>
    </row>
    <row r="419" spans="6:19">
      <c r="F419" s="1837"/>
      <c r="G419" s="1838"/>
      <c r="H419" s="1838"/>
      <c r="I419" s="1838"/>
      <c r="J419" s="1838"/>
      <c r="K419" s="1838"/>
      <c r="L419" s="1838"/>
      <c r="M419" s="1838"/>
      <c r="N419" s="1838"/>
      <c r="O419" s="1838"/>
      <c r="P419" s="1838"/>
      <c r="Q419" s="1838"/>
      <c r="R419" s="1838"/>
      <c r="S419" s="1838"/>
    </row>
    <row r="420" spans="6:19">
      <c r="G420" s="1816"/>
      <c r="H420" s="1816"/>
      <c r="I420" s="1816"/>
      <c r="J420" s="1816"/>
      <c r="K420" s="1816"/>
      <c r="L420" s="1816"/>
      <c r="M420" s="1816"/>
      <c r="N420" s="1816"/>
      <c r="O420" s="1816"/>
      <c r="P420" s="1816"/>
      <c r="Q420" s="1816"/>
      <c r="R420" s="1816"/>
      <c r="S420" s="1816"/>
    </row>
    <row r="421" spans="6:19">
      <c r="G421" s="1819"/>
      <c r="H421" s="1819"/>
      <c r="I421" s="1816"/>
      <c r="J421" s="1819"/>
      <c r="K421" s="1819"/>
      <c r="L421" s="1816"/>
      <c r="M421" s="1819"/>
      <c r="N421" s="1819"/>
      <c r="O421" s="1819"/>
      <c r="P421" s="1816"/>
      <c r="Q421" s="1819"/>
      <c r="R421" s="1819"/>
      <c r="S421" s="1816"/>
    </row>
    <row r="422" spans="6:19">
      <c r="G422" s="1816"/>
      <c r="H422" s="1816"/>
      <c r="I422" s="1816"/>
      <c r="J422" s="1816"/>
      <c r="K422" s="1816"/>
      <c r="L422" s="1816"/>
      <c r="M422" s="1816"/>
      <c r="N422" s="1816"/>
      <c r="O422" s="1816"/>
      <c r="P422" s="1816"/>
      <c r="Q422" s="1816"/>
      <c r="R422" s="1816"/>
      <c r="S422" s="1816"/>
    </row>
    <row r="423" spans="6:19">
      <c r="G423" s="1819"/>
      <c r="H423" s="1819"/>
      <c r="I423" s="1816"/>
      <c r="J423" s="1819"/>
      <c r="K423" s="1819"/>
      <c r="L423" s="1816"/>
      <c r="M423" s="1839"/>
      <c r="N423" s="1819"/>
      <c r="O423" s="1819"/>
      <c r="P423" s="1816"/>
      <c r="Q423" s="1819"/>
      <c r="R423" s="1819"/>
      <c r="S423" s="1816"/>
    </row>
    <row r="424" spans="6:19">
      <c r="G424" s="1816"/>
      <c r="H424" s="1816"/>
      <c r="I424" s="1816"/>
      <c r="J424" s="1816"/>
      <c r="K424" s="1816"/>
      <c r="L424" s="1816"/>
      <c r="M424" s="1840"/>
      <c r="N424" s="1816"/>
      <c r="O424" s="1816"/>
      <c r="P424" s="1816"/>
      <c r="Q424" s="1816"/>
      <c r="R424" s="1816"/>
      <c r="S424" s="1823"/>
    </row>
    <row r="425" spans="6:19">
      <c r="G425" s="1819"/>
      <c r="H425" s="1819"/>
      <c r="I425" s="1816"/>
      <c r="J425" s="1819"/>
      <c r="K425" s="1819"/>
      <c r="L425" s="1816"/>
      <c r="M425" s="1839"/>
      <c r="N425" s="1819"/>
      <c r="O425" s="1819"/>
      <c r="P425" s="1816"/>
      <c r="Q425" s="1819"/>
      <c r="R425" s="1819"/>
      <c r="S425" s="1816"/>
    </row>
    <row r="426" spans="6:19">
      <c r="G426" s="1816"/>
      <c r="H426" s="1816"/>
      <c r="I426" s="1816"/>
      <c r="J426" s="1816"/>
      <c r="K426" s="1816"/>
      <c r="L426" s="1816"/>
      <c r="M426" s="1840"/>
      <c r="N426" s="1816"/>
      <c r="O426" s="1816"/>
      <c r="P426" s="1816"/>
      <c r="Q426" s="1816"/>
      <c r="R426" s="1816"/>
      <c r="S426" s="1816"/>
    </row>
    <row r="427" spans="6:19">
      <c r="M427" s="1841"/>
      <c r="P427" s="1708"/>
      <c r="Q427" s="1819"/>
    </row>
    <row r="428" spans="6:19">
      <c r="M428" s="1841"/>
      <c r="P428" s="1708"/>
      <c r="Q428" s="1819"/>
    </row>
    <row r="429" spans="6:19">
      <c r="M429" s="1841"/>
      <c r="P429" s="1708"/>
      <c r="Q429" s="1819"/>
    </row>
    <row r="430" spans="6:19">
      <c r="M430" s="1841"/>
      <c r="P430" s="1708"/>
      <c r="Q430" s="1819"/>
    </row>
    <row r="431" spans="6:19">
      <c r="M431" s="1841"/>
      <c r="P431" s="1708"/>
      <c r="Q431" s="1665"/>
    </row>
    <row r="432" spans="6:19">
      <c r="M432" s="1841"/>
      <c r="P432" s="1842"/>
    </row>
    <row r="433" spans="13:13">
      <c r="M433" s="1841"/>
    </row>
    <row r="434" spans="13:13">
      <c r="M434" s="1841"/>
    </row>
    <row r="435" spans="13:13">
      <c r="M435" s="1841"/>
    </row>
    <row r="436" spans="13:13">
      <c r="M436" s="1841"/>
    </row>
    <row r="437" spans="13:13">
      <c r="M437" s="1841"/>
    </row>
    <row r="438" spans="13:13">
      <c r="M438" s="1841"/>
    </row>
    <row r="439" spans="13:13">
      <c r="M439" s="1841"/>
    </row>
    <row r="440" spans="13:13">
      <c r="M440" s="1841"/>
    </row>
    <row r="441" spans="13:13">
      <c r="M441" s="1841"/>
    </row>
    <row r="442" spans="13:13">
      <c r="M442" s="1841"/>
    </row>
  </sheetData>
  <printOptions horizontalCentered="1"/>
  <pageMargins left="0.15748031496062992" right="0.15748031496062992" top="0.43307086614173229" bottom="0.15748031496062992" header="0.15748031496062992" footer="0.19685039370078741"/>
  <pageSetup paperSize="9" scale="19" fitToHeight="10" orientation="landscape" r:id="rId1"/>
  <headerFooter alignWithMargins="0">
    <oddHeader>&amp;L&amp;14Guiné-Bissau, T. O. F. E. - 2019</oddHeader>
  </headerFooter>
  <rowBreaks count="1" manualBreakCount="1">
    <brk id="338" min="1" max="20" man="1"/>
  </rowBreaks>
  <colBreaks count="1" manualBreakCount="1">
    <brk id="16" max="389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7"/>
  <dimension ref="A2:AD49"/>
  <sheetViews>
    <sheetView zoomScale="91" zoomScaleNormal="91" workbookViewId="0">
      <pane xSplit="1" ySplit="3" topLeftCell="B25" activePane="bottomRight" state="frozen"/>
      <selection pane="topRight" activeCell="B1" sqref="B1"/>
      <selection pane="bottomLeft" activeCell="A4" sqref="A4"/>
      <selection pane="bottomRight"/>
    </sheetView>
  </sheetViews>
  <sheetFormatPr defaultRowHeight="12.75"/>
  <cols>
    <col min="1" max="1" width="34.85546875" customWidth="1"/>
    <col min="2" max="2" width="15.140625" customWidth="1"/>
    <col min="3" max="3" width="14.85546875" customWidth="1"/>
    <col min="4" max="4" width="13" customWidth="1"/>
    <col min="5" max="5" width="15" customWidth="1"/>
    <col min="6" max="6" width="12.5703125" customWidth="1"/>
    <col min="7" max="8" width="13.7109375" customWidth="1"/>
    <col min="9" max="9" width="14.42578125" customWidth="1"/>
    <col min="10" max="10" width="13.7109375" customWidth="1"/>
    <col min="11" max="11" width="12.85546875" customWidth="1"/>
    <col min="12" max="12" width="14.42578125" customWidth="1"/>
    <col min="13" max="13" width="13.5703125" customWidth="1"/>
    <col min="14" max="15" width="15.42578125" customWidth="1"/>
    <col min="16" max="16" width="17.85546875" bestFit="1" customWidth="1"/>
    <col min="17" max="17" width="12.28515625" customWidth="1"/>
    <col min="18" max="18" width="16.85546875" customWidth="1"/>
    <col min="19" max="19" width="16.42578125" customWidth="1"/>
    <col min="20" max="21" width="15" bestFit="1" customWidth="1"/>
    <col min="22" max="22" width="13.140625" customWidth="1"/>
    <col min="23" max="23" width="13.42578125" bestFit="1" customWidth="1"/>
    <col min="24" max="24" width="15.28515625" customWidth="1"/>
    <col min="25" max="25" width="15.42578125" customWidth="1"/>
    <col min="26" max="26" width="14.7109375" customWidth="1"/>
    <col min="27" max="27" width="15.28515625" customWidth="1"/>
    <col min="28" max="28" width="13.42578125" bestFit="1" customWidth="1"/>
  </cols>
  <sheetData>
    <row r="2" spans="1:30" ht="23.25">
      <c r="D2" s="10">
        <f>+D6+D7+D9</f>
        <v>401559929</v>
      </c>
      <c r="H2" s="1375"/>
      <c r="I2" s="1375"/>
      <c r="J2" s="1198" t="s">
        <v>2996</v>
      </c>
      <c r="K2" s="1198"/>
      <c r="O2" s="627"/>
      <c r="P2" s="627"/>
      <c r="Q2" s="627"/>
      <c r="R2" s="627">
        <f>Q2*0.5</f>
        <v>0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  <c r="AA2" t="s">
        <v>192</v>
      </c>
      <c r="AB2" t="s">
        <v>192</v>
      </c>
      <c r="AC2" t="s">
        <v>192</v>
      </c>
      <c r="AD2" t="s">
        <v>192</v>
      </c>
    </row>
    <row r="3" spans="1:30" ht="15.6" customHeight="1">
      <c r="A3" s="565"/>
      <c r="B3" s="569" t="s">
        <v>2924</v>
      </c>
      <c r="C3" s="569" t="s">
        <v>2924</v>
      </c>
      <c r="D3" s="1497">
        <v>42736</v>
      </c>
      <c r="E3" s="1498">
        <v>42767</v>
      </c>
      <c r="F3" s="1497">
        <v>42795</v>
      </c>
      <c r="G3" s="1498">
        <v>42826</v>
      </c>
      <c r="H3" s="1497">
        <v>42856</v>
      </c>
      <c r="I3" s="1498">
        <v>42887</v>
      </c>
      <c r="J3" s="1497">
        <v>42917</v>
      </c>
      <c r="K3" s="1498">
        <v>42948</v>
      </c>
      <c r="L3" s="1497">
        <v>42979</v>
      </c>
      <c r="M3" s="1498">
        <v>43009</v>
      </c>
      <c r="N3" s="1497">
        <v>43040</v>
      </c>
      <c r="O3" s="1498">
        <v>43070</v>
      </c>
      <c r="P3" s="1499" t="s">
        <v>2925</v>
      </c>
      <c r="Q3" s="1499" t="s">
        <v>2772</v>
      </c>
      <c r="R3" s="1500" t="s">
        <v>3242</v>
      </c>
      <c r="S3" s="569">
        <v>42370</v>
      </c>
      <c r="T3" s="569">
        <v>42401</v>
      </c>
      <c r="U3" s="569">
        <v>42430</v>
      </c>
      <c r="V3" s="569">
        <v>42461</v>
      </c>
      <c r="W3" s="569">
        <v>42491</v>
      </c>
      <c r="X3" s="569">
        <v>42522</v>
      </c>
      <c r="Y3" s="569">
        <v>42552</v>
      </c>
      <c r="Z3" s="569">
        <v>42583</v>
      </c>
      <c r="AA3" s="569">
        <v>42614</v>
      </c>
      <c r="AB3" s="569">
        <v>42644</v>
      </c>
      <c r="AC3" s="569">
        <v>42675</v>
      </c>
      <c r="AD3" s="569">
        <v>42705</v>
      </c>
    </row>
    <row r="4" spans="1:30" ht="15.6" customHeight="1">
      <c r="B4" s="2"/>
      <c r="C4" s="2"/>
      <c r="D4" s="1501"/>
      <c r="E4" s="1502"/>
      <c r="F4" s="1502"/>
      <c r="G4" s="1502"/>
      <c r="H4" s="1502"/>
      <c r="I4" s="1502"/>
      <c r="J4" s="1502"/>
      <c r="K4" s="1502"/>
      <c r="L4" s="1502"/>
      <c r="M4" s="1502"/>
      <c r="N4" s="1502"/>
      <c r="O4" s="1502"/>
      <c r="P4" s="1502"/>
      <c r="Q4" s="1503"/>
      <c r="R4" s="1504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ht="15.6" customHeight="1">
      <c r="A5" s="716" t="s">
        <v>1577</v>
      </c>
      <c r="B5" s="1383">
        <f>B6+B7+B8+B9+B10+B11+B12+B13+B14+B15+B16+B17+B19+B20+B21+B22+B23+B24</f>
        <v>0</v>
      </c>
      <c r="C5" s="172">
        <f>C6+C7+C8+C9+C10+C11+C12+C13+C14+C15+C16+C17+C19+C20+C21+C22+C23+C24</f>
        <v>0</v>
      </c>
      <c r="D5" s="871">
        <f>D6+D7+D8+D9+D10+D11+D12+D13+D14+D15+D16+D17+D19+D20+D21+D22+D23+D24</f>
        <v>578775671</v>
      </c>
      <c r="E5" s="1505">
        <f t="shared" ref="E5:O5" si="0">E6+E7+E8+E9+E10+E11+E12+E13+E14+E15+E16+E17+E19+E20+E21+E22+E23+E24</f>
        <v>298772941</v>
      </c>
      <c r="F5" s="1505">
        <f t="shared" si="0"/>
        <v>100326673</v>
      </c>
      <c r="G5" s="1505">
        <f t="shared" si="0"/>
        <v>249786870</v>
      </c>
      <c r="H5" s="1505">
        <f t="shared" si="0"/>
        <v>223228288</v>
      </c>
      <c r="I5" s="1505">
        <f t="shared" si="0"/>
        <v>744371520</v>
      </c>
      <c r="J5" s="1505">
        <f t="shared" si="0"/>
        <v>873402693</v>
      </c>
      <c r="K5" s="1505">
        <f t="shared" si="0"/>
        <v>372133143</v>
      </c>
      <c r="L5" s="1505">
        <f t="shared" si="0"/>
        <v>326352162</v>
      </c>
      <c r="M5" s="1505">
        <f t="shared" si="0"/>
        <v>7715456131</v>
      </c>
      <c r="N5" s="1505">
        <f t="shared" si="0"/>
        <v>1939700374</v>
      </c>
      <c r="O5" s="1505">
        <f t="shared" si="0"/>
        <v>1978699373</v>
      </c>
      <c r="P5" s="1505">
        <f>SUM(D5:O5)</f>
        <v>15401005839</v>
      </c>
      <c r="Q5" s="1505"/>
      <c r="R5" s="1506">
        <f>SUM(R6:R25)</f>
        <v>5535656579.75</v>
      </c>
      <c r="S5" s="570">
        <f>D5-B5</f>
        <v>578775671</v>
      </c>
      <c r="T5" s="570">
        <f t="shared" ref="T5:AD6" si="1">E5-D5</f>
        <v>-280002730</v>
      </c>
      <c r="U5" s="570">
        <f t="shared" si="1"/>
        <v>-198446268</v>
      </c>
      <c r="V5" s="570">
        <f t="shared" si="1"/>
        <v>149460197</v>
      </c>
      <c r="W5" s="570">
        <f t="shared" si="1"/>
        <v>-26558582</v>
      </c>
      <c r="X5" s="570">
        <f t="shared" si="1"/>
        <v>521143232</v>
      </c>
      <c r="Y5" s="570">
        <f t="shared" si="1"/>
        <v>129031173</v>
      </c>
      <c r="Z5" s="570">
        <f t="shared" si="1"/>
        <v>-501269550</v>
      </c>
      <c r="AA5" s="570">
        <f t="shared" si="1"/>
        <v>-45780981</v>
      </c>
      <c r="AB5" s="570">
        <f t="shared" si="1"/>
        <v>7389103969</v>
      </c>
      <c r="AC5" s="570">
        <f t="shared" si="1"/>
        <v>-5775755757</v>
      </c>
      <c r="AD5" s="570">
        <f t="shared" si="1"/>
        <v>38998999</v>
      </c>
    </row>
    <row r="6" spans="1:30" ht="20.25" customHeight="1">
      <c r="A6" s="742" t="s">
        <v>2760</v>
      </c>
      <c r="B6" s="655"/>
      <c r="C6" s="120"/>
      <c r="D6" s="843">
        <v>222604592</v>
      </c>
      <c r="E6" s="843">
        <v>102790187</v>
      </c>
      <c r="F6" s="843">
        <v>2835000</v>
      </c>
      <c r="G6" s="1493">
        <v>78529693</v>
      </c>
      <c r="H6" s="1493">
        <v>88745459</v>
      </c>
      <c r="I6" s="1507">
        <v>506841139</v>
      </c>
      <c r="J6" s="1493">
        <v>291280597</v>
      </c>
      <c r="K6" s="1493">
        <v>175178397</v>
      </c>
      <c r="L6" s="1493">
        <v>200564106</v>
      </c>
      <c r="M6" s="1493">
        <v>79411597</v>
      </c>
      <c r="N6" s="1493">
        <v>412503048</v>
      </c>
      <c r="O6" s="1511">
        <v>1205724914</v>
      </c>
      <c r="P6" s="1505">
        <f>SUM(D6:O6)</f>
        <v>3367008729</v>
      </c>
      <c r="Q6" s="1509">
        <v>1</v>
      </c>
      <c r="R6" s="1510">
        <f>P6*Q6</f>
        <v>3367008729</v>
      </c>
      <c r="S6" s="570">
        <f>D6-B6</f>
        <v>222604592</v>
      </c>
      <c r="T6" s="570">
        <f>E6-D6</f>
        <v>-119814405</v>
      </c>
      <c r="U6" s="570">
        <f t="shared" si="1"/>
        <v>-99955187</v>
      </c>
      <c r="V6" s="570">
        <f t="shared" si="1"/>
        <v>75694693</v>
      </c>
      <c r="W6" s="570">
        <f t="shared" si="1"/>
        <v>10215766</v>
      </c>
      <c r="X6" s="570">
        <f t="shared" si="1"/>
        <v>418095680</v>
      </c>
      <c r="Y6" s="570">
        <f t="shared" si="1"/>
        <v>-215560542</v>
      </c>
      <c r="Z6" s="570">
        <f t="shared" si="1"/>
        <v>-116102200</v>
      </c>
      <c r="AA6" s="570">
        <f t="shared" si="1"/>
        <v>25385709</v>
      </c>
      <c r="AB6" s="570">
        <f t="shared" si="1"/>
        <v>-121152509</v>
      </c>
      <c r="AC6" s="570">
        <f t="shared" si="1"/>
        <v>333091451</v>
      </c>
      <c r="AD6" s="570" t="e">
        <f>#REF!-N6</f>
        <v>#REF!</v>
      </c>
    </row>
    <row r="7" spans="1:30" ht="27" customHeight="1">
      <c r="A7" s="1381" t="s">
        <v>2770</v>
      </c>
      <c r="B7" s="655"/>
      <c r="C7" s="120"/>
      <c r="D7" s="843">
        <v>105372881</v>
      </c>
      <c r="E7" s="843">
        <v>38239394</v>
      </c>
      <c r="F7" s="843">
        <v>19745798</v>
      </c>
      <c r="G7" s="1493">
        <v>62461902</v>
      </c>
      <c r="H7" s="1493">
        <v>13501164</v>
      </c>
      <c r="I7" s="1507">
        <v>92884887</v>
      </c>
      <c r="J7" s="1493">
        <v>305817086</v>
      </c>
      <c r="K7" s="1493">
        <v>33629156</v>
      </c>
      <c r="L7" s="1493">
        <v>103742566</v>
      </c>
      <c r="M7" s="1493">
        <v>15399709</v>
      </c>
      <c r="N7" s="1493">
        <v>189845542</v>
      </c>
      <c r="O7" s="1508">
        <v>557043904</v>
      </c>
      <c r="P7" s="1505">
        <f>SUM(D7:O7)</f>
        <v>1537683989</v>
      </c>
      <c r="Q7" s="1512">
        <v>0</v>
      </c>
      <c r="R7" s="1510">
        <f t="shared" ref="R7:R25" si="2">P7*Q7</f>
        <v>0</v>
      </c>
      <c r="S7" s="570"/>
      <c r="T7" s="570"/>
      <c r="U7" s="570"/>
      <c r="V7" s="570"/>
      <c r="W7" s="570"/>
      <c r="X7" s="570"/>
      <c r="Y7" s="570"/>
      <c r="Z7" s="570"/>
      <c r="AA7" s="570"/>
      <c r="AB7" s="570"/>
      <c r="AC7" s="570"/>
      <c r="AD7" s="570"/>
    </row>
    <row r="8" spans="1:30" ht="27" customHeight="1">
      <c r="A8" s="1381" t="s">
        <v>2773</v>
      </c>
      <c r="B8" s="655"/>
      <c r="C8" s="120"/>
      <c r="D8" s="843">
        <v>177215742</v>
      </c>
      <c r="E8" s="843">
        <v>1331914</v>
      </c>
      <c r="F8" s="843">
        <v>48895995</v>
      </c>
      <c r="G8" s="1493">
        <v>26610780</v>
      </c>
      <c r="H8" s="1493">
        <v>7302435</v>
      </c>
      <c r="I8" s="1507">
        <v>14087294</v>
      </c>
      <c r="J8" s="1493">
        <v>271995450</v>
      </c>
      <c r="K8" s="1493"/>
      <c r="L8" s="1493">
        <v>14099290</v>
      </c>
      <c r="M8" s="1493">
        <v>4466325</v>
      </c>
      <c r="N8" s="1493">
        <v>24072784</v>
      </c>
      <c r="O8" s="1508">
        <v>177164055</v>
      </c>
      <c r="P8" s="1505">
        <f>SUM(D8:O8)</f>
        <v>767242064</v>
      </c>
      <c r="Q8" s="1512">
        <v>1</v>
      </c>
      <c r="R8" s="1510">
        <f t="shared" si="2"/>
        <v>767242064</v>
      </c>
      <c r="S8" s="570"/>
      <c r="T8" s="570"/>
      <c r="U8" s="570"/>
      <c r="V8" s="570"/>
      <c r="W8" s="570"/>
      <c r="X8" s="570"/>
      <c r="Y8" s="570"/>
      <c r="Z8" s="570"/>
      <c r="AA8" s="570"/>
      <c r="AB8" s="570"/>
      <c r="AC8" s="570"/>
      <c r="AD8" s="570"/>
    </row>
    <row r="9" spans="1:30" ht="27" customHeight="1">
      <c r="A9" s="1381" t="s">
        <v>2761</v>
      </c>
      <c r="B9" s="655"/>
      <c r="C9" s="120"/>
      <c r="D9" s="843">
        <v>73582456</v>
      </c>
      <c r="E9" s="843">
        <v>43232096</v>
      </c>
      <c r="F9" s="843">
        <v>28849880</v>
      </c>
      <c r="G9" s="1493">
        <v>17782345</v>
      </c>
      <c r="H9" s="1493">
        <v>3676630</v>
      </c>
      <c r="I9" s="1507">
        <v>5558200</v>
      </c>
      <c r="J9" s="1493">
        <v>4309560</v>
      </c>
      <c r="K9" s="1493">
        <v>4115640</v>
      </c>
      <c r="L9" s="1513">
        <v>7946200</v>
      </c>
      <c r="M9" s="1493">
        <v>7077300</v>
      </c>
      <c r="N9" s="1493">
        <v>1365000</v>
      </c>
      <c r="O9" s="1508">
        <v>117000</v>
      </c>
      <c r="P9" s="1505">
        <f t="shared" ref="P9:P25" si="3">SUM(D9:O9)</f>
        <v>197612307</v>
      </c>
      <c r="Q9" s="1512">
        <v>0.25</v>
      </c>
      <c r="R9" s="1510">
        <f t="shared" si="2"/>
        <v>49403076.75</v>
      </c>
      <c r="S9" s="570"/>
      <c r="T9" s="570"/>
      <c r="U9" s="570"/>
      <c r="V9" s="570"/>
      <c r="W9" s="570"/>
      <c r="X9" s="570"/>
      <c r="Y9" s="570"/>
      <c r="Z9" s="570"/>
      <c r="AA9" s="570"/>
      <c r="AB9" s="570"/>
      <c r="AC9" s="570"/>
      <c r="AD9" s="570"/>
    </row>
    <row r="10" spans="1:30" ht="27" customHeight="1">
      <c r="A10" s="1382" t="s">
        <v>1223</v>
      </c>
      <c r="B10" s="655"/>
      <c r="C10" s="120"/>
      <c r="D10" s="843"/>
      <c r="E10" s="843">
        <v>43179350</v>
      </c>
      <c r="F10" s="843"/>
      <c r="G10" s="1493">
        <v>64402150</v>
      </c>
      <c r="H10" s="1493">
        <v>15002600</v>
      </c>
      <c r="I10" s="1493"/>
      <c r="J10" s="1493"/>
      <c r="K10" s="1493">
        <v>39209950</v>
      </c>
      <c r="L10" s="1493"/>
      <c r="M10" s="1493"/>
      <c r="N10" s="1493"/>
      <c r="O10" s="1508">
        <v>38649500</v>
      </c>
      <c r="P10" s="1505">
        <f t="shared" si="3"/>
        <v>200443550</v>
      </c>
      <c r="Q10" s="1512">
        <v>0.2</v>
      </c>
      <c r="R10" s="1510">
        <f t="shared" si="2"/>
        <v>40088710</v>
      </c>
      <c r="S10" s="570"/>
      <c r="T10" s="570"/>
      <c r="U10" s="570"/>
      <c r="V10" s="570"/>
      <c r="W10" s="570"/>
      <c r="X10" s="570"/>
      <c r="Y10" s="570"/>
      <c r="Z10" s="570"/>
      <c r="AA10" s="570"/>
      <c r="AB10" s="570"/>
      <c r="AC10" s="570"/>
      <c r="AD10" s="570"/>
    </row>
    <row r="11" spans="1:30" ht="36.75" customHeight="1">
      <c r="A11" s="1381" t="s">
        <v>3035</v>
      </c>
      <c r="B11" s="655"/>
      <c r="C11" s="120"/>
      <c r="D11" s="843"/>
      <c r="E11" s="843"/>
      <c r="F11" s="843"/>
      <c r="G11" s="1493"/>
      <c r="H11" s="1493"/>
      <c r="I11" s="1507"/>
      <c r="J11" s="1493"/>
      <c r="K11" s="1493"/>
      <c r="L11" s="1493"/>
      <c r="M11" s="1493">
        <v>7609101200</v>
      </c>
      <c r="N11" s="1493"/>
      <c r="O11" s="1508"/>
      <c r="P11" s="1505">
        <f t="shared" si="3"/>
        <v>7609101200</v>
      </c>
      <c r="Q11" s="1512">
        <v>0</v>
      </c>
      <c r="R11" s="1510">
        <f t="shared" si="2"/>
        <v>0</v>
      </c>
      <c r="S11" s="570"/>
      <c r="T11" s="570"/>
      <c r="U11" s="570"/>
      <c r="V11" s="570"/>
      <c r="W11" s="570"/>
      <c r="X11" s="570"/>
      <c r="Y11" s="570"/>
      <c r="Z11" s="570"/>
      <c r="AA11" s="570"/>
      <c r="AB11" s="570"/>
      <c r="AC11" s="570"/>
      <c r="AD11" s="570"/>
    </row>
    <row r="12" spans="1:30" ht="29.25" customHeight="1">
      <c r="A12" s="1381" t="s">
        <v>3036</v>
      </c>
      <c r="B12" s="655"/>
      <c r="C12" s="120"/>
      <c r="D12" s="1545"/>
      <c r="E12" s="843"/>
      <c r="F12" s="843"/>
      <c r="G12" s="1493"/>
      <c r="H12" s="1493"/>
      <c r="I12" s="1493"/>
      <c r="J12" s="1493"/>
      <c r="K12" s="1493"/>
      <c r="L12" s="1493"/>
      <c r="M12" s="1493"/>
      <c r="N12" s="1493">
        <v>1311914000</v>
      </c>
      <c r="O12" s="1493"/>
      <c r="P12" s="1505">
        <f t="shared" si="3"/>
        <v>1311914000</v>
      </c>
      <c r="Q12" s="1512">
        <v>1</v>
      </c>
      <c r="R12" s="1510">
        <f t="shared" si="2"/>
        <v>1311914000</v>
      </c>
      <c r="S12" s="570">
        <f t="shared" ref="S12:S17" si="4">D12-B12</f>
        <v>0</v>
      </c>
      <c r="T12" s="570">
        <f t="shared" ref="T12:AD17" si="5">E12-D12</f>
        <v>0</v>
      </c>
      <c r="U12" s="570">
        <f t="shared" si="5"/>
        <v>0</v>
      </c>
      <c r="V12" s="570">
        <f t="shared" si="5"/>
        <v>0</v>
      </c>
      <c r="W12" s="570">
        <f t="shared" si="5"/>
        <v>0</v>
      </c>
      <c r="X12" s="570">
        <f t="shared" si="5"/>
        <v>0</v>
      </c>
      <c r="Y12" s="570">
        <f t="shared" si="5"/>
        <v>0</v>
      </c>
      <c r="Z12" s="570">
        <f t="shared" si="5"/>
        <v>0</v>
      </c>
      <c r="AA12" s="570">
        <f t="shared" si="5"/>
        <v>0</v>
      </c>
      <c r="AB12" s="570">
        <f t="shared" si="5"/>
        <v>0</v>
      </c>
      <c r="AC12" s="570">
        <f t="shared" si="5"/>
        <v>1311914000</v>
      </c>
      <c r="AD12" s="570">
        <f t="shared" si="5"/>
        <v>-1311914000</v>
      </c>
    </row>
    <row r="13" spans="1:30" ht="26.25" customHeight="1">
      <c r="A13" s="1381" t="s">
        <v>3037</v>
      </c>
      <c r="B13" s="655"/>
      <c r="C13" s="120"/>
      <c r="D13" s="843"/>
      <c r="E13" s="843"/>
      <c r="F13" s="843"/>
      <c r="G13" s="843"/>
      <c r="H13" s="843"/>
      <c r="I13" s="843"/>
      <c r="J13" s="843"/>
      <c r="K13" s="843"/>
      <c r="L13" s="843"/>
      <c r="M13" s="843"/>
      <c r="N13" s="843"/>
      <c r="O13" s="843"/>
      <c r="P13" s="1505">
        <f t="shared" si="3"/>
        <v>0</v>
      </c>
      <c r="Q13" s="1512">
        <v>0</v>
      </c>
      <c r="R13" s="1510">
        <f t="shared" si="2"/>
        <v>0</v>
      </c>
      <c r="S13" s="570">
        <f t="shared" si="4"/>
        <v>0</v>
      </c>
      <c r="T13" s="570">
        <f t="shared" si="5"/>
        <v>0</v>
      </c>
      <c r="U13" s="570">
        <f t="shared" si="5"/>
        <v>0</v>
      </c>
      <c r="V13" s="570">
        <f t="shared" si="5"/>
        <v>0</v>
      </c>
      <c r="W13" s="570">
        <f t="shared" si="5"/>
        <v>0</v>
      </c>
      <c r="X13" s="570">
        <f t="shared" si="5"/>
        <v>0</v>
      </c>
      <c r="Y13" s="570">
        <f t="shared" si="5"/>
        <v>0</v>
      </c>
      <c r="Z13" s="570">
        <f t="shared" si="5"/>
        <v>0</v>
      </c>
      <c r="AA13" s="570">
        <f t="shared" si="5"/>
        <v>0</v>
      </c>
      <c r="AB13" s="570">
        <f t="shared" si="5"/>
        <v>0</v>
      </c>
      <c r="AC13" s="570">
        <f t="shared" si="5"/>
        <v>0</v>
      </c>
      <c r="AD13" s="570">
        <f t="shared" si="5"/>
        <v>0</v>
      </c>
    </row>
    <row r="14" spans="1:30" ht="27" customHeight="1">
      <c r="A14" s="1381" t="s">
        <v>3038</v>
      </c>
      <c r="B14" s="655"/>
      <c r="C14" s="120"/>
      <c r="D14" s="843"/>
      <c r="E14" s="1493">
        <v>70000000</v>
      </c>
      <c r="F14" s="1493"/>
      <c r="G14" s="1493"/>
      <c r="H14" s="1493">
        <v>95000000</v>
      </c>
      <c r="I14" s="1493">
        <v>125000000</v>
      </c>
      <c r="J14" s="1493"/>
      <c r="K14" s="1493">
        <v>120000000</v>
      </c>
      <c r="L14" s="1493"/>
      <c r="M14" s="1493"/>
      <c r="N14" s="1493"/>
      <c r="O14" s="1493"/>
      <c r="P14" s="1505">
        <f t="shared" si="3"/>
        <v>410000000</v>
      </c>
      <c r="Q14" s="1512">
        <v>0</v>
      </c>
      <c r="R14" s="1510">
        <f t="shared" si="2"/>
        <v>0</v>
      </c>
      <c r="S14" s="570">
        <f t="shared" si="4"/>
        <v>0</v>
      </c>
      <c r="T14" s="570">
        <f t="shared" si="5"/>
        <v>70000000</v>
      </c>
      <c r="U14" s="570">
        <f t="shared" si="5"/>
        <v>-70000000</v>
      </c>
      <c r="V14" s="570">
        <f t="shared" si="5"/>
        <v>0</v>
      </c>
      <c r="W14" s="570">
        <f t="shared" si="5"/>
        <v>95000000</v>
      </c>
      <c r="X14" s="570">
        <f t="shared" si="5"/>
        <v>30000000</v>
      </c>
      <c r="Y14" s="570">
        <f t="shared" si="5"/>
        <v>-125000000</v>
      </c>
      <c r="Z14" s="570">
        <f t="shared" si="5"/>
        <v>120000000</v>
      </c>
      <c r="AA14" s="570">
        <f t="shared" si="5"/>
        <v>-120000000</v>
      </c>
      <c r="AB14" s="570">
        <f t="shared" si="5"/>
        <v>0</v>
      </c>
      <c r="AC14" s="570">
        <f t="shared" si="5"/>
        <v>0</v>
      </c>
      <c r="AD14" s="570">
        <f t="shared" si="5"/>
        <v>0</v>
      </c>
    </row>
    <row r="15" spans="1:30" ht="42.75" customHeight="1">
      <c r="A15" s="1381" t="s">
        <v>3039</v>
      </c>
      <c r="B15" s="655"/>
      <c r="C15" s="120"/>
      <c r="D15" s="843"/>
      <c r="E15" s="1493"/>
      <c r="F15" s="1493"/>
      <c r="G15" s="1493"/>
      <c r="H15" s="1493"/>
      <c r="I15" s="1493"/>
      <c r="J15" s="1493"/>
      <c r="K15" s="1643"/>
      <c r="L15" s="1493"/>
      <c r="M15" s="1493"/>
      <c r="N15" s="1493"/>
      <c r="O15" s="1493"/>
      <c r="P15" s="1505">
        <f t="shared" si="3"/>
        <v>0</v>
      </c>
      <c r="Q15" s="1512">
        <v>0.55000000000000004</v>
      </c>
      <c r="R15" s="1510">
        <f t="shared" si="2"/>
        <v>0</v>
      </c>
      <c r="S15" s="570">
        <f t="shared" si="4"/>
        <v>0</v>
      </c>
      <c r="T15" s="570">
        <f t="shared" si="5"/>
        <v>0</v>
      </c>
      <c r="U15" s="570">
        <f t="shared" si="5"/>
        <v>0</v>
      </c>
      <c r="V15" s="570">
        <f t="shared" si="5"/>
        <v>0</v>
      </c>
      <c r="W15" s="570">
        <f t="shared" si="5"/>
        <v>0</v>
      </c>
      <c r="X15" s="570">
        <f t="shared" si="5"/>
        <v>0</v>
      </c>
      <c r="Y15" s="570">
        <f t="shared" si="5"/>
        <v>0</v>
      </c>
      <c r="Z15" s="570">
        <f t="shared" si="5"/>
        <v>0</v>
      </c>
      <c r="AA15" s="570">
        <f t="shared" si="5"/>
        <v>0</v>
      </c>
      <c r="AB15" s="570">
        <f t="shared" si="5"/>
        <v>0</v>
      </c>
      <c r="AC15" s="570">
        <f t="shared" si="5"/>
        <v>0</v>
      </c>
      <c r="AD15" s="570">
        <f t="shared" si="5"/>
        <v>0</v>
      </c>
    </row>
    <row r="16" spans="1:30" ht="39.75" customHeight="1">
      <c r="A16" s="1381" t="s">
        <v>3040</v>
      </c>
      <c r="B16" s="655"/>
      <c r="C16" s="120"/>
      <c r="D16" s="843"/>
      <c r="E16" s="1493"/>
      <c r="F16" s="1493"/>
      <c r="G16" s="1493"/>
      <c r="H16" s="1493"/>
      <c r="I16" s="1493"/>
      <c r="J16" s="1493"/>
      <c r="K16" s="1493"/>
      <c r="L16" s="1513"/>
      <c r="M16" s="1493"/>
      <c r="N16" s="1493"/>
      <c r="O16" s="1493"/>
      <c r="P16" s="1505">
        <f t="shared" si="3"/>
        <v>0</v>
      </c>
      <c r="Q16" s="1512">
        <v>0.55000000000000004</v>
      </c>
      <c r="R16" s="1510">
        <f t="shared" si="2"/>
        <v>0</v>
      </c>
      <c r="S16" s="570">
        <f t="shared" si="4"/>
        <v>0</v>
      </c>
      <c r="T16" s="570">
        <f t="shared" si="5"/>
        <v>0</v>
      </c>
      <c r="U16" s="570">
        <f t="shared" si="5"/>
        <v>0</v>
      </c>
      <c r="V16" s="570">
        <f t="shared" si="5"/>
        <v>0</v>
      </c>
      <c r="W16" s="570">
        <f t="shared" si="5"/>
        <v>0</v>
      </c>
      <c r="X16" s="570">
        <f t="shared" si="5"/>
        <v>0</v>
      </c>
      <c r="Y16" s="570">
        <f t="shared" si="5"/>
        <v>0</v>
      </c>
      <c r="Z16" s="570">
        <f t="shared" si="5"/>
        <v>0</v>
      </c>
      <c r="AA16" s="570">
        <f t="shared" si="5"/>
        <v>0</v>
      </c>
      <c r="AB16" s="570">
        <f t="shared" si="5"/>
        <v>0</v>
      </c>
      <c r="AC16" s="570">
        <f t="shared" si="5"/>
        <v>0</v>
      </c>
      <c r="AD16" s="570">
        <f t="shared" si="5"/>
        <v>0</v>
      </c>
    </row>
    <row r="17" spans="1:30" ht="28.5" customHeight="1">
      <c r="A17" s="1381" t="s">
        <v>3041</v>
      </c>
      <c r="B17" s="655"/>
      <c r="C17" s="120"/>
      <c r="D17" s="843"/>
      <c r="E17" s="1493"/>
      <c r="F17" s="1493"/>
      <c r="G17" s="1493"/>
      <c r="H17" s="1493"/>
      <c r="I17" s="1493"/>
      <c r="J17" s="1493"/>
      <c r="K17" s="1493"/>
      <c r="L17" s="1493"/>
      <c r="M17" s="1493"/>
      <c r="N17" s="1493"/>
      <c r="O17" s="1493"/>
      <c r="P17" s="1505">
        <f t="shared" si="3"/>
        <v>0</v>
      </c>
      <c r="Q17" s="1512">
        <v>0.55000000000000004</v>
      </c>
      <c r="R17" s="1510">
        <f t="shared" si="2"/>
        <v>0</v>
      </c>
      <c r="S17" s="570">
        <f t="shared" si="4"/>
        <v>0</v>
      </c>
      <c r="T17" s="570">
        <f t="shared" si="5"/>
        <v>0</v>
      </c>
      <c r="U17" s="570">
        <f t="shared" si="5"/>
        <v>0</v>
      </c>
      <c r="V17" s="570">
        <f t="shared" si="5"/>
        <v>0</v>
      </c>
      <c r="W17" s="570">
        <f t="shared" si="5"/>
        <v>0</v>
      </c>
      <c r="X17" s="570">
        <f t="shared" si="5"/>
        <v>0</v>
      </c>
      <c r="Y17" s="570">
        <f t="shared" si="5"/>
        <v>0</v>
      </c>
      <c r="Z17" s="570">
        <f t="shared" si="5"/>
        <v>0</v>
      </c>
      <c r="AA17" s="570">
        <f t="shared" si="5"/>
        <v>0</v>
      </c>
      <c r="AB17" s="570">
        <f t="shared" si="5"/>
        <v>0</v>
      </c>
      <c r="AC17" s="570">
        <f t="shared" si="5"/>
        <v>0</v>
      </c>
      <c r="AD17" s="570">
        <f t="shared" si="5"/>
        <v>0</v>
      </c>
    </row>
    <row r="18" spans="1:30" ht="28.5" customHeight="1">
      <c r="A18" s="1381" t="s">
        <v>3042</v>
      </c>
      <c r="B18" s="655"/>
      <c r="C18" s="120"/>
      <c r="D18" s="843"/>
      <c r="E18" s="1493"/>
      <c r="F18" s="1493"/>
      <c r="G18" s="1493"/>
      <c r="H18" s="1493"/>
      <c r="I18" s="1493"/>
      <c r="J18" s="1493"/>
      <c r="K18" s="1493"/>
      <c r="L18" s="1493"/>
      <c r="M18" s="1493"/>
      <c r="N18" s="1493"/>
      <c r="O18" s="1493"/>
      <c r="P18" s="1505"/>
      <c r="Q18" s="1512">
        <v>1</v>
      </c>
      <c r="R18" s="1510">
        <f t="shared" si="2"/>
        <v>0</v>
      </c>
      <c r="S18" s="570"/>
      <c r="T18" s="570"/>
      <c r="U18" s="570"/>
      <c r="V18" s="570"/>
      <c r="W18" s="570"/>
      <c r="X18" s="570"/>
      <c r="Y18" s="570"/>
      <c r="Z18" s="570"/>
      <c r="AA18" s="570"/>
      <c r="AB18" s="570"/>
      <c r="AC18" s="570"/>
      <c r="AD18" s="570"/>
    </row>
    <row r="19" spans="1:30" ht="37.5" customHeight="1">
      <c r="A19" s="1381" t="s">
        <v>3043</v>
      </c>
      <c r="B19" s="655"/>
      <c r="C19" s="120"/>
      <c r="D19" s="843"/>
      <c r="E19" s="1493"/>
      <c r="F19" s="1493"/>
      <c r="G19" s="1493"/>
      <c r="H19" s="1493"/>
      <c r="I19" s="1493"/>
      <c r="J19" s="1493"/>
      <c r="K19" s="1493"/>
      <c r="L19" s="1493"/>
      <c r="M19" s="1493"/>
      <c r="N19" s="1493"/>
      <c r="O19" s="1493"/>
      <c r="P19" s="1505">
        <f t="shared" si="3"/>
        <v>0</v>
      </c>
      <c r="Q19" s="1512"/>
      <c r="R19" s="1510">
        <f t="shared" si="2"/>
        <v>0</v>
      </c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</row>
    <row r="20" spans="1:30" ht="33" customHeight="1">
      <c r="A20" s="1544" t="s">
        <v>2898</v>
      </c>
      <c r="B20" s="655"/>
      <c r="C20" s="120"/>
      <c r="D20" s="843"/>
      <c r="E20" s="1493"/>
      <c r="F20" s="1493"/>
      <c r="G20" s="1493"/>
      <c r="H20" s="1493"/>
      <c r="I20" s="1493"/>
      <c r="J20" s="1493"/>
      <c r="K20" s="1493"/>
      <c r="L20" s="1493"/>
      <c r="M20" s="1493"/>
      <c r="N20" s="1493"/>
      <c r="O20" s="1493"/>
      <c r="P20" s="1505">
        <f t="shared" si="3"/>
        <v>0</v>
      </c>
      <c r="Q20" s="1512"/>
      <c r="R20" s="1510">
        <f t="shared" si="2"/>
        <v>0</v>
      </c>
      <c r="S20" s="570"/>
      <c r="T20" s="570"/>
      <c r="U20" s="570"/>
      <c r="V20" s="570"/>
      <c r="W20" s="570"/>
      <c r="X20" s="570"/>
      <c r="Y20" s="570"/>
      <c r="Z20" s="570"/>
      <c r="AA20" s="570"/>
      <c r="AB20" s="570"/>
      <c r="AC20" s="570"/>
      <c r="AD20" s="570"/>
    </row>
    <row r="21" spans="1:30" ht="21" customHeight="1">
      <c r="A21" s="1641" t="s">
        <v>2766</v>
      </c>
      <c r="B21" s="655"/>
      <c r="C21" s="120"/>
      <c r="D21" s="843"/>
      <c r="E21" s="1493"/>
      <c r="F21" s="1493"/>
      <c r="G21" s="1493"/>
      <c r="H21" s="1493"/>
      <c r="I21" s="1493"/>
      <c r="J21" s="1493"/>
      <c r="K21" s="1493"/>
      <c r="L21" s="1493"/>
      <c r="M21" s="1493"/>
      <c r="N21" s="1493"/>
      <c r="O21" s="1493"/>
      <c r="P21" s="1505">
        <f t="shared" si="3"/>
        <v>0</v>
      </c>
      <c r="Q21" s="1512"/>
      <c r="R21" s="1510">
        <f t="shared" si="2"/>
        <v>0</v>
      </c>
      <c r="S21" s="570"/>
      <c r="T21" s="570"/>
      <c r="U21" s="570"/>
      <c r="V21" s="570"/>
      <c r="W21" s="570"/>
      <c r="X21" s="570"/>
      <c r="Y21" s="570"/>
      <c r="Z21" s="570"/>
      <c r="AA21" s="570"/>
      <c r="AB21" s="570"/>
      <c r="AC21" s="570"/>
      <c r="AD21" s="570"/>
    </row>
    <row r="22" spans="1:30" ht="18.75" customHeight="1">
      <c r="A22" s="1641" t="s">
        <v>2767</v>
      </c>
      <c r="B22" s="655"/>
      <c r="C22" s="120"/>
      <c r="D22" s="655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383">
        <f t="shared" si="3"/>
        <v>0</v>
      </c>
      <c r="Q22" s="1377"/>
      <c r="R22" s="1384">
        <f t="shared" si="2"/>
        <v>0</v>
      </c>
      <c r="S22" s="570"/>
      <c r="T22" s="570"/>
      <c r="U22" s="570"/>
      <c r="V22" s="570"/>
      <c r="W22" s="570"/>
      <c r="X22" s="570"/>
      <c r="Y22" s="570"/>
      <c r="Z22" s="570"/>
      <c r="AA22" s="570"/>
      <c r="AB22" s="570"/>
      <c r="AC22" s="570"/>
      <c r="AD22" s="570"/>
    </row>
    <row r="23" spans="1:30" ht="19.5" customHeight="1">
      <c r="A23" s="1641" t="s">
        <v>2768</v>
      </c>
      <c r="B23" s="655"/>
      <c r="C23" s="120"/>
      <c r="D23" s="655"/>
      <c r="E23" s="120"/>
      <c r="F23" s="120"/>
      <c r="G23" s="120"/>
      <c r="H23" s="120"/>
      <c r="I23" s="120"/>
      <c r="J23" s="120"/>
      <c r="K23" s="120"/>
      <c r="L23" s="120"/>
      <c r="M23" s="120"/>
      <c r="N23" s="120"/>
      <c r="O23" s="120"/>
      <c r="P23" s="1383">
        <f t="shared" si="3"/>
        <v>0</v>
      </c>
      <c r="Q23" s="1377"/>
      <c r="R23" s="1384">
        <f t="shared" si="2"/>
        <v>0</v>
      </c>
      <c r="S23" s="570">
        <f>D23-B23</f>
        <v>0</v>
      </c>
      <c r="T23" s="570">
        <f t="shared" ref="T23:AD23" si="6">E23-D23</f>
        <v>0</v>
      </c>
      <c r="U23" s="570">
        <f t="shared" si="6"/>
        <v>0</v>
      </c>
      <c r="V23" s="570">
        <f t="shared" si="6"/>
        <v>0</v>
      </c>
      <c r="W23" s="570">
        <f t="shared" si="6"/>
        <v>0</v>
      </c>
      <c r="X23" s="570">
        <f t="shared" si="6"/>
        <v>0</v>
      </c>
      <c r="Y23" s="570">
        <f t="shared" si="6"/>
        <v>0</v>
      </c>
      <c r="Z23" s="570">
        <f t="shared" si="6"/>
        <v>0</v>
      </c>
      <c r="AA23" s="570">
        <f t="shared" si="6"/>
        <v>0</v>
      </c>
      <c r="AB23" s="570">
        <f t="shared" si="6"/>
        <v>0</v>
      </c>
      <c r="AC23" s="570">
        <f t="shared" si="6"/>
        <v>0</v>
      </c>
      <c r="AD23" s="570">
        <f t="shared" si="6"/>
        <v>0</v>
      </c>
    </row>
    <row r="24" spans="1:30" ht="21" customHeight="1">
      <c r="A24" s="1642" t="s">
        <v>2769</v>
      </c>
      <c r="B24" s="655"/>
      <c r="C24" s="120"/>
      <c r="D24" s="655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383">
        <f t="shared" si="3"/>
        <v>0</v>
      </c>
      <c r="Q24" s="1377"/>
      <c r="R24" s="1384">
        <f t="shared" si="2"/>
        <v>0</v>
      </c>
      <c r="S24" s="570"/>
      <c r="T24" s="570"/>
      <c r="U24" s="570"/>
      <c r="V24" s="570"/>
      <c r="W24" s="570"/>
      <c r="X24" s="570"/>
      <c r="Y24" s="570"/>
      <c r="Z24" s="570"/>
      <c r="AA24" s="570"/>
      <c r="AB24" s="570"/>
      <c r="AC24" s="570"/>
      <c r="AD24" s="570"/>
    </row>
    <row r="25" spans="1:30">
      <c r="B25" s="1207"/>
      <c r="C25" s="1207"/>
      <c r="D25" s="1476"/>
      <c r="E25" s="1207"/>
      <c r="F25" s="1207"/>
      <c r="G25" s="1207"/>
      <c r="H25" s="1207"/>
      <c r="I25" s="1207"/>
      <c r="J25" s="1207"/>
      <c r="K25" s="1207"/>
      <c r="L25" s="1207"/>
      <c r="M25" s="1207"/>
      <c r="N25" s="1207"/>
      <c r="O25" s="1207"/>
      <c r="P25" s="1383">
        <f t="shared" si="3"/>
        <v>0</v>
      </c>
      <c r="Q25" s="1378"/>
      <c r="R25" s="1384">
        <f t="shared" si="2"/>
        <v>0</v>
      </c>
      <c r="S25" s="576"/>
      <c r="T25" s="576"/>
      <c r="U25" s="576"/>
      <c r="V25" s="576"/>
      <c r="W25" s="576"/>
      <c r="X25" s="576"/>
      <c r="Y25" s="576"/>
      <c r="Z25" s="576"/>
      <c r="AA25" s="576"/>
      <c r="AB25" s="576"/>
      <c r="AC25" s="576"/>
      <c r="AD25" s="576"/>
    </row>
    <row r="26" spans="1:30">
      <c r="A26" s="565" t="s">
        <v>1578</v>
      </c>
      <c r="B26" s="37">
        <f t="shared" ref="B26:N26" si="7">SUM(B6:B25)</f>
        <v>0</v>
      </c>
      <c r="C26" s="37">
        <f t="shared" si="7"/>
        <v>0</v>
      </c>
      <c r="D26" s="1477">
        <f>+D6+D7+D8+D9+D10+D11+D12+D13+D14+D15+D16+D17+D19+D20+D21+D22+D23+D24</f>
        <v>578775671</v>
      </c>
      <c r="E26" s="37">
        <f>+E6+E7+E8+E9+E10+E11+E12+E13+E14+E15+E16+E17+E19+E20+E21+E22+E23+E24</f>
        <v>298772941</v>
      </c>
      <c r="F26" s="37">
        <f>+F6+F7+F8+F9+F10+F11+F12+F13+F14+F15+F16+F17+F19+F20+F21+F22+F23+F24</f>
        <v>100326673</v>
      </c>
      <c r="G26" s="37">
        <f>+G6+G7+G8+G9+G10+G11+G12+G13+G14+G15+G16+G17+G19+G20+G21+G22+G23+G24</f>
        <v>249786870</v>
      </c>
      <c r="H26" s="37">
        <f t="shared" si="7"/>
        <v>223228288</v>
      </c>
      <c r="I26" s="37">
        <f t="shared" si="7"/>
        <v>744371520</v>
      </c>
      <c r="J26" s="37">
        <f t="shared" si="7"/>
        <v>873402693</v>
      </c>
      <c r="K26" s="37">
        <f t="shared" si="7"/>
        <v>372133143</v>
      </c>
      <c r="L26" s="37">
        <f t="shared" si="7"/>
        <v>326352162</v>
      </c>
      <c r="M26" s="37">
        <f t="shared" si="7"/>
        <v>7715456131</v>
      </c>
      <c r="N26" s="37">
        <f t="shared" si="7"/>
        <v>1939700374</v>
      </c>
      <c r="O26" s="37">
        <f>SUM(O6:O25)</f>
        <v>1978699373</v>
      </c>
      <c r="P26" s="37">
        <f>SUM(D26:O26)</f>
        <v>15401005839</v>
      </c>
      <c r="Q26" s="37"/>
      <c r="R26" s="37">
        <f>SUM(R6:R25)</f>
        <v>5535656579.75</v>
      </c>
      <c r="S26" s="573" t="e">
        <f>SUM(#REF!)</f>
        <v>#REF!</v>
      </c>
      <c r="T26" s="573" t="e">
        <f>SUM(#REF!)</f>
        <v>#REF!</v>
      </c>
      <c r="U26" s="573" t="e">
        <f>SUM(#REF!)</f>
        <v>#REF!</v>
      </c>
      <c r="V26" s="573" t="e">
        <f>SUM(#REF!)</f>
        <v>#REF!</v>
      </c>
      <c r="W26" s="573" t="e">
        <f>SUM(#REF!)</f>
        <v>#REF!</v>
      </c>
      <c r="X26" s="573" t="e">
        <f>SUM(#REF!)</f>
        <v>#REF!</v>
      </c>
      <c r="Y26" s="573" t="e">
        <f>SUM(#REF!)</f>
        <v>#REF!</v>
      </c>
      <c r="Z26" s="573" t="e">
        <f>SUM(#REF!)</f>
        <v>#REF!</v>
      </c>
      <c r="AA26" s="573" t="e">
        <f>SUM(#REF!)</f>
        <v>#REF!</v>
      </c>
      <c r="AB26" s="573" t="e">
        <f>SUM(#REF!)</f>
        <v>#REF!</v>
      </c>
      <c r="AC26" s="573" t="e">
        <f>SUM(#REF!)</f>
        <v>#REF!</v>
      </c>
      <c r="AD26" s="573" t="e">
        <f>SUM(#REF!)</f>
        <v>#REF!</v>
      </c>
    </row>
    <row r="27" spans="1:30">
      <c r="A27" s="565" t="s">
        <v>650</v>
      </c>
      <c r="B27" s="573"/>
      <c r="C27" s="573"/>
      <c r="D27" s="1478"/>
      <c r="E27" s="573"/>
      <c r="F27" s="573"/>
      <c r="G27" s="573"/>
      <c r="H27" s="573"/>
      <c r="I27" s="573"/>
      <c r="J27" s="573"/>
      <c r="K27" s="573"/>
      <c r="L27" s="573"/>
      <c r="M27" s="573"/>
      <c r="N27" s="573"/>
      <c r="O27" s="573"/>
      <c r="P27" s="573"/>
      <c r="Q27" s="1379"/>
      <c r="R27" s="1380"/>
      <c r="S27" s="573" t="e">
        <f>+S26-#REF!</f>
        <v>#REF!</v>
      </c>
      <c r="T27" s="573" t="e">
        <f>+T26-#REF!</f>
        <v>#REF!</v>
      </c>
      <c r="U27" s="573" t="e">
        <f>+U26-#REF!</f>
        <v>#REF!</v>
      </c>
      <c r="V27" s="573" t="e">
        <f>+V26-#REF!</f>
        <v>#REF!</v>
      </c>
      <c r="W27" s="573" t="e">
        <f>+W26-#REF!</f>
        <v>#REF!</v>
      </c>
      <c r="X27" s="573" t="e">
        <f>+X26-#REF!</f>
        <v>#REF!</v>
      </c>
      <c r="Y27" s="573" t="e">
        <f>+Y26-#REF!</f>
        <v>#REF!</v>
      </c>
      <c r="Z27" s="573" t="e">
        <f>+Z26-#REF!</f>
        <v>#REF!</v>
      </c>
      <c r="AA27" s="573" t="e">
        <f>+AA26-#REF!</f>
        <v>#REF!</v>
      </c>
      <c r="AB27" s="573" t="e">
        <f>+AB26-#REF!</f>
        <v>#REF!</v>
      </c>
      <c r="AC27" s="573" t="e">
        <f>+AC26-#REF!</f>
        <v>#REF!</v>
      </c>
      <c r="AD27" s="573" t="e">
        <f>+AD26-#REF!</f>
        <v>#REF!</v>
      </c>
    </row>
    <row r="28" spans="1:30">
      <c r="A28" s="559" t="s">
        <v>2904</v>
      </c>
      <c r="D28" s="10"/>
      <c r="E28" s="10"/>
      <c r="F28" s="10"/>
      <c r="G28" s="10"/>
      <c r="P28" s="10">
        <f>P26-R18</f>
        <v>15401005839</v>
      </c>
      <c r="R28" s="10">
        <f>P26-R26</f>
        <v>9865349259.25</v>
      </c>
    </row>
    <row r="29" spans="1:30">
      <c r="E29" s="10"/>
      <c r="F29" s="10"/>
      <c r="G29" s="10"/>
      <c r="P29" s="10">
        <f>15685518078-P26</f>
        <v>284512239</v>
      </c>
      <c r="Q29" s="10"/>
      <c r="R29" s="10">
        <f>+P5-R5</f>
        <v>9865349259.25</v>
      </c>
    </row>
    <row r="30" spans="1:30" ht="20.25">
      <c r="A30" s="1410" t="s">
        <v>2841</v>
      </c>
      <c r="B30" s="1436" t="s">
        <v>2842</v>
      </c>
      <c r="C30" s="1436" t="s">
        <v>2843</v>
      </c>
      <c r="D30" s="10"/>
      <c r="P30" t="s">
        <v>322</v>
      </c>
      <c r="R30" s="10"/>
    </row>
    <row r="31" spans="1:30" ht="25.5">
      <c r="A31" s="1411" t="s">
        <v>2770</v>
      </c>
      <c r="B31">
        <f>100/100</f>
        <v>1</v>
      </c>
      <c r="C31">
        <v>0</v>
      </c>
      <c r="D31" s="706">
        <f>(+D7*$B31)/1000</f>
        <v>105372.88099999999</v>
      </c>
      <c r="E31" s="706">
        <f t="shared" ref="E31:N31" si="8">(+E7*$B31)/1000</f>
        <v>38239.394</v>
      </c>
      <c r="F31" s="706">
        <f t="shared" si="8"/>
        <v>19745.797999999999</v>
      </c>
      <c r="G31" s="706">
        <f t="shared" si="8"/>
        <v>62461.902000000002</v>
      </c>
      <c r="H31" s="706">
        <f t="shared" si="8"/>
        <v>13501.164000000001</v>
      </c>
      <c r="I31" s="706">
        <f t="shared" si="8"/>
        <v>92884.887000000002</v>
      </c>
      <c r="J31" s="706">
        <f t="shared" si="8"/>
        <v>305817.08600000001</v>
      </c>
      <c r="K31" s="706">
        <f t="shared" si="8"/>
        <v>33629.156000000003</v>
      </c>
      <c r="L31" s="706">
        <f t="shared" si="8"/>
        <v>103742.56600000001</v>
      </c>
      <c r="M31" s="706">
        <f t="shared" si="8"/>
        <v>15399.709000000001</v>
      </c>
      <c r="N31" s="706">
        <f t="shared" si="8"/>
        <v>189845.54199999999</v>
      </c>
      <c r="O31" s="706">
        <f>(+O7*$B31)/1000</f>
        <v>557043.90399999998</v>
      </c>
      <c r="P31" s="888">
        <f>SUM(D31:O31)</f>
        <v>1537683.9890000001</v>
      </c>
      <c r="Q31" s="888"/>
      <c r="R31" s="888"/>
    </row>
    <row r="32" spans="1:30">
      <c r="A32" s="1381" t="s">
        <v>2773</v>
      </c>
      <c r="B32">
        <v>0</v>
      </c>
      <c r="C32">
        <v>1</v>
      </c>
      <c r="D32" s="706">
        <f>(+D8*$B32)/1000</f>
        <v>0</v>
      </c>
      <c r="E32" s="706">
        <f t="shared" ref="E32:N32" si="9">(+E8*$B32)/1000</f>
        <v>0</v>
      </c>
      <c r="F32" s="706">
        <f t="shared" si="9"/>
        <v>0</v>
      </c>
      <c r="G32" s="706">
        <f t="shared" si="9"/>
        <v>0</v>
      </c>
      <c r="H32" s="706">
        <f t="shared" si="9"/>
        <v>0</v>
      </c>
      <c r="I32" s="706">
        <f t="shared" si="9"/>
        <v>0</v>
      </c>
      <c r="J32" s="706">
        <f t="shared" si="9"/>
        <v>0</v>
      </c>
      <c r="K32" s="706">
        <f t="shared" si="9"/>
        <v>0</v>
      </c>
      <c r="L32" s="706">
        <f t="shared" si="9"/>
        <v>0</v>
      </c>
      <c r="M32" s="706">
        <f t="shared" si="9"/>
        <v>0</v>
      </c>
      <c r="N32" s="706">
        <f t="shared" si="9"/>
        <v>0</v>
      </c>
      <c r="O32" s="706">
        <f>(+O8*$B32)/1000</f>
        <v>0</v>
      </c>
      <c r="P32" s="888">
        <f>SUM(D32:O32)</f>
        <v>0</v>
      </c>
      <c r="Q32" s="888"/>
      <c r="R32" s="888"/>
    </row>
    <row r="33" spans="1:19">
      <c r="A33" s="1411" t="s">
        <v>2761</v>
      </c>
      <c r="B33">
        <f>75/100</f>
        <v>0.75</v>
      </c>
      <c r="C33">
        <v>0.25</v>
      </c>
      <c r="D33" s="706">
        <f>(+D9*$B33)/1000</f>
        <v>55186.841999999997</v>
      </c>
      <c r="E33" s="706">
        <f t="shared" ref="E33:N33" si="10">(+E9*$B33)/1000</f>
        <v>32424.072</v>
      </c>
      <c r="F33" s="706">
        <f t="shared" si="10"/>
        <v>21637.41</v>
      </c>
      <c r="G33" s="706">
        <f t="shared" si="10"/>
        <v>13336.758750000001</v>
      </c>
      <c r="H33" s="706">
        <f t="shared" si="10"/>
        <v>2757.4724999999999</v>
      </c>
      <c r="I33" s="706">
        <f t="shared" si="10"/>
        <v>4168.6499999999996</v>
      </c>
      <c r="J33" s="706">
        <f t="shared" si="10"/>
        <v>3232.17</v>
      </c>
      <c r="K33" s="706">
        <f t="shared" si="10"/>
        <v>3086.73</v>
      </c>
      <c r="L33" s="706">
        <f t="shared" si="10"/>
        <v>5959.65</v>
      </c>
      <c r="M33" s="706">
        <f t="shared" si="10"/>
        <v>5307.9750000000004</v>
      </c>
      <c r="N33" s="706">
        <f t="shared" si="10"/>
        <v>1023.75</v>
      </c>
      <c r="O33" s="706">
        <f>(+O9*$B33)/1000</f>
        <v>87.75</v>
      </c>
      <c r="P33" s="888">
        <f t="shared" ref="P33:P47" si="11">SUM(D33:O33)</f>
        <v>148209.23025000002</v>
      </c>
      <c r="Q33" s="861"/>
      <c r="R33" s="861"/>
    </row>
    <row r="34" spans="1:19">
      <c r="A34" s="1412" t="s">
        <v>1223</v>
      </c>
      <c r="B34">
        <f>100/100</f>
        <v>1</v>
      </c>
      <c r="C34">
        <f>0/100</f>
        <v>0</v>
      </c>
      <c r="D34" s="706">
        <f>(+D10*$B34)/1000</f>
        <v>0</v>
      </c>
      <c r="E34" s="706">
        <f t="shared" ref="E34:N34" si="12">(+E10*$B34)/1000</f>
        <v>43179.35</v>
      </c>
      <c r="F34" s="706">
        <f t="shared" si="12"/>
        <v>0</v>
      </c>
      <c r="G34" s="706">
        <f t="shared" si="12"/>
        <v>64402.15</v>
      </c>
      <c r="H34" s="706">
        <f t="shared" si="12"/>
        <v>15002.6</v>
      </c>
      <c r="I34" s="706">
        <f t="shared" si="12"/>
        <v>0</v>
      </c>
      <c r="J34" s="706">
        <f t="shared" si="12"/>
        <v>0</v>
      </c>
      <c r="K34" s="706">
        <f t="shared" si="12"/>
        <v>39209.949999999997</v>
      </c>
      <c r="L34" s="706">
        <f t="shared" si="12"/>
        <v>0</v>
      </c>
      <c r="M34" s="706">
        <f t="shared" si="12"/>
        <v>0</v>
      </c>
      <c r="N34" s="706">
        <f t="shared" si="12"/>
        <v>0</v>
      </c>
      <c r="O34" s="706">
        <f>(+O10*$B34)/1000</f>
        <v>38649.5</v>
      </c>
      <c r="P34" s="888">
        <f t="shared" si="11"/>
        <v>200443.55</v>
      </c>
    </row>
    <row r="35" spans="1:19" ht="25.5">
      <c r="A35" s="1412" t="s">
        <v>2874</v>
      </c>
      <c r="B35">
        <v>0</v>
      </c>
      <c r="C35">
        <f>100/100</f>
        <v>1</v>
      </c>
      <c r="D35" s="706">
        <f t="shared" ref="D35:O46" si="13">(+D11*$B35)/1000</f>
        <v>0</v>
      </c>
      <c r="E35" s="706">
        <f t="shared" si="13"/>
        <v>0</v>
      </c>
      <c r="F35" s="706">
        <f t="shared" si="13"/>
        <v>0</v>
      </c>
      <c r="G35" s="706">
        <f t="shared" si="13"/>
        <v>0</v>
      </c>
      <c r="H35" s="706">
        <f t="shared" si="13"/>
        <v>0</v>
      </c>
      <c r="I35" s="706">
        <f t="shared" si="13"/>
        <v>0</v>
      </c>
      <c r="J35" s="706">
        <f t="shared" si="13"/>
        <v>0</v>
      </c>
      <c r="K35" s="706">
        <f t="shared" si="13"/>
        <v>0</v>
      </c>
      <c r="L35" s="706">
        <f t="shared" si="13"/>
        <v>0</v>
      </c>
      <c r="M35" s="706">
        <f t="shared" si="13"/>
        <v>0</v>
      </c>
      <c r="N35" s="706">
        <f t="shared" si="13"/>
        <v>0</v>
      </c>
      <c r="O35" s="706">
        <f t="shared" si="13"/>
        <v>0</v>
      </c>
      <c r="P35" s="888">
        <f t="shared" si="11"/>
        <v>0</v>
      </c>
      <c r="S35" s="10">
        <f>+P26-15685518078</f>
        <v>-284512239</v>
      </c>
    </row>
    <row r="36" spans="1:19" ht="25.5">
      <c r="A36" s="1412" t="s">
        <v>2759</v>
      </c>
      <c r="B36">
        <f>100/100</f>
        <v>1</v>
      </c>
      <c r="C36">
        <v>0</v>
      </c>
      <c r="D36" s="706">
        <f t="shared" si="13"/>
        <v>0</v>
      </c>
      <c r="E36" s="706">
        <f t="shared" si="13"/>
        <v>0</v>
      </c>
      <c r="F36" s="706">
        <f t="shared" si="13"/>
        <v>0</v>
      </c>
      <c r="G36" s="706">
        <f t="shared" si="13"/>
        <v>0</v>
      </c>
      <c r="H36" s="706">
        <f t="shared" si="13"/>
        <v>0</v>
      </c>
      <c r="I36" s="706">
        <f t="shared" si="13"/>
        <v>0</v>
      </c>
      <c r="J36" s="706">
        <f t="shared" si="13"/>
        <v>0</v>
      </c>
      <c r="K36" s="706">
        <f t="shared" si="13"/>
        <v>0</v>
      </c>
      <c r="L36" s="706">
        <f t="shared" si="13"/>
        <v>0</v>
      </c>
      <c r="M36" s="706">
        <f t="shared" si="13"/>
        <v>0</v>
      </c>
      <c r="N36" s="706">
        <f t="shared" si="13"/>
        <v>1311914</v>
      </c>
      <c r="O36" s="706">
        <f t="shared" si="13"/>
        <v>0</v>
      </c>
      <c r="P36" s="888">
        <f t="shared" si="11"/>
        <v>1311914</v>
      </c>
    </row>
    <row r="37" spans="1:19">
      <c r="A37" s="1413" t="s">
        <v>1724</v>
      </c>
      <c r="B37">
        <f>100/100</f>
        <v>1</v>
      </c>
      <c r="C37">
        <v>0</v>
      </c>
      <c r="D37" s="706">
        <f t="shared" si="13"/>
        <v>0</v>
      </c>
      <c r="E37" s="706">
        <f t="shared" si="13"/>
        <v>0</v>
      </c>
      <c r="F37" s="706">
        <f t="shared" si="13"/>
        <v>0</v>
      </c>
      <c r="G37" s="706">
        <f t="shared" si="13"/>
        <v>0</v>
      </c>
      <c r="H37" s="706">
        <f t="shared" si="13"/>
        <v>0</v>
      </c>
      <c r="I37" s="706">
        <f t="shared" si="13"/>
        <v>0</v>
      </c>
      <c r="J37" s="706">
        <f t="shared" si="13"/>
        <v>0</v>
      </c>
      <c r="K37" s="706">
        <f t="shared" si="13"/>
        <v>0</v>
      </c>
      <c r="L37" s="706">
        <f t="shared" si="13"/>
        <v>0</v>
      </c>
      <c r="M37" s="706">
        <f t="shared" si="13"/>
        <v>0</v>
      </c>
      <c r="N37" s="706">
        <f t="shared" si="13"/>
        <v>0</v>
      </c>
      <c r="O37" s="706">
        <f t="shared" si="13"/>
        <v>0</v>
      </c>
      <c r="P37" s="888">
        <f t="shared" si="11"/>
        <v>0</v>
      </c>
    </row>
    <row r="38" spans="1:19" ht="25.5">
      <c r="A38" s="1412" t="s">
        <v>2762</v>
      </c>
      <c r="B38">
        <f>45/100</f>
        <v>0.45</v>
      </c>
      <c r="C38">
        <v>55</v>
      </c>
      <c r="D38" s="706">
        <f t="shared" si="13"/>
        <v>0</v>
      </c>
      <c r="E38" s="706">
        <f t="shared" si="13"/>
        <v>31500</v>
      </c>
      <c r="F38" s="706">
        <f t="shared" si="13"/>
        <v>0</v>
      </c>
      <c r="G38" s="706">
        <f t="shared" si="13"/>
        <v>0</v>
      </c>
      <c r="H38" s="706">
        <f t="shared" si="13"/>
        <v>42750</v>
      </c>
      <c r="I38" s="706">
        <f t="shared" si="13"/>
        <v>56250</v>
      </c>
      <c r="J38" s="706">
        <f t="shared" si="13"/>
        <v>0</v>
      </c>
      <c r="K38" s="706">
        <f t="shared" si="13"/>
        <v>54000</v>
      </c>
      <c r="L38" s="706">
        <f t="shared" si="13"/>
        <v>0</v>
      </c>
      <c r="M38" s="706">
        <f t="shared" si="13"/>
        <v>0</v>
      </c>
      <c r="N38" s="706">
        <f t="shared" si="13"/>
        <v>0</v>
      </c>
      <c r="O38" s="706">
        <f t="shared" si="13"/>
        <v>0</v>
      </c>
      <c r="P38" s="888">
        <f t="shared" si="11"/>
        <v>184500</v>
      </c>
    </row>
    <row r="39" spans="1:19" ht="25.5">
      <c r="A39" s="1412" t="s">
        <v>2771</v>
      </c>
      <c r="B39">
        <f>45/100</f>
        <v>0.45</v>
      </c>
      <c r="C39">
        <v>55</v>
      </c>
      <c r="D39" s="706">
        <f t="shared" si="13"/>
        <v>0</v>
      </c>
      <c r="E39" s="706">
        <f t="shared" si="13"/>
        <v>0</v>
      </c>
      <c r="F39" s="706">
        <f t="shared" si="13"/>
        <v>0</v>
      </c>
      <c r="G39" s="706">
        <f t="shared" si="13"/>
        <v>0</v>
      </c>
      <c r="H39" s="706">
        <f t="shared" si="13"/>
        <v>0</v>
      </c>
      <c r="I39" s="706">
        <f t="shared" si="13"/>
        <v>0</v>
      </c>
      <c r="J39" s="706">
        <f t="shared" si="13"/>
        <v>0</v>
      </c>
      <c r="K39" s="706">
        <f t="shared" si="13"/>
        <v>0</v>
      </c>
      <c r="L39" s="706">
        <f t="shared" si="13"/>
        <v>0</v>
      </c>
      <c r="M39" s="706">
        <f t="shared" si="13"/>
        <v>0</v>
      </c>
      <c r="N39" s="706">
        <f t="shared" si="13"/>
        <v>0</v>
      </c>
      <c r="O39" s="706">
        <f t="shared" si="13"/>
        <v>0</v>
      </c>
      <c r="P39" s="888">
        <f t="shared" si="11"/>
        <v>0</v>
      </c>
    </row>
    <row r="40" spans="1:19">
      <c r="A40" s="1412" t="s">
        <v>2763</v>
      </c>
      <c r="B40">
        <f>45/100</f>
        <v>0.45</v>
      </c>
      <c r="C40">
        <v>55</v>
      </c>
      <c r="D40" s="706">
        <f t="shared" si="13"/>
        <v>0</v>
      </c>
      <c r="E40" s="706">
        <f t="shared" si="13"/>
        <v>0</v>
      </c>
      <c r="F40" s="706">
        <f t="shared" si="13"/>
        <v>0</v>
      </c>
      <c r="G40" s="706">
        <f t="shared" si="13"/>
        <v>0</v>
      </c>
      <c r="H40" s="706">
        <f t="shared" si="13"/>
        <v>0</v>
      </c>
      <c r="I40" s="706">
        <f t="shared" si="13"/>
        <v>0</v>
      </c>
      <c r="J40" s="706">
        <f t="shared" si="13"/>
        <v>0</v>
      </c>
      <c r="K40" s="706">
        <f t="shared" si="13"/>
        <v>0</v>
      </c>
      <c r="L40" s="706">
        <f t="shared" si="13"/>
        <v>0</v>
      </c>
      <c r="M40" s="706">
        <f t="shared" si="13"/>
        <v>0</v>
      </c>
      <c r="N40" s="706">
        <f t="shared" si="13"/>
        <v>0</v>
      </c>
      <c r="O40" s="706">
        <f t="shared" si="13"/>
        <v>0</v>
      </c>
      <c r="P40" s="888">
        <f t="shared" si="11"/>
        <v>0</v>
      </c>
    </row>
    <row r="41" spans="1:19">
      <c r="A41" s="1412" t="s">
        <v>2764</v>
      </c>
      <c r="B41">
        <v>0.45</v>
      </c>
      <c r="C41">
        <v>0.55000000000000004</v>
      </c>
      <c r="D41" s="706">
        <f t="shared" si="13"/>
        <v>0</v>
      </c>
      <c r="E41" s="706">
        <f t="shared" si="13"/>
        <v>0</v>
      </c>
      <c r="F41" s="706">
        <f t="shared" si="13"/>
        <v>0</v>
      </c>
      <c r="G41" s="706">
        <f t="shared" si="13"/>
        <v>0</v>
      </c>
      <c r="H41" s="706">
        <f t="shared" si="13"/>
        <v>0</v>
      </c>
      <c r="I41" s="706">
        <f t="shared" si="13"/>
        <v>0</v>
      </c>
      <c r="J41" s="706">
        <f t="shared" si="13"/>
        <v>0</v>
      </c>
      <c r="K41" s="706">
        <f t="shared" si="13"/>
        <v>0</v>
      </c>
      <c r="L41" s="706">
        <f t="shared" si="13"/>
        <v>0</v>
      </c>
      <c r="M41" s="706">
        <f t="shared" si="13"/>
        <v>0</v>
      </c>
      <c r="N41" s="706">
        <f t="shared" si="13"/>
        <v>0</v>
      </c>
      <c r="O41" s="706">
        <f t="shared" si="13"/>
        <v>0</v>
      </c>
      <c r="P41" s="888">
        <f t="shared" si="11"/>
        <v>0</v>
      </c>
    </row>
    <row r="42" spans="1:19" ht="25.5">
      <c r="A42" s="1412" t="s">
        <v>2765</v>
      </c>
      <c r="B42">
        <v>0.45</v>
      </c>
      <c r="C42">
        <v>0.55000000000000004</v>
      </c>
      <c r="D42" s="706">
        <f t="shared" si="13"/>
        <v>0</v>
      </c>
      <c r="E42" s="706">
        <f t="shared" si="13"/>
        <v>0</v>
      </c>
      <c r="F42" s="706">
        <f t="shared" si="13"/>
        <v>0</v>
      </c>
      <c r="G42" s="706">
        <f t="shared" si="13"/>
        <v>0</v>
      </c>
      <c r="H42" s="706">
        <f t="shared" si="13"/>
        <v>0</v>
      </c>
      <c r="I42" s="706">
        <f t="shared" si="13"/>
        <v>0</v>
      </c>
      <c r="J42" s="706">
        <f t="shared" si="13"/>
        <v>0</v>
      </c>
      <c r="K42" s="706">
        <f t="shared" si="13"/>
        <v>0</v>
      </c>
      <c r="L42" s="706">
        <f t="shared" si="13"/>
        <v>0</v>
      </c>
      <c r="M42" s="706">
        <f t="shared" si="13"/>
        <v>0</v>
      </c>
      <c r="N42" s="706">
        <f t="shared" si="13"/>
        <v>0</v>
      </c>
      <c r="O42" s="706">
        <f t="shared" si="13"/>
        <v>0</v>
      </c>
      <c r="P42" s="888">
        <f t="shared" si="11"/>
        <v>0</v>
      </c>
    </row>
    <row r="43" spans="1:19">
      <c r="A43" s="1414" t="s">
        <v>2766</v>
      </c>
      <c r="D43" s="706">
        <f t="shared" si="13"/>
        <v>0</v>
      </c>
      <c r="E43" s="706">
        <f t="shared" si="13"/>
        <v>0</v>
      </c>
      <c r="F43" s="706">
        <f t="shared" si="13"/>
        <v>0</v>
      </c>
      <c r="G43" s="706">
        <f t="shared" si="13"/>
        <v>0</v>
      </c>
      <c r="H43" s="706">
        <f t="shared" si="13"/>
        <v>0</v>
      </c>
      <c r="I43" s="706">
        <f t="shared" si="13"/>
        <v>0</v>
      </c>
      <c r="J43" s="706">
        <f t="shared" si="13"/>
        <v>0</v>
      </c>
      <c r="K43" s="706">
        <f t="shared" si="13"/>
        <v>0</v>
      </c>
      <c r="L43" s="706">
        <f t="shared" si="13"/>
        <v>0</v>
      </c>
      <c r="M43" s="706">
        <f t="shared" si="13"/>
        <v>0</v>
      </c>
      <c r="N43" s="706">
        <f t="shared" si="13"/>
        <v>0</v>
      </c>
      <c r="O43" s="706">
        <f t="shared" si="13"/>
        <v>0</v>
      </c>
      <c r="P43" s="888">
        <f t="shared" si="11"/>
        <v>0</v>
      </c>
    </row>
    <row r="44" spans="1:19">
      <c r="A44" s="1414" t="s">
        <v>2767</v>
      </c>
      <c r="D44" s="706">
        <f t="shared" si="13"/>
        <v>0</v>
      </c>
      <c r="E44" s="706">
        <f t="shared" si="13"/>
        <v>0</v>
      </c>
      <c r="F44" s="706">
        <f t="shared" si="13"/>
        <v>0</v>
      </c>
      <c r="G44" s="706">
        <f t="shared" si="13"/>
        <v>0</v>
      </c>
      <c r="H44" s="706">
        <f t="shared" si="13"/>
        <v>0</v>
      </c>
      <c r="I44" s="706">
        <f t="shared" si="13"/>
        <v>0</v>
      </c>
      <c r="J44" s="706">
        <f t="shared" si="13"/>
        <v>0</v>
      </c>
      <c r="K44" s="706">
        <f t="shared" si="13"/>
        <v>0</v>
      </c>
      <c r="L44" s="706">
        <f t="shared" si="13"/>
        <v>0</v>
      </c>
      <c r="M44" s="706">
        <f t="shared" si="13"/>
        <v>0</v>
      </c>
      <c r="N44" s="706">
        <f t="shared" si="13"/>
        <v>0</v>
      </c>
      <c r="O44" s="706">
        <f t="shared" si="13"/>
        <v>0</v>
      </c>
      <c r="P44" s="888">
        <f t="shared" si="11"/>
        <v>0</v>
      </c>
    </row>
    <row r="45" spans="1:19">
      <c r="A45" s="1414" t="s">
        <v>2768</v>
      </c>
      <c r="D45" s="706">
        <f t="shared" si="13"/>
        <v>0</v>
      </c>
      <c r="E45" s="706">
        <f t="shared" si="13"/>
        <v>0</v>
      </c>
      <c r="F45" s="706">
        <f t="shared" si="13"/>
        <v>0</v>
      </c>
      <c r="G45" s="706">
        <f t="shared" si="13"/>
        <v>0</v>
      </c>
      <c r="H45" s="706">
        <f t="shared" si="13"/>
        <v>0</v>
      </c>
      <c r="I45" s="706">
        <f t="shared" si="13"/>
        <v>0</v>
      </c>
      <c r="J45" s="706">
        <f t="shared" si="13"/>
        <v>0</v>
      </c>
      <c r="K45" s="706">
        <f t="shared" si="13"/>
        <v>0</v>
      </c>
      <c r="L45" s="706">
        <f t="shared" si="13"/>
        <v>0</v>
      </c>
      <c r="M45" s="706">
        <f t="shared" si="13"/>
        <v>0</v>
      </c>
      <c r="N45" s="706">
        <f t="shared" si="13"/>
        <v>0</v>
      </c>
      <c r="O45" s="706">
        <f t="shared" si="13"/>
        <v>0</v>
      </c>
      <c r="P45" s="888">
        <f t="shared" si="11"/>
        <v>0</v>
      </c>
    </row>
    <row r="46" spans="1:19">
      <c r="A46" s="1415" t="s">
        <v>2769</v>
      </c>
      <c r="C46">
        <v>0.45</v>
      </c>
      <c r="D46" s="706">
        <f t="shared" si="13"/>
        <v>0</v>
      </c>
      <c r="E46" s="706">
        <f t="shared" si="13"/>
        <v>0</v>
      </c>
      <c r="F46" s="706">
        <f t="shared" si="13"/>
        <v>0</v>
      </c>
      <c r="G46" s="706">
        <f t="shared" si="13"/>
        <v>0</v>
      </c>
      <c r="H46" s="706">
        <f t="shared" si="13"/>
        <v>0</v>
      </c>
      <c r="I46" s="706">
        <f t="shared" si="13"/>
        <v>0</v>
      </c>
      <c r="J46" s="706">
        <f t="shared" si="13"/>
        <v>0</v>
      </c>
      <c r="K46" s="706">
        <f t="shared" si="13"/>
        <v>0</v>
      </c>
      <c r="L46" s="706">
        <f t="shared" si="13"/>
        <v>0</v>
      </c>
      <c r="M46" s="706">
        <f t="shared" si="13"/>
        <v>0</v>
      </c>
      <c r="N46" s="706">
        <f t="shared" si="13"/>
        <v>0</v>
      </c>
      <c r="O46" s="706">
        <f t="shared" si="13"/>
        <v>0</v>
      </c>
      <c r="P46" s="888">
        <f t="shared" si="11"/>
        <v>0</v>
      </c>
    </row>
    <row r="47" spans="1:19">
      <c r="A47" s="1416" t="s">
        <v>318</v>
      </c>
      <c r="B47" s="1417">
        <f>SUM(B31:B46)</f>
        <v>7.0000000000000009</v>
      </c>
      <c r="C47" s="1417">
        <f t="shared" ref="C47:O47" si="14">SUM(C31:C46)</f>
        <v>168.8</v>
      </c>
      <c r="D47" s="890">
        <f t="shared" si="14"/>
        <v>160559.723</v>
      </c>
      <c r="E47" s="890">
        <f t="shared" si="14"/>
        <v>145342.81599999999</v>
      </c>
      <c r="F47" s="890">
        <f t="shared" si="14"/>
        <v>41383.207999999999</v>
      </c>
      <c r="G47" s="890">
        <f t="shared" si="14"/>
        <v>140200.81075</v>
      </c>
      <c r="H47" s="890">
        <f t="shared" si="14"/>
        <v>74011.236499999999</v>
      </c>
      <c r="I47" s="890">
        <f t="shared" si="14"/>
        <v>153303.53700000001</v>
      </c>
      <c r="J47" s="890">
        <f t="shared" si="14"/>
        <v>309049.25599999999</v>
      </c>
      <c r="K47" s="890">
        <f t="shared" si="14"/>
        <v>129925.83600000001</v>
      </c>
      <c r="L47" s="890">
        <f t="shared" si="14"/>
        <v>109702.216</v>
      </c>
      <c r="M47" s="890">
        <f t="shared" si="14"/>
        <v>20707.684000000001</v>
      </c>
      <c r="N47" s="890">
        <f t="shared" si="14"/>
        <v>1502783.2919999999</v>
      </c>
      <c r="O47" s="890">
        <f t="shared" si="14"/>
        <v>595781.15399999998</v>
      </c>
      <c r="P47" s="888">
        <f t="shared" si="11"/>
        <v>3382750.7692499999</v>
      </c>
    </row>
    <row r="48" spans="1:19">
      <c r="P48" s="575">
        <f>3341750769/1000</f>
        <v>3341750.7689999999</v>
      </c>
    </row>
    <row r="49" spans="16:16">
      <c r="P49" s="575">
        <f>P47-P48</f>
        <v>41000.000250000041</v>
      </c>
    </row>
  </sheetData>
  <phoneticPr fontId="0" type="noConversion"/>
  <pageMargins left="0.15748031496062992" right="0.15748031496062992" top="0.19685039370078741" bottom="0.15748031496062992" header="0.15748031496062992" footer="0.15748031496062992"/>
  <pageSetup paperSize="9" scale="65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8"/>
  <dimension ref="A1:AB176"/>
  <sheetViews>
    <sheetView zoomScale="80" zoomScaleNormal="80" workbookViewId="0">
      <pane xSplit="1" ySplit="5" topLeftCell="B6" activePane="bottomRight" state="frozen"/>
      <selection pane="topRight" activeCell="B1" sqref="B1"/>
      <selection pane="bottomLeft" activeCell="A6" sqref="A6"/>
      <selection pane="bottomRight"/>
    </sheetView>
  </sheetViews>
  <sheetFormatPr defaultRowHeight="12.75"/>
  <cols>
    <col min="1" max="1" width="56.85546875" customWidth="1"/>
    <col min="2" max="2" width="12.85546875" bestFit="1" customWidth="1"/>
    <col min="3" max="3" width="20.7109375" bestFit="1" customWidth="1"/>
    <col min="4" max="4" width="19.5703125" bestFit="1" customWidth="1"/>
    <col min="5" max="6" width="10.140625" bestFit="1" customWidth="1"/>
    <col min="7" max="10" width="12.85546875" bestFit="1" customWidth="1"/>
    <col min="11" max="11" width="10.85546875" customWidth="1"/>
    <col min="12" max="12" width="10.140625" bestFit="1" customWidth="1"/>
    <col min="13" max="13" width="12.85546875" bestFit="1" customWidth="1"/>
    <col min="14" max="14" width="10.140625" bestFit="1" customWidth="1"/>
    <col min="15" max="15" width="8.7109375" customWidth="1"/>
    <col min="16" max="16" width="12.140625" customWidth="1"/>
    <col min="17" max="17" width="9.140625" customWidth="1"/>
    <col min="18" max="18" width="11.140625" customWidth="1"/>
    <col min="19" max="19" width="9.85546875" customWidth="1"/>
    <col min="20" max="20" width="9" customWidth="1"/>
    <col min="21" max="21" width="11" customWidth="1"/>
    <col min="22" max="22" width="9.140625" customWidth="1"/>
    <col min="23" max="23" width="11.28515625" customWidth="1"/>
    <col min="24" max="24" width="10.28515625" customWidth="1"/>
    <col min="25" max="25" width="9.140625" customWidth="1"/>
    <col min="26" max="26" width="11.140625" customWidth="1"/>
    <col min="27" max="27" width="9.140625" customWidth="1"/>
  </cols>
  <sheetData>
    <row r="1" spans="1:28">
      <c r="A1" s="575">
        <f>+I113-B113</f>
        <v>-1500</v>
      </c>
      <c r="B1" s="575"/>
      <c r="C1" s="575">
        <f>+C113-B113</f>
        <v>0</v>
      </c>
      <c r="D1" s="22">
        <f>+D113-C113</f>
        <v>0</v>
      </c>
      <c r="E1" s="575">
        <f>+E113-D113</f>
        <v>0</v>
      </c>
      <c r="F1" s="575">
        <f>+F113-E113</f>
        <v>0</v>
      </c>
      <c r="G1" s="575"/>
      <c r="H1" s="575"/>
      <c r="I1" s="575"/>
      <c r="K1" s="1582">
        <f>+K113-J113</f>
        <v>2000</v>
      </c>
      <c r="L1" s="1582">
        <f>+L113-K113</f>
        <v>7500</v>
      </c>
      <c r="M1" s="1582">
        <f>+M113-L113</f>
        <v>0</v>
      </c>
      <c r="N1" s="1582">
        <f>+N113-M113</f>
        <v>0</v>
      </c>
      <c r="P1" s="575">
        <f>+N5-M5</f>
        <v>-4693.5784410000006</v>
      </c>
      <c r="Q1" s="575"/>
      <c r="S1" s="575">
        <f>+M4-L4</f>
        <v>-35.213159999999995</v>
      </c>
      <c r="Y1" s="575"/>
    </row>
    <row r="2" spans="1:28" ht="13.5" thickBot="1">
      <c r="A2" s="1525">
        <f>+I118-B118</f>
        <v>5773.43</v>
      </c>
      <c r="B2" s="1519" t="s">
        <v>2927</v>
      </c>
      <c r="C2" s="1525">
        <f>+C118-B118</f>
        <v>0</v>
      </c>
      <c r="D2" s="1525">
        <f>+D118-C118</f>
        <v>-342</v>
      </c>
      <c r="E2" s="1525">
        <f>+E118-D118</f>
        <v>6566.43</v>
      </c>
      <c r="F2" s="1525">
        <f>+F118-E118</f>
        <v>3288</v>
      </c>
      <c r="G2" s="1526"/>
      <c r="H2" s="575">
        <f>+N96-[31]PLT!$O$111</f>
        <v>6939.4357650000011</v>
      </c>
      <c r="I2" s="1518"/>
      <c r="J2" s="1518"/>
      <c r="K2" s="1582">
        <f>+K118-J118</f>
        <v>3499.9999999999927</v>
      </c>
      <c r="L2" s="1582">
        <f>+L118-K118</f>
        <v>9000</v>
      </c>
      <c r="M2" s="1582">
        <f>+M118-L118</f>
        <v>0</v>
      </c>
      <c r="N2" s="1582">
        <f>+N118-M118</f>
        <v>0</v>
      </c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  <c r="AB2" s="575"/>
    </row>
    <row r="3" spans="1:28" ht="15.6" customHeight="1" thickTop="1" thickBot="1">
      <c r="A3" s="1438" t="s">
        <v>1636</v>
      </c>
      <c r="B3" s="743">
        <v>43435</v>
      </c>
      <c r="C3" s="744">
        <v>43466</v>
      </c>
      <c r="D3" s="744">
        <v>43497</v>
      </c>
      <c r="E3" s="744">
        <v>43525</v>
      </c>
      <c r="F3" s="744">
        <v>43556</v>
      </c>
      <c r="G3" s="744">
        <v>43586</v>
      </c>
      <c r="H3" s="744">
        <v>43617</v>
      </c>
      <c r="I3" s="744">
        <v>43647</v>
      </c>
      <c r="J3" s="744">
        <v>43678</v>
      </c>
      <c r="K3" s="744">
        <v>43709</v>
      </c>
      <c r="L3" s="744">
        <v>43739</v>
      </c>
      <c r="M3" s="744">
        <v>43770</v>
      </c>
      <c r="N3" s="744">
        <v>43800</v>
      </c>
      <c r="O3" s="744">
        <v>43466</v>
      </c>
      <c r="P3" s="744">
        <v>43497</v>
      </c>
      <c r="Q3" s="744">
        <v>43525</v>
      </c>
      <c r="R3" s="744">
        <v>43556</v>
      </c>
      <c r="S3" s="744">
        <v>43586</v>
      </c>
      <c r="T3" s="744">
        <v>43617</v>
      </c>
      <c r="U3" s="744">
        <v>43647</v>
      </c>
      <c r="V3" s="744">
        <v>43678</v>
      </c>
      <c r="W3" s="744">
        <v>43709</v>
      </c>
      <c r="X3" s="744">
        <v>43739</v>
      </c>
      <c r="Y3" s="744">
        <v>43770</v>
      </c>
      <c r="Z3" s="744">
        <v>43800</v>
      </c>
    </row>
    <row r="4" spans="1:28" ht="15.6" customHeight="1" thickTop="1" thickBot="1">
      <c r="A4" s="1439" t="s">
        <v>1637</v>
      </c>
      <c r="B4" s="700">
        <v>0.242787</v>
      </c>
      <c r="C4" s="700">
        <v>9.0659530000000004</v>
      </c>
      <c r="D4" s="700">
        <v>6.1171420000000003</v>
      </c>
      <c r="E4" s="700">
        <v>16.942356</v>
      </c>
      <c r="F4" s="700">
        <v>3.4203999999999998E-2</v>
      </c>
      <c r="G4" s="700">
        <v>0.57024300000000006</v>
      </c>
      <c r="H4" s="700">
        <v>27.282422</v>
      </c>
      <c r="I4" s="700">
        <v>21.692056999999998</v>
      </c>
      <c r="J4" s="700">
        <v>25.929518999999999</v>
      </c>
      <c r="K4" s="1422">
        <v>23.415586999999999</v>
      </c>
      <c r="L4" s="1422">
        <v>38.215899999999998</v>
      </c>
      <c r="M4" s="700">
        <v>3.0027400000000002</v>
      </c>
      <c r="N4" s="700">
        <v>7.9864519999999999</v>
      </c>
      <c r="O4" s="682">
        <f t="shared" ref="O4:T4" si="0">+C4-B4</f>
        <v>8.8231660000000005</v>
      </c>
      <c r="P4" s="682">
        <f t="shared" si="0"/>
        <v>-2.9488110000000001</v>
      </c>
      <c r="Q4" s="682">
        <f t="shared" si="0"/>
        <v>10.825213999999999</v>
      </c>
      <c r="R4" s="682">
        <f t="shared" si="0"/>
        <v>-16.908152000000001</v>
      </c>
      <c r="S4" s="682">
        <f t="shared" si="0"/>
        <v>0.53603900000000004</v>
      </c>
      <c r="T4" s="682">
        <f t="shared" si="0"/>
        <v>26.712178999999999</v>
      </c>
      <c r="U4" s="682">
        <f t="shared" ref="U4:Z4" si="1">+I4-H4</f>
        <v>-5.590365000000002</v>
      </c>
      <c r="V4" s="682">
        <f t="shared" si="1"/>
        <v>4.2374620000000007</v>
      </c>
      <c r="W4" s="682">
        <f t="shared" si="1"/>
        <v>-2.5139320000000005</v>
      </c>
      <c r="X4" s="682">
        <f t="shared" si="1"/>
        <v>14.800312999999999</v>
      </c>
      <c r="Y4" s="682">
        <f t="shared" si="1"/>
        <v>-35.213159999999995</v>
      </c>
      <c r="Z4" s="682">
        <f t="shared" si="1"/>
        <v>4.9837119999999997</v>
      </c>
    </row>
    <row r="5" spans="1:28" ht="15.6" customHeight="1" thickBot="1">
      <c r="A5" s="1440" t="s">
        <v>1638</v>
      </c>
      <c r="B5" s="701">
        <v>180.594865</v>
      </c>
      <c r="C5" s="701">
        <v>394.76149400000003</v>
      </c>
      <c r="D5" s="701">
        <v>347.86444499999999</v>
      </c>
      <c r="E5" s="701">
        <v>6748.4293879999996</v>
      </c>
      <c r="F5" s="701">
        <v>7176.2693699999991</v>
      </c>
      <c r="G5" s="701">
        <v>6838.1554759999999</v>
      </c>
      <c r="H5" s="701">
        <v>1285.0841150000001</v>
      </c>
      <c r="I5" s="701">
        <v>800.34093800000005</v>
      </c>
      <c r="J5" s="701">
        <v>425.060317</v>
      </c>
      <c r="K5" s="701">
        <v>3842.1080619999998</v>
      </c>
      <c r="L5" s="701">
        <v>6223.9963920000009</v>
      </c>
      <c r="M5" s="701">
        <v>4874.4950470000003</v>
      </c>
      <c r="N5" s="701">
        <f>[32]PLT!$N$11</f>
        <v>180.916606</v>
      </c>
      <c r="O5" s="1277">
        <f t="shared" ref="O5:O20" si="2">C5-B5</f>
        <v>214.16662900000003</v>
      </c>
      <c r="P5" s="1277">
        <f t="shared" ref="P5:P20" si="3">D5-C5</f>
        <v>-46.897049000000038</v>
      </c>
      <c r="Q5" s="1277">
        <f t="shared" ref="Q5:Q20" si="4">E5-D5</f>
        <v>6400.5649429999994</v>
      </c>
      <c r="R5" s="1277">
        <f t="shared" ref="R5:R15" si="5">F5-E5</f>
        <v>427.83998199999951</v>
      </c>
      <c r="S5" s="1277">
        <f t="shared" ref="S5:S15" si="6">G5-F5</f>
        <v>-338.11389399999916</v>
      </c>
      <c r="T5" s="1277">
        <f t="shared" ref="T5:T15" si="7">H5-G5</f>
        <v>-5553.0713610000003</v>
      </c>
      <c r="U5" s="1277">
        <f t="shared" ref="U5:U15" si="8">I5-H5</f>
        <v>-484.74317700000006</v>
      </c>
      <c r="V5" s="1277">
        <f t="shared" ref="V5:V15" si="9">J5-I5</f>
        <v>-375.28062100000005</v>
      </c>
      <c r="W5" s="1277">
        <f t="shared" ref="W5:Z6" si="10">K5-J5</f>
        <v>3417.0477449999998</v>
      </c>
      <c r="X5" s="1277">
        <f t="shared" si="10"/>
        <v>2381.8883300000011</v>
      </c>
      <c r="Y5" s="1277">
        <f t="shared" si="10"/>
        <v>-1349.5013450000006</v>
      </c>
      <c r="Z5" s="1277">
        <f t="shared" si="10"/>
        <v>-4693.5784410000006</v>
      </c>
      <c r="AA5" s="575"/>
    </row>
    <row r="6" spans="1:28" ht="15.6" customHeight="1" thickBot="1">
      <c r="A6" s="1573" t="s">
        <v>1639</v>
      </c>
      <c r="B6" s="570">
        <f t="shared" ref="B6:N6" si="11">SUM(B7:B17)</f>
        <v>180.594865</v>
      </c>
      <c r="C6" s="570">
        <f>SUM(C7:C17)</f>
        <v>394.76149400000003</v>
      </c>
      <c r="D6" s="570">
        <f>SUM(D7:D17)</f>
        <v>347.86444499999999</v>
      </c>
      <c r="E6" s="570">
        <f>SUM(E7:E17)</f>
        <v>6748.4293879999996</v>
      </c>
      <c r="F6" s="570">
        <f t="shared" si="11"/>
        <v>7176.2693699999991</v>
      </c>
      <c r="G6" s="570">
        <f t="shared" si="11"/>
        <v>6838.7432750000007</v>
      </c>
      <c r="H6" s="570">
        <f t="shared" si="11"/>
        <v>1293.3728630000001</v>
      </c>
      <c r="I6" s="570">
        <f t="shared" si="11"/>
        <v>822.11939700000005</v>
      </c>
      <c r="J6" s="570">
        <f t="shared" si="11"/>
        <v>425.060317</v>
      </c>
      <c r="K6" s="570">
        <f t="shared" si="11"/>
        <v>3842.1080619999998</v>
      </c>
      <c r="L6" s="570">
        <f t="shared" si="11"/>
        <v>0</v>
      </c>
      <c r="M6" s="570">
        <f t="shared" si="11"/>
        <v>0</v>
      </c>
      <c r="N6" s="570">
        <f t="shared" si="11"/>
        <v>0</v>
      </c>
      <c r="O6" s="1277">
        <f t="shared" si="2"/>
        <v>214.16662900000003</v>
      </c>
      <c r="P6" s="1277">
        <f t="shared" si="3"/>
        <v>-46.897049000000038</v>
      </c>
      <c r="Q6" s="1277">
        <f t="shared" si="4"/>
        <v>6400.5649429999994</v>
      </c>
      <c r="R6" s="1277">
        <f t="shared" si="5"/>
        <v>427.83998199999951</v>
      </c>
      <c r="S6" s="1277">
        <f t="shared" si="6"/>
        <v>-337.52609499999835</v>
      </c>
      <c r="T6" s="1277">
        <f t="shared" si="7"/>
        <v>-5545.3704120000002</v>
      </c>
      <c r="U6" s="1277">
        <f t="shared" si="8"/>
        <v>-471.253466</v>
      </c>
      <c r="V6" s="1277">
        <f t="shared" si="9"/>
        <v>-397.05908000000005</v>
      </c>
      <c r="W6" s="1277">
        <f t="shared" si="10"/>
        <v>3417.0477449999998</v>
      </c>
      <c r="X6" s="1277">
        <f t="shared" si="10"/>
        <v>-3842.1080619999998</v>
      </c>
      <c r="Y6" s="1277">
        <f t="shared" si="10"/>
        <v>0</v>
      </c>
      <c r="Z6" s="1277">
        <f t="shared" si="10"/>
        <v>0</v>
      </c>
    </row>
    <row r="7" spans="1:28" ht="15.6" customHeight="1" thickBot="1">
      <c r="A7" s="1574" t="s">
        <v>2951</v>
      </c>
      <c r="B7" s="1572">
        <v>3.2807019999999998</v>
      </c>
      <c r="C7" s="570">
        <v>109.189885</v>
      </c>
      <c r="D7" s="570">
        <v>79.762486999999993</v>
      </c>
      <c r="E7" s="570">
        <v>9.3743639999999999</v>
      </c>
      <c r="F7" s="570">
        <v>43.989733000000001</v>
      </c>
      <c r="G7" s="570">
        <v>38.287436</v>
      </c>
      <c r="H7" s="570">
        <v>34.016164000000003</v>
      </c>
      <c r="I7" s="570">
        <v>177.73701299999999</v>
      </c>
      <c r="J7" s="570">
        <v>6.6156040000000003</v>
      </c>
      <c r="K7" s="1423">
        <v>314.89648699999998</v>
      </c>
      <c r="L7" s="1423"/>
      <c r="M7" s="570"/>
      <c r="N7" s="570"/>
      <c r="O7" s="1277">
        <f t="shared" si="2"/>
        <v>105.909183</v>
      </c>
      <c r="P7" s="1277">
        <f t="shared" si="3"/>
        <v>-29.427398000000011</v>
      </c>
      <c r="Q7" s="1277">
        <f t="shared" si="4"/>
        <v>-70.388122999999993</v>
      </c>
      <c r="R7" s="1277">
        <f t="shared" si="5"/>
        <v>34.615369000000001</v>
      </c>
      <c r="S7" s="1277">
        <f t="shared" si="6"/>
        <v>-5.7022970000000015</v>
      </c>
      <c r="T7" s="1277">
        <f t="shared" si="7"/>
        <v>-4.2712719999999962</v>
      </c>
      <c r="U7" s="1277">
        <f t="shared" si="8"/>
        <v>143.72084899999999</v>
      </c>
      <c r="V7" s="1277">
        <f t="shared" si="9"/>
        <v>-171.121409</v>
      </c>
      <c r="W7" s="1277">
        <f>B7-J7</f>
        <v>-3.3349020000000005</v>
      </c>
      <c r="X7" s="1277">
        <f>C7-B7</f>
        <v>105.909183</v>
      </c>
      <c r="Y7" s="1277">
        <f>D7-C7</f>
        <v>-29.427398000000011</v>
      </c>
      <c r="Z7" s="1277">
        <f>E7-D7</f>
        <v>-70.388122999999993</v>
      </c>
    </row>
    <row r="8" spans="1:28" ht="15.6" customHeight="1" thickBot="1">
      <c r="A8" s="1575" t="s">
        <v>2952</v>
      </c>
      <c r="B8" s="709">
        <v>0.91262600000000005</v>
      </c>
      <c r="C8" s="709">
        <v>0.91262600000000005</v>
      </c>
      <c r="D8" s="709">
        <v>0.91262600000000005</v>
      </c>
      <c r="E8" s="709">
        <v>0.91262600000000005</v>
      </c>
      <c r="F8" s="709">
        <v>0.91262600000000005</v>
      </c>
      <c r="G8" s="709">
        <v>0.91262600000000005</v>
      </c>
      <c r="H8" s="570">
        <v>0.91262600000000005</v>
      </c>
      <c r="I8" s="709">
        <v>0.91262600000000005</v>
      </c>
      <c r="J8" s="709">
        <v>0.91262600000000005</v>
      </c>
      <c r="K8" s="709">
        <v>0.91262600000000005</v>
      </c>
      <c r="L8" s="570"/>
      <c r="M8" s="570"/>
      <c r="N8" s="1490"/>
      <c r="O8" s="1277">
        <f t="shared" si="2"/>
        <v>0</v>
      </c>
      <c r="P8" s="1277">
        <f t="shared" si="3"/>
        <v>0</v>
      </c>
      <c r="Q8" s="1277">
        <f t="shared" si="4"/>
        <v>0</v>
      </c>
      <c r="R8" s="1277">
        <f t="shared" si="5"/>
        <v>0</v>
      </c>
      <c r="S8" s="1277">
        <f t="shared" si="6"/>
        <v>0</v>
      </c>
      <c r="T8" s="1277">
        <f t="shared" si="7"/>
        <v>0</v>
      </c>
      <c r="U8" s="1277">
        <f t="shared" si="8"/>
        <v>0</v>
      </c>
      <c r="V8" s="1277">
        <f t="shared" si="9"/>
        <v>0</v>
      </c>
      <c r="W8" s="1277">
        <f>B8-J8</f>
        <v>0</v>
      </c>
      <c r="X8" s="1277">
        <f>L8-B8</f>
        <v>-0.91262600000000005</v>
      </c>
      <c r="Y8" s="1277">
        <f>M8-C8</f>
        <v>-0.91262600000000005</v>
      </c>
      <c r="Z8" s="1277">
        <f>N8-D8</f>
        <v>-0.91262600000000005</v>
      </c>
      <c r="AB8" s="575"/>
    </row>
    <row r="9" spans="1:28" ht="15.6" customHeight="1" thickBot="1">
      <c r="A9" s="1575" t="s">
        <v>2953</v>
      </c>
      <c r="B9" s="570">
        <v>26.060258999999999</v>
      </c>
      <c r="C9" s="570">
        <v>26.060258999999999</v>
      </c>
      <c r="D9" s="570">
        <v>77.234573999999995</v>
      </c>
      <c r="E9" s="570">
        <v>6577.6192970000002</v>
      </c>
      <c r="F9" s="570">
        <v>7032.7203719999998</v>
      </c>
      <c r="G9" s="570">
        <v>6683.5837250000004</v>
      </c>
      <c r="H9" s="570">
        <v>1145.8742950000001</v>
      </c>
      <c r="I9" s="570">
        <v>128.51772600000001</v>
      </c>
      <c r="J9" s="570">
        <v>344.320177</v>
      </c>
      <c r="K9" s="570">
        <v>3002.542207</v>
      </c>
      <c r="L9" s="570"/>
      <c r="M9" s="570"/>
      <c r="N9" s="570"/>
      <c r="O9" s="1277">
        <f t="shared" si="2"/>
        <v>0</v>
      </c>
      <c r="P9" s="1277">
        <f t="shared" si="3"/>
        <v>51.174314999999993</v>
      </c>
      <c r="Q9" s="1277">
        <f t="shared" si="4"/>
        <v>6500.3847230000001</v>
      </c>
      <c r="R9" s="1277">
        <f t="shared" si="5"/>
        <v>455.10107499999958</v>
      </c>
      <c r="S9" s="1277">
        <f t="shared" si="6"/>
        <v>-349.13664699999936</v>
      </c>
      <c r="T9" s="1277">
        <f t="shared" si="7"/>
        <v>-5537.7094300000008</v>
      </c>
      <c r="U9" s="1277">
        <f t="shared" si="8"/>
        <v>-1017.356569</v>
      </c>
      <c r="V9" s="1277">
        <f t="shared" si="9"/>
        <v>215.80245099999999</v>
      </c>
      <c r="W9" s="1277">
        <f t="shared" ref="W9:Z11" si="12">K9-J9</f>
        <v>2658.2220299999999</v>
      </c>
      <c r="X9" s="1277">
        <f t="shared" si="12"/>
        <v>-3002.542207</v>
      </c>
      <c r="Y9" s="1277">
        <f t="shared" si="12"/>
        <v>0</v>
      </c>
      <c r="Z9" s="1277">
        <f t="shared" si="12"/>
        <v>0</v>
      </c>
    </row>
    <row r="10" spans="1:28" ht="15.6" customHeight="1" thickBot="1">
      <c r="A10" s="1575" t="s">
        <v>2954</v>
      </c>
      <c r="B10" s="570">
        <v>4.8449330000000002</v>
      </c>
      <c r="C10" s="570">
        <v>62.272049000000003</v>
      </c>
      <c r="D10" s="570">
        <v>32.386442000000002</v>
      </c>
      <c r="E10" s="570">
        <v>5.2438719999999996</v>
      </c>
      <c r="F10" s="570">
        <v>35.61741</v>
      </c>
      <c r="G10" s="570">
        <v>22.860589000000001</v>
      </c>
      <c r="H10" s="570">
        <v>46.289982000000002</v>
      </c>
      <c r="I10" s="570">
        <v>56.68947</v>
      </c>
      <c r="J10" s="570">
        <v>12.702973</v>
      </c>
      <c r="K10" s="570">
        <v>428.24780500000003</v>
      </c>
      <c r="L10" s="570"/>
      <c r="M10" s="570"/>
      <c r="N10" s="570"/>
      <c r="O10" s="1277">
        <f t="shared" si="2"/>
        <v>57.427116000000005</v>
      </c>
      <c r="P10" s="1277">
        <f t="shared" si="3"/>
        <v>-29.885607</v>
      </c>
      <c r="Q10" s="1277">
        <f t="shared" si="4"/>
        <v>-27.142570000000003</v>
      </c>
      <c r="R10" s="1277">
        <f t="shared" si="5"/>
        <v>30.373538</v>
      </c>
      <c r="S10" s="1277">
        <f t="shared" si="6"/>
        <v>-12.756820999999999</v>
      </c>
      <c r="T10" s="1277">
        <f t="shared" si="7"/>
        <v>23.429393000000001</v>
      </c>
      <c r="U10" s="1277">
        <f t="shared" si="8"/>
        <v>10.399487999999998</v>
      </c>
      <c r="V10" s="1277">
        <f t="shared" si="9"/>
        <v>-43.986497</v>
      </c>
      <c r="W10" s="1277">
        <f t="shared" si="12"/>
        <v>415.54483200000004</v>
      </c>
      <c r="X10" s="1277">
        <f t="shared" si="12"/>
        <v>-428.24780500000003</v>
      </c>
      <c r="Y10" s="1277">
        <f t="shared" si="12"/>
        <v>0</v>
      </c>
      <c r="Z10" s="1277">
        <f t="shared" si="12"/>
        <v>0</v>
      </c>
    </row>
    <row r="11" spans="1:28" ht="15.6" customHeight="1" thickBot="1">
      <c r="A11" s="1575" t="s">
        <v>2955</v>
      </c>
      <c r="B11" s="570">
        <v>106.05603000000001</v>
      </c>
      <c r="C11" s="570">
        <v>156.88636</v>
      </c>
      <c r="D11" s="570">
        <v>118.128001</v>
      </c>
      <c r="E11" s="570">
        <v>115.838914</v>
      </c>
      <c r="F11" s="570">
        <v>23.588913999999999</v>
      </c>
      <c r="G11" s="570">
        <v>50.735785</v>
      </c>
      <c r="H11" s="570">
        <v>3.8358629999999998</v>
      </c>
      <c r="I11" s="570">
        <v>0.83586300000000002</v>
      </c>
      <c r="J11" s="570">
        <v>0.83586300000000002</v>
      </c>
      <c r="K11" s="570">
        <v>35.835863000000003</v>
      </c>
      <c r="L11" s="570"/>
      <c r="M11" s="570"/>
      <c r="N11" s="570"/>
      <c r="O11" s="1277">
        <f t="shared" si="2"/>
        <v>50.830329999999989</v>
      </c>
      <c r="P11" s="1277">
        <f t="shared" si="3"/>
        <v>-38.758358999999999</v>
      </c>
      <c r="Q11" s="1277">
        <f t="shared" si="4"/>
        <v>-2.289086999999995</v>
      </c>
      <c r="R11" s="1277">
        <f t="shared" si="5"/>
        <v>-92.25</v>
      </c>
      <c r="S11" s="1277">
        <f t="shared" si="6"/>
        <v>27.146871000000001</v>
      </c>
      <c r="T11" s="1277">
        <f t="shared" si="7"/>
        <v>-46.899922000000004</v>
      </c>
      <c r="U11" s="1277">
        <f t="shared" si="8"/>
        <v>-3</v>
      </c>
      <c r="V11" s="1277">
        <f t="shared" si="9"/>
        <v>0</v>
      </c>
      <c r="W11" s="1277">
        <f t="shared" si="12"/>
        <v>35</v>
      </c>
      <c r="X11" s="1277">
        <f t="shared" si="12"/>
        <v>-35.835863000000003</v>
      </c>
      <c r="Y11" s="1277">
        <f t="shared" si="12"/>
        <v>0</v>
      </c>
      <c r="Z11" s="1277">
        <f t="shared" si="12"/>
        <v>0</v>
      </c>
    </row>
    <row r="12" spans="1:28" ht="15.6" customHeight="1" thickBot="1">
      <c r="A12" s="1575" t="s">
        <v>2956</v>
      </c>
      <c r="B12" s="570">
        <v>33.364511999999998</v>
      </c>
      <c r="C12" s="570">
        <v>33.364511999999998</v>
      </c>
      <c r="D12" s="570">
        <v>33.364511999999998</v>
      </c>
      <c r="E12" s="570">
        <v>33.364511999999998</v>
      </c>
      <c r="F12" s="570">
        <v>33.364511999999998</v>
      </c>
      <c r="G12" s="570">
        <v>33.364511999999998</v>
      </c>
      <c r="H12" s="570">
        <v>33.364511999999998</v>
      </c>
      <c r="I12" s="570">
        <v>33.364511999999998</v>
      </c>
      <c r="J12" s="570">
        <v>33.364511999999998</v>
      </c>
      <c r="K12" s="570">
        <v>33.364511999999998</v>
      </c>
      <c r="L12" s="570"/>
      <c r="M12" s="570"/>
      <c r="N12" s="570"/>
      <c r="O12" s="1277">
        <f t="shared" si="2"/>
        <v>0</v>
      </c>
      <c r="P12" s="1277">
        <f t="shared" si="3"/>
        <v>0</v>
      </c>
      <c r="Q12" s="1277">
        <f t="shared" si="4"/>
        <v>0</v>
      </c>
      <c r="R12" s="1277">
        <f t="shared" si="5"/>
        <v>0</v>
      </c>
      <c r="S12" s="1277">
        <f t="shared" si="6"/>
        <v>0</v>
      </c>
      <c r="T12" s="1277">
        <f t="shared" si="7"/>
        <v>0</v>
      </c>
      <c r="U12" s="1277">
        <f t="shared" si="8"/>
        <v>0</v>
      </c>
      <c r="V12" s="1277">
        <f t="shared" si="9"/>
        <v>0</v>
      </c>
      <c r="W12" s="1277"/>
      <c r="X12" s="1277">
        <v>0</v>
      </c>
      <c r="Y12" s="1277">
        <v>1</v>
      </c>
      <c r="Z12" s="1277">
        <v>2</v>
      </c>
    </row>
    <row r="13" spans="1:28" ht="15.6" customHeight="1" thickBot="1">
      <c r="A13" s="1575" t="s">
        <v>2957</v>
      </c>
      <c r="B13" s="690">
        <v>0.320544</v>
      </c>
      <c r="C13" s="1418">
        <v>0.320544</v>
      </c>
      <c r="D13" s="690">
        <v>0.320544</v>
      </c>
      <c r="E13" s="690">
        <v>0.320544</v>
      </c>
      <c r="F13" s="570">
        <v>0.320544</v>
      </c>
      <c r="G13" s="570">
        <v>0.320544</v>
      </c>
      <c r="H13" s="570">
        <v>0.320544</v>
      </c>
      <c r="I13" s="570">
        <v>0.320544</v>
      </c>
      <c r="J13" s="690">
        <v>0.320544</v>
      </c>
      <c r="K13" s="690">
        <v>0.320544</v>
      </c>
      <c r="L13" s="570"/>
      <c r="M13" s="570"/>
      <c r="N13" s="570"/>
      <c r="O13" s="1277">
        <f t="shared" si="2"/>
        <v>0</v>
      </c>
      <c r="P13" s="1277">
        <f t="shared" si="3"/>
        <v>0</v>
      </c>
      <c r="Q13" s="1277">
        <f t="shared" si="4"/>
        <v>0</v>
      </c>
      <c r="R13" s="1277">
        <f t="shared" si="5"/>
        <v>0</v>
      </c>
      <c r="S13" s="1277">
        <f t="shared" si="6"/>
        <v>0</v>
      </c>
      <c r="T13" s="1277">
        <f t="shared" si="7"/>
        <v>0</v>
      </c>
      <c r="U13" s="1277">
        <f t="shared" si="8"/>
        <v>0</v>
      </c>
      <c r="V13" s="1277">
        <f t="shared" si="9"/>
        <v>0</v>
      </c>
      <c r="W13" s="1277">
        <f t="shared" ref="W13:Z16" si="13">K13-J13</f>
        <v>0</v>
      </c>
      <c r="X13" s="1277">
        <f t="shared" si="13"/>
        <v>-0.320544</v>
      </c>
      <c r="Y13" s="1277">
        <f t="shared" si="13"/>
        <v>0</v>
      </c>
      <c r="Z13" s="1277">
        <f t="shared" si="13"/>
        <v>0</v>
      </c>
    </row>
    <row r="14" spans="1:28" ht="15.6" customHeight="1" thickBot="1">
      <c r="A14" s="1575" t="s">
        <v>2958</v>
      </c>
      <c r="B14" s="690">
        <v>5.7552589999999997</v>
      </c>
      <c r="C14" s="690">
        <v>5.7552589999999997</v>
      </c>
      <c r="D14" s="690">
        <v>5.7552589999999997</v>
      </c>
      <c r="E14" s="690">
        <v>5.7552589999999997</v>
      </c>
      <c r="F14" s="570">
        <v>5.7552589999999997</v>
      </c>
      <c r="G14" s="570">
        <v>8.678058</v>
      </c>
      <c r="H14" s="570">
        <v>28.758876999999998</v>
      </c>
      <c r="I14" s="570">
        <v>423.74164300000001</v>
      </c>
      <c r="J14" s="570">
        <v>25.988018</v>
      </c>
      <c r="K14" s="570">
        <v>25.988018</v>
      </c>
      <c r="L14" s="570"/>
      <c r="M14" s="570"/>
      <c r="N14" s="570"/>
      <c r="O14" s="1277">
        <f t="shared" si="2"/>
        <v>0</v>
      </c>
      <c r="P14" s="1277">
        <f t="shared" si="3"/>
        <v>0</v>
      </c>
      <c r="Q14" s="1277">
        <f t="shared" si="4"/>
        <v>0</v>
      </c>
      <c r="R14" s="1277">
        <f t="shared" si="5"/>
        <v>0</v>
      </c>
      <c r="S14" s="1277">
        <f t="shared" si="6"/>
        <v>2.9227990000000004</v>
      </c>
      <c r="T14" s="1277">
        <f t="shared" si="7"/>
        <v>20.080818999999998</v>
      </c>
      <c r="U14" s="1277">
        <f t="shared" si="8"/>
        <v>394.98276600000003</v>
      </c>
      <c r="V14" s="1277">
        <f t="shared" si="9"/>
        <v>-397.753625</v>
      </c>
      <c r="W14" s="1277">
        <f t="shared" si="13"/>
        <v>0</v>
      </c>
      <c r="X14" s="1277">
        <f t="shared" si="13"/>
        <v>-25.988018</v>
      </c>
      <c r="Y14" s="1277">
        <f t="shared" si="13"/>
        <v>0</v>
      </c>
      <c r="Z14" s="1277">
        <f t="shared" si="13"/>
        <v>0</v>
      </c>
    </row>
    <row r="15" spans="1:28" ht="15.6" customHeight="1" thickBot="1">
      <c r="A15" s="856"/>
      <c r="B15" s="690"/>
      <c r="C15" s="690"/>
      <c r="D15" s="690"/>
      <c r="E15" s="690"/>
      <c r="F15" s="570"/>
      <c r="G15" s="570"/>
      <c r="H15" s="570"/>
      <c r="I15" s="570"/>
      <c r="J15" s="690"/>
      <c r="K15" s="690"/>
      <c r="L15" s="570"/>
      <c r="M15" s="690"/>
      <c r="N15" s="1418"/>
      <c r="O15" s="1277">
        <f t="shared" si="2"/>
        <v>0</v>
      </c>
      <c r="P15" s="1277">
        <f t="shared" si="3"/>
        <v>0</v>
      </c>
      <c r="Q15" s="1277">
        <f t="shared" si="4"/>
        <v>0</v>
      </c>
      <c r="R15" s="1277">
        <f t="shared" si="5"/>
        <v>0</v>
      </c>
      <c r="S15" s="1277">
        <f t="shared" si="6"/>
        <v>0</v>
      </c>
      <c r="T15" s="1277">
        <f t="shared" si="7"/>
        <v>0</v>
      </c>
      <c r="U15" s="1277">
        <f t="shared" si="8"/>
        <v>0</v>
      </c>
      <c r="V15" s="1277">
        <f t="shared" si="9"/>
        <v>0</v>
      </c>
      <c r="W15" s="1277">
        <f t="shared" si="13"/>
        <v>0</v>
      </c>
      <c r="X15" s="1277">
        <f t="shared" si="13"/>
        <v>0</v>
      </c>
      <c r="Y15" s="1277">
        <f t="shared" si="13"/>
        <v>0</v>
      </c>
      <c r="Z15" s="1277">
        <f t="shared" si="13"/>
        <v>0</v>
      </c>
    </row>
    <row r="16" spans="1:28" ht="15.6" customHeight="1" thickBot="1">
      <c r="A16" s="856"/>
      <c r="B16" s="690"/>
      <c r="C16" s="690"/>
      <c r="D16" s="690"/>
      <c r="E16" s="690"/>
      <c r="F16" s="690"/>
      <c r="G16" s="570"/>
      <c r="H16" s="570"/>
      <c r="I16" s="570"/>
      <c r="J16" s="570"/>
      <c r="K16" s="690"/>
      <c r="L16" s="570"/>
      <c r="M16" s="690"/>
      <c r="N16" s="570"/>
      <c r="O16" s="1277">
        <f t="shared" si="2"/>
        <v>0</v>
      </c>
      <c r="P16" s="1277">
        <f t="shared" si="3"/>
        <v>0</v>
      </c>
      <c r="Q16" s="1277">
        <f t="shared" si="4"/>
        <v>0</v>
      </c>
      <c r="R16" s="1277">
        <f t="shared" ref="R16:R21" si="14">F16-E16</f>
        <v>0</v>
      </c>
      <c r="S16" s="1277"/>
      <c r="T16" s="1277">
        <f t="shared" ref="T16:V20" si="15">H16-G16</f>
        <v>0</v>
      </c>
      <c r="U16" s="1277">
        <f t="shared" si="15"/>
        <v>0</v>
      </c>
      <c r="V16" s="1277">
        <f t="shared" si="15"/>
        <v>0</v>
      </c>
      <c r="W16" s="1277">
        <f t="shared" si="13"/>
        <v>0</v>
      </c>
      <c r="X16" s="1277">
        <v>0</v>
      </c>
      <c r="Y16" s="1277">
        <v>1</v>
      </c>
      <c r="Z16" s="1277">
        <v>2</v>
      </c>
    </row>
    <row r="17" spans="1:26" ht="15.6" customHeight="1" thickBot="1">
      <c r="A17" s="1424"/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1277">
        <f t="shared" si="2"/>
        <v>0</v>
      </c>
      <c r="P17" s="1277">
        <f t="shared" si="3"/>
        <v>0</v>
      </c>
      <c r="Q17" s="1277">
        <f t="shared" si="4"/>
        <v>0</v>
      </c>
      <c r="R17" s="1277">
        <f t="shared" si="14"/>
        <v>0</v>
      </c>
      <c r="S17" s="1277">
        <f>G17-F17</f>
        <v>0</v>
      </c>
      <c r="T17" s="1277">
        <f t="shared" si="15"/>
        <v>0</v>
      </c>
      <c r="U17" s="1277">
        <f t="shared" si="15"/>
        <v>0</v>
      </c>
      <c r="V17" s="1277">
        <f t="shared" si="15"/>
        <v>0</v>
      </c>
      <c r="W17" s="1277">
        <f t="shared" ref="W17:Z20" si="16">K17-J17</f>
        <v>0</v>
      </c>
      <c r="X17" s="1277">
        <f t="shared" si="16"/>
        <v>0</v>
      </c>
      <c r="Y17" s="1277">
        <f t="shared" si="16"/>
        <v>0</v>
      </c>
      <c r="Z17" s="1277">
        <f t="shared" si="16"/>
        <v>0</v>
      </c>
    </row>
    <row r="18" spans="1:26" ht="15.6" customHeight="1" thickBot="1">
      <c r="A18" s="1440" t="s">
        <v>1641</v>
      </c>
      <c r="B18" s="701">
        <f t="shared" ref="B18:N18" si="17">SUM(B19)</f>
        <v>7833.2575649999999</v>
      </c>
      <c r="C18" s="701">
        <f t="shared" si="17"/>
        <v>2033.085587</v>
      </c>
      <c r="D18" s="704">
        <f t="shared" si="17"/>
        <v>1645.3119710000001</v>
      </c>
      <c r="E18" s="701">
        <f t="shared" si="17"/>
        <v>1003.1503409999999</v>
      </c>
      <c r="F18" s="701">
        <f t="shared" si="17"/>
        <v>471.69273400000003</v>
      </c>
      <c r="G18" s="701">
        <f t="shared" si="17"/>
        <v>1133.8255630000001</v>
      </c>
      <c r="H18" s="701">
        <f t="shared" si="17"/>
        <v>2720.6671180000003</v>
      </c>
      <c r="I18" s="701">
        <f t="shared" si="17"/>
        <v>2175.2644380000002</v>
      </c>
      <c r="J18" s="701">
        <f t="shared" si="17"/>
        <v>855.16724199999999</v>
      </c>
      <c r="K18" s="701">
        <f t="shared" si="17"/>
        <v>596.61619200000007</v>
      </c>
      <c r="L18" s="701">
        <f t="shared" si="17"/>
        <v>574.44557999999995</v>
      </c>
      <c r="M18" s="701">
        <f t="shared" si="17"/>
        <v>540.49296700000002</v>
      </c>
      <c r="N18" s="701">
        <f t="shared" si="17"/>
        <v>5171.9350129999984</v>
      </c>
      <c r="O18" s="1277">
        <f t="shared" si="2"/>
        <v>-5800.1719780000003</v>
      </c>
      <c r="P18" s="1277">
        <f t="shared" si="3"/>
        <v>-387.77361599999995</v>
      </c>
      <c r="Q18" s="1277">
        <f t="shared" si="4"/>
        <v>-642.16163000000017</v>
      </c>
      <c r="R18" s="1277">
        <f t="shared" si="14"/>
        <v>-531.45760699999983</v>
      </c>
      <c r="S18" s="1277">
        <f>G18-F18</f>
        <v>662.13282900000013</v>
      </c>
      <c r="T18" s="1277">
        <f t="shared" si="15"/>
        <v>1586.8415550000002</v>
      </c>
      <c r="U18" s="1277">
        <f t="shared" si="15"/>
        <v>-545.40268000000015</v>
      </c>
      <c r="V18" s="1277">
        <f t="shared" si="15"/>
        <v>-1320.0971960000002</v>
      </c>
      <c r="W18" s="1277">
        <f t="shared" si="16"/>
        <v>-258.55104999999992</v>
      </c>
      <c r="X18" s="1277">
        <f t="shared" si="16"/>
        <v>-22.170612000000119</v>
      </c>
      <c r="Y18" s="1277">
        <f t="shared" si="16"/>
        <v>-33.952612999999928</v>
      </c>
      <c r="Z18" s="1277">
        <f t="shared" si="16"/>
        <v>4631.4420459999983</v>
      </c>
    </row>
    <row r="19" spans="1:26" ht="15.6" customHeight="1" thickBot="1">
      <c r="A19" s="1399" t="s">
        <v>1639</v>
      </c>
      <c r="B19" s="1398">
        <v>7833.2575649999999</v>
      </c>
      <c r="C19" s="1398">
        <v>2033.085587</v>
      </c>
      <c r="D19" s="1398">
        <v>1645.3119710000001</v>
      </c>
      <c r="E19" s="1398">
        <v>1003.1503409999999</v>
      </c>
      <c r="F19" s="1398">
        <v>471.69273400000003</v>
      </c>
      <c r="G19" s="1398">
        <v>1133.8255630000001</v>
      </c>
      <c r="H19" s="1398">
        <v>2720.6671180000003</v>
      </c>
      <c r="I19" s="1398">
        <v>2175.2644380000002</v>
      </c>
      <c r="J19" s="1398">
        <v>855.16724199999999</v>
      </c>
      <c r="K19" s="1398">
        <v>596.61619200000007</v>
      </c>
      <c r="L19" s="1398">
        <v>574.44557999999995</v>
      </c>
      <c r="M19" s="1398">
        <f>+[33]PLT!$N$20</f>
        <v>540.49296700000002</v>
      </c>
      <c r="N19" s="2001">
        <f>+[33]PLT!$O$20</f>
        <v>5171.9350129999984</v>
      </c>
      <c r="O19" s="1277">
        <f t="shared" si="2"/>
        <v>-5800.1719780000003</v>
      </c>
      <c r="P19" s="1277">
        <f t="shared" si="3"/>
        <v>-387.77361599999995</v>
      </c>
      <c r="Q19" s="1277">
        <f t="shared" si="4"/>
        <v>-642.16163000000017</v>
      </c>
      <c r="R19" s="1277">
        <f t="shared" si="14"/>
        <v>-531.45760699999983</v>
      </c>
      <c r="S19" s="1277">
        <f>G19-F19</f>
        <v>662.13282900000013</v>
      </c>
      <c r="T19" s="1277">
        <f t="shared" si="15"/>
        <v>1586.8415550000002</v>
      </c>
      <c r="U19" s="1277">
        <f t="shared" si="15"/>
        <v>-545.40268000000015</v>
      </c>
      <c r="V19" s="1277">
        <f t="shared" si="15"/>
        <v>-1320.0971960000002</v>
      </c>
      <c r="W19" s="1277">
        <f t="shared" si="16"/>
        <v>-258.55104999999992</v>
      </c>
      <c r="X19" s="1277">
        <f t="shared" si="16"/>
        <v>-22.170612000000119</v>
      </c>
      <c r="Y19" s="1277">
        <f t="shared" si="16"/>
        <v>-33.952612999999928</v>
      </c>
      <c r="Z19" s="1277">
        <f t="shared" si="16"/>
        <v>4631.4420459999983</v>
      </c>
    </row>
    <row r="20" spans="1:26" ht="15.6" customHeight="1" thickBot="1">
      <c r="A20" s="1485" t="s">
        <v>1080</v>
      </c>
      <c r="B20" s="1400">
        <v>190.85649299999997</v>
      </c>
      <c r="C20" s="1400">
        <v>422.133893</v>
      </c>
      <c r="D20" s="1400">
        <v>123.328913</v>
      </c>
      <c r="E20" s="1400">
        <v>347.69131099999998</v>
      </c>
      <c r="F20" s="1400">
        <v>329.18115800000004</v>
      </c>
      <c r="G20" s="1400">
        <v>847.45300700000007</v>
      </c>
      <c r="H20" s="1400">
        <v>951.80318499999998</v>
      </c>
      <c r="I20" s="1400">
        <v>1354.945976</v>
      </c>
      <c r="J20" s="1400">
        <v>695.995766</v>
      </c>
      <c r="K20" s="1400">
        <v>58.904417000000002</v>
      </c>
      <c r="L20" s="1400">
        <v>275.47486699999996</v>
      </c>
      <c r="M20" s="1400">
        <v>224.72456099999999</v>
      </c>
      <c r="N20" s="1400">
        <v>186.01790800000001</v>
      </c>
      <c r="O20" s="1277">
        <f t="shared" si="2"/>
        <v>231.27740000000003</v>
      </c>
      <c r="P20" s="1277">
        <f t="shared" si="3"/>
        <v>-298.80498</v>
      </c>
      <c r="Q20" s="1277">
        <f t="shared" si="4"/>
        <v>224.36239799999998</v>
      </c>
      <c r="R20" s="1277">
        <f t="shared" si="14"/>
        <v>-18.510152999999946</v>
      </c>
      <c r="S20" s="1277">
        <f>G20-F20</f>
        <v>518.27184899999997</v>
      </c>
      <c r="T20" s="1277">
        <f t="shared" si="15"/>
        <v>104.35017799999991</v>
      </c>
      <c r="U20" s="1277">
        <f t="shared" si="15"/>
        <v>403.14279099999999</v>
      </c>
      <c r="V20" s="1277">
        <f t="shared" si="15"/>
        <v>-658.95020999999997</v>
      </c>
      <c r="W20" s="1277">
        <f t="shared" si="16"/>
        <v>-637.09134900000004</v>
      </c>
      <c r="X20" s="1277">
        <f t="shared" si="16"/>
        <v>216.57044999999997</v>
      </c>
      <c r="Y20" s="1277">
        <f t="shared" si="16"/>
        <v>-50.750305999999966</v>
      </c>
      <c r="Z20" s="1277">
        <f t="shared" si="16"/>
        <v>-38.706652999999989</v>
      </c>
    </row>
    <row r="21" spans="1:26" s="1519" customFormat="1" ht="15.6" customHeight="1" thickBot="1">
      <c r="A21" s="1546" t="s">
        <v>2945</v>
      </c>
      <c r="B21" s="709">
        <v>190.85649299999997</v>
      </c>
      <c r="C21" s="709">
        <v>422.133893</v>
      </c>
      <c r="D21" s="1423">
        <v>123.328913</v>
      </c>
      <c r="E21" s="1423">
        <v>347.69131099999998</v>
      </c>
      <c r="F21" s="1423">
        <v>329.18115800000004</v>
      </c>
      <c r="G21" s="1423">
        <v>847.45300700000007</v>
      </c>
      <c r="H21" s="1423">
        <v>951.80318499999998</v>
      </c>
      <c r="I21" s="1423">
        <v>1354.945976</v>
      </c>
      <c r="J21" s="1423">
        <v>695.995766</v>
      </c>
      <c r="K21" s="1423">
        <v>58.904417000000002</v>
      </c>
      <c r="L21" s="1423"/>
      <c r="M21" s="1423"/>
      <c r="N21" s="1423"/>
      <c r="O21" s="1277">
        <f>C21-B21</f>
        <v>231.27740000000003</v>
      </c>
      <c r="P21" s="1277">
        <f>D21-C21</f>
        <v>-298.80498</v>
      </c>
      <c r="Q21" s="1277">
        <f>E21-D21</f>
        <v>224.36239799999998</v>
      </c>
      <c r="R21" s="1277">
        <f t="shared" si="14"/>
        <v>-18.510152999999946</v>
      </c>
      <c r="S21" s="1277">
        <f>G21-F21</f>
        <v>518.27184899999997</v>
      </c>
      <c r="T21" s="1277">
        <f t="shared" ref="T21:Z21" si="18">H21-G21</f>
        <v>104.35017799999991</v>
      </c>
      <c r="U21" s="1277">
        <f t="shared" si="18"/>
        <v>403.14279099999999</v>
      </c>
      <c r="V21" s="1277">
        <f t="shared" si="18"/>
        <v>-658.95020999999997</v>
      </c>
      <c r="W21" s="1277">
        <f t="shared" si="18"/>
        <v>-637.09134900000004</v>
      </c>
      <c r="X21" s="1277">
        <f t="shared" si="18"/>
        <v>-58.904417000000002</v>
      </c>
      <c r="Y21" s="1277">
        <f t="shared" si="18"/>
        <v>0</v>
      </c>
      <c r="Z21" s="1277">
        <f t="shared" si="18"/>
        <v>0</v>
      </c>
    </row>
    <row r="22" spans="1:26" ht="15.6" customHeight="1" thickBot="1">
      <c r="A22" s="1486" t="s">
        <v>2797</v>
      </c>
      <c r="B22" s="1418"/>
      <c r="C22" s="1418"/>
      <c r="D22" s="1418"/>
      <c r="E22" s="570"/>
      <c r="F22" s="570"/>
      <c r="G22" s="570"/>
      <c r="H22" s="570"/>
      <c r="I22" s="691"/>
      <c r="J22" s="691"/>
      <c r="K22" s="570"/>
      <c r="L22" s="570"/>
      <c r="M22" s="570"/>
      <c r="N22" s="570"/>
      <c r="O22" s="1277">
        <f t="shared" ref="O22:O38" si="19">C22-B22</f>
        <v>0</v>
      </c>
      <c r="P22" s="1277">
        <f t="shared" ref="P22:P38" si="20">D22-C22</f>
        <v>0</v>
      </c>
      <c r="Q22" s="1277">
        <f t="shared" ref="Q22:Q38" si="21">E22-D22</f>
        <v>0</v>
      </c>
      <c r="R22" s="1277">
        <f t="shared" ref="R22:R38" si="22">F22-E22</f>
        <v>0</v>
      </c>
      <c r="S22" s="1277">
        <f t="shared" ref="S22:S38" si="23">G22-F22</f>
        <v>0</v>
      </c>
      <c r="T22" s="1277">
        <f t="shared" ref="T22:T38" si="24">H22-G22</f>
        <v>0</v>
      </c>
      <c r="U22" s="1277">
        <f t="shared" ref="U22:U38" si="25">I22-H22</f>
        <v>0</v>
      </c>
      <c r="V22" s="1277">
        <f t="shared" ref="V22:V38" si="26">J22-I22</f>
        <v>0</v>
      </c>
      <c r="W22" s="1277">
        <f t="shared" ref="W22:W38" si="27">K22-J22</f>
        <v>0</v>
      </c>
      <c r="X22" s="1277">
        <f t="shared" ref="X22:Z38" si="28">L22-K22</f>
        <v>0</v>
      </c>
      <c r="Y22" s="1277">
        <f t="shared" si="28"/>
        <v>0</v>
      </c>
      <c r="Z22" s="1277">
        <f t="shared" si="28"/>
        <v>0</v>
      </c>
    </row>
    <row r="23" spans="1:26" ht="15.6" customHeight="1" thickBot="1">
      <c r="A23" s="1532" t="s">
        <v>2920</v>
      </c>
      <c r="B23" s="570"/>
      <c r="C23" s="570"/>
      <c r="D23" s="570"/>
      <c r="E23" s="570"/>
      <c r="F23" s="570"/>
      <c r="G23" s="570"/>
      <c r="H23" s="570"/>
      <c r="I23" s="691"/>
      <c r="J23" s="570"/>
      <c r="K23" s="570"/>
      <c r="L23" s="570"/>
      <c r="M23" s="570"/>
      <c r="N23" s="570"/>
      <c r="O23" s="1277">
        <f t="shared" si="19"/>
        <v>0</v>
      </c>
      <c r="P23" s="1277">
        <f t="shared" si="20"/>
        <v>0</v>
      </c>
      <c r="Q23" s="1277">
        <f t="shared" si="21"/>
        <v>0</v>
      </c>
      <c r="R23" s="1277">
        <f t="shared" si="22"/>
        <v>0</v>
      </c>
      <c r="S23" s="1277">
        <f t="shared" si="23"/>
        <v>0</v>
      </c>
      <c r="T23" s="1277">
        <f t="shared" si="24"/>
        <v>0</v>
      </c>
      <c r="U23" s="1277">
        <f t="shared" si="25"/>
        <v>0</v>
      </c>
      <c r="V23" s="1277">
        <f t="shared" si="26"/>
        <v>0</v>
      </c>
      <c r="W23" s="1277">
        <f t="shared" si="27"/>
        <v>0</v>
      </c>
      <c r="X23" s="1277">
        <f t="shared" si="28"/>
        <v>0</v>
      </c>
      <c r="Y23" s="1277">
        <f t="shared" si="28"/>
        <v>0</v>
      </c>
      <c r="Z23" s="1277">
        <f t="shared" si="28"/>
        <v>0</v>
      </c>
    </row>
    <row r="24" spans="1:26" ht="15.6" customHeight="1" thickBot="1">
      <c r="A24" s="1486" t="s">
        <v>2798</v>
      </c>
      <c r="B24" s="570"/>
      <c r="C24" s="570"/>
      <c r="D24" s="570"/>
      <c r="E24" s="570"/>
      <c r="F24" s="570"/>
      <c r="G24" s="570"/>
      <c r="H24" s="570"/>
      <c r="I24" s="691"/>
      <c r="J24" s="691"/>
      <c r="K24" s="570"/>
      <c r="L24" s="570"/>
      <c r="M24" s="570"/>
      <c r="N24" s="570"/>
      <c r="O24" s="1277">
        <f t="shared" si="19"/>
        <v>0</v>
      </c>
      <c r="P24" s="1277">
        <f t="shared" si="20"/>
        <v>0</v>
      </c>
      <c r="Q24" s="1277">
        <f t="shared" si="21"/>
        <v>0</v>
      </c>
      <c r="R24" s="1277">
        <f t="shared" si="22"/>
        <v>0</v>
      </c>
      <c r="S24" s="1277">
        <f t="shared" si="23"/>
        <v>0</v>
      </c>
      <c r="T24" s="1277">
        <f t="shared" si="24"/>
        <v>0</v>
      </c>
      <c r="U24" s="1277">
        <f t="shared" si="25"/>
        <v>0</v>
      </c>
      <c r="V24" s="1277">
        <f t="shared" si="26"/>
        <v>0</v>
      </c>
      <c r="W24" s="1277">
        <f t="shared" si="27"/>
        <v>0</v>
      </c>
      <c r="X24" s="1277">
        <f t="shared" si="28"/>
        <v>0</v>
      </c>
      <c r="Y24" s="1277">
        <f t="shared" si="28"/>
        <v>0</v>
      </c>
      <c r="Z24" s="1277">
        <f t="shared" si="28"/>
        <v>0</v>
      </c>
    </row>
    <row r="25" spans="1:26" ht="15.6" customHeight="1" thickBot="1">
      <c r="A25" s="1486" t="s">
        <v>2799</v>
      </c>
      <c r="B25" s="570"/>
      <c r="C25" s="570"/>
      <c r="D25" s="570"/>
      <c r="E25" s="570"/>
      <c r="F25" s="570"/>
      <c r="G25" s="570"/>
      <c r="H25" s="570"/>
      <c r="I25" s="691"/>
      <c r="J25" s="691"/>
      <c r="K25" s="570"/>
      <c r="L25" s="570"/>
      <c r="M25" s="570"/>
      <c r="N25" s="570"/>
      <c r="O25" s="1277">
        <f t="shared" si="19"/>
        <v>0</v>
      </c>
      <c r="P25" s="1277">
        <f t="shared" si="20"/>
        <v>0</v>
      </c>
      <c r="Q25" s="1277">
        <f t="shared" si="21"/>
        <v>0</v>
      </c>
      <c r="R25" s="1277">
        <f t="shared" si="22"/>
        <v>0</v>
      </c>
      <c r="S25" s="1277">
        <f t="shared" si="23"/>
        <v>0</v>
      </c>
      <c r="T25" s="1277">
        <f t="shared" si="24"/>
        <v>0</v>
      </c>
      <c r="U25" s="1277">
        <f t="shared" si="25"/>
        <v>0</v>
      </c>
      <c r="V25" s="1277">
        <f t="shared" si="26"/>
        <v>0</v>
      </c>
      <c r="W25" s="1277">
        <f t="shared" si="27"/>
        <v>0</v>
      </c>
      <c r="X25" s="1277">
        <f t="shared" si="28"/>
        <v>0</v>
      </c>
      <c r="Y25" s="1277">
        <f t="shared" si="28"/>
        <v>0</v>
      </c>
      <c r="Z25" s="1277">
        <f t="shared" si="28"/>
        <v>0</v>
      </c>
    </row>
    <row r="26" spans="1:26" ht="15.6" customHeight="1" thickBot="1">
      <c r="A26" s="1486" t="s">
        <v>2800</v>
      </c>
      <c r="B26" s="570"/>
      <c r="C26" s="570"/>
      <c r="D26" s="570"/>
      <c r="E26" s="570"/>
      <c r="F26" s="570"/>
      <c r="G26" s="570"/>
      <c r="H26" s="570"/>
      <c r="I26" s="691"/>
      <c r="J26" s="691"/>
      <c r="K26" s="570"/>
      <c r="L26" s="570"/>
      <c r="M26" s="570"/>
      <c r="N26" s="570"/>
      <c r="O26" s="1277">
        <f t="shared" si="19"/>
        <v>0</v>
      </c>
      <c r="P26" s="1277">
        <f t="shared" si="20"/>
        <v>0</v>
      </c>
      <c r="Q26" s="1277">
        <f t="shared" si="21"/>
        <v>0</v>
      </c>
      <c r="R26" s="1277">
        <f t="shared" si="22"/>
        <v>0</v>
      </c>
      <c r="S26" s="1277">
        <f t="shared" si="23"/>
        <v>0</v>
      </c>
      <c r="T26" s="1277">
        <f t="shared" si="24"/>
        <v>0</v>
      </c>
      <c r="U26" s="1277">
        <f t="shared" si="25"/>
        <v>0</v>
      </c>
      <c r="V26" s="1277">
        <f t="shared" si="26"/>
        <v>0</v>
      </c>
      <c r="W26" s="1277">
        <f t="shared" si="27"/>
        <v>0</v>
      </c>
      <c r="X26" s="1277">
        <f t="shared" si="28"/>
        <v>0</v>
      </c>
      <c r="Y26" s="1277">
        <f t="shared" si="28"/>
        <v>0</v>
      </c>
      <c r="Z26" s="1277">
        <f t="shared" si="28"/>
        <v>0</v>
      </c>
    </row>
    <row r="27" spans="1:26" ht="15.6" customHeight="1" thickBot="1">
      <c r="A27" s="1486" t="s">
        <v>2801</v>
      </c>
      <c r="B27" s="570"/>
      <c r="C27" s="570"/>
      <c r="D27" s="570"/>
      <c r="E27" s="570"/>
      <c r="F27" s="570"/>
      <c r="G27" s="570"/>
      <c r="H27" s="570"/>
      <c r="I27" s="691"/>
      <c r="J27" s="691"/>
      <c r="K27" s="1490"/>
      <c r="L27" s="570"/>
      <c r="M27" s="570"/>
      <c r="N27" s="570"/>
      <c r="O27" s="1277">
        <f t="shared" si="19"/>
        <v>0</v>
      </c>
      <c r="P27" s="1277">
        <f t="shared" si="20"/>
        <v>0</v>
      </c>
      <c r="Q27" s="1277">
        <f t="shared" si="21"/>
        <v>0</v>
      </c>
      <c r="R27" s="1277">
        <f t="shared" si="22"/>
        <v>0</v>
      </c>
      <c r="S27" s="1277">
        <f t="shared" si="23"/>
        <v>0</v>
      </c>
      <c r="T27" s="1277">
        <f t="shared" si="24"/>
        <v>0</v>
      </c>
      <c r="U27" s="1277">
        <f t="shared" si="25"/>
        <v>0</v>
      </c>
      <c r="V27" s="1277">
        <f t="shared" si="26"/>
        <v>0</v>
      </c>
      <c r="W27" s="1277">
        <f t="shared" si="27"/>
        <v>0</v>
      </c>
      <c r="X27" s="1277">
        <f t="shared" si="28"/>
        <v>0</v>
      </c>
      <c r="Y27" s="1277">
        <f t="shared" si="28"/>
        <v>0</v>
      </c>
      <c r="Z27" s="1277">
        <f t="shared" si="28"/>
        <v>0</v>
      </c>
    </row>
    <row r="28" spans="1:26" ht="15.6" customHeight="1" thickBot="1">
      <c r="A28" s="1486" t="s">
        <v>2802</v>
      </c>
      <c r="B28" s="570"/>
      <c r="C28" s="570"/>
      <c r="D28" s="570"/>
      <c r="E28" s="570"/>
      <c r="F28" s="570"/>
      <c r="G28" s="570"/>
      <c r="H28" s="570"/>
      <c r="I28" s="691"/>
      <c r="J28" s="691"/>
      <c r="K28" s="570"/>
      <c r="L28" s="570"/>
      <c r="M28" s="570"/>
      <c r="N28" s="570"/>
      <c r="O28" s="1277">
        <f t="shared" si="19"/>
        <v>0</v>
      </c>
      <c r="P28" s="1277">
        <f t="shared" si="20"/>
        <v>0</v>
      </c>
      <c r="Q28" s="1277">
        <f t="shared" si="21"/>
        <v>0</v>
      </c>
      <c r="R28" s="1277">
        <f t="shared" si="22"/>
        <v>0</v>
      </c>
      <c r="S28" s="1277">
        <f t="shared" si="23"/>
        <v>0</v>
      </c>
      <c r="T28" s="1277">
        <f t="shared" si="24"/>
        <v>0</v>
      </c>
      <c r="U28" s="1277">
        <f t="shared" si="25"/>
        <v>0</v>
      </c>
      <c r="V28" s="1277">
        <f t="shared" si="26"/>
        <v>0</v>
      </c>
      <c r="W28" s="1277">
        <f t="shared" si="27"/>
        <v>0</v>
      </c>
      <c r="X28" s="1277">
        <f t="shared" si="28"/>
        <v>0</v>
      </c>
      <c r="Y28" s="1277">
        <f t="shared" si="28"/>
        <v>0</v>
      </c>
      <c r="Z28" s="1277">
        <f t="shared" si="28"/>
        <v>0</v>
      </c>
    </row>
    <row r="29" spans="1:26" ht="15.6" customHeight="1" thickBot="1">
      <c r="A29" s="1486" t="s">
        <v>2803</v>
      </c>
      <c r="B29" s="570"/>
      <c r="C29" s="570"/>
      <c r="D29" s="570"/>
      <c r="E29" s="570"/>
      <c r="F29" s="570"/>
      <c r="G29" s="570"/>
      <c r="H29" s="570"/>
      <c r="I29" s="691"/>
      <c r="J29" s="691"/>
      <c r="K29" s="570"/>
      <c r="L29" s="570"/>
      <c r="M29" s="570"/>
      <c r="N29" s="570"/>
      <c r="O29" s="1277">
        <f t="shared" si="19"/>
        <v>0</v>
      </c>
      <c r="P29" s="1277">
        <f t="shared" si="20"/>
        <v>0</v>
      </c>
      <c r="Q29" s="1277">
        <f t="shared" si="21"/>
        <v>0</v>
      </c>
      <c r="R29" s="1277">
        <f t="shared" si="22"/>
        <v>0</v>
      </c>
      <c r="S29" s="1277">
        <f t="shared" si="23"/>
        <v>0</v>
      </c>
      <c r="T29" s="1277">
        <f t="shared" si="24"/>
        <v>0</v>
      </c>
      <c r="U29" s="1277">
        <f t="shared" si="25"/>
        <v>0</v>
      </c>
      <c r="V29" s="1277">
        <f t="shared" si="26"/>
        <v>0</v>
      </c>
      <c r="W29" s="1277">
        <f t="shared" si="27"/>
        <v>0</v>
      </c>
      <c r="X29" s="1277">
        <f t="shared" si="28"/>
        <v>0</v>
      </c>
      <c r="Y29" s="1277">
        <f t="shared" si="28"/>
        <v>0</v>
      </c>
      <c r="Z29" s="1277">
        <f t="shared" si="28"/>
        <v>0</v>
      </c>
    </row>
    <row r="30" spans="1:26" ht="15.6" customHeight="1" thickBot="1">
      <c r="A30" s="1486" t="s">
        <v>2804</v>
      </c>
      <c r="B30" s="570"/>
      <c r="C30" s="570"/>
      <c r="D30" s="570"/>
      <c r="E30" s="570"/>
      <c r="F30" s="570"/>
      <c r="G30" s="570"/>
      <c r="H30" s="570"/>
      <c r="I30" s="691"/>
      <c r="J30" s="691"/>
      <c r="K30" s="570"/>
      <c r="L30" s="570"/>
      <c r="M30" s="570"/>
      <c r="N30" s="570"/>
      <c r="O30" s="1277">
        <f t="shared" si="19"/>
        <v>0</v>
      </c>
      <c r="P30" s="1277">
        <f t="shared" si="20"/>
        <v>0</v>
      </c>
      <c r="Q30" s="1277">
        <f t="shared" si="21"/>
        <v>0</v>
      </c>
      <c r="R30" s="1277">
        <f t="shared" si="22"/>
        <v>0</v>
      </c>
      <c r="S30" s="1277">
        <f t="shared" si="23"/>
        <v>0</v>
      </c>
      <c r="T30" s="1277">
        <f t="shared" si="24"/>
        <v>0</v>
      </c>
      <c r="U30" s="1277">
        <f t="shared" si="25"/>
        <v>0</v>
      </c>
      <c r="V30" s="1277">
        <f t="shared" si="26"/>
        <v>0</v>
      </c>
      <c r="W30" s="1277">
        <f t="shared" si="27"/>
        <v>0</v>
      </c>
      <c r="X30" s="1277">
        <f t="shared" si="28"/>
        <v>0</v>
      </c>
      <c r="Y30" s="1277">
        <f t="shared" si="28"/>
        <v>0</v>
      </c>
      <c r="Z30" s="1277">
        <f t="shared" si="28"/>
        <v>0</v>
      </c>
    </row>
    <row r="31" spans="1:26" ht="15.6" customHeight="1" thickBot="1">
      <c r="A31" s="1486" t="s">
        <v>2805</v>
      </c>
      <c r="B31" s="570"/>
      <c r="C31" s="570"/>
      <c r="D31" s="570"/>
      <c r="E31" s="570"/>
      <c r="F31" s="570"/>
      <c r="G31" s="570"/>
      <c r="H31" s="570"/>
      <c r="I31" s="691"/>
      <c r="J31" s="691"/>
      <c r="K31" s="570"/>
      <c r="L31" s="570"/>
      <c r="M31" s="570"/>
      <c r="N31" s="570"/>
      <c r="O31" s="1277">
        <f t="shared" si="19"/>
        <v>0</v>
      </c>
      <c r="P31" s="1277">
        <f t="shared" si="20"/>
        <v>0</v>
      </c>
      <c r="Q31" s="1277">
        <f t="shared" si="21"/>
        <v>0</v>
      </c>
      <c r="R31" s="1277">
        <f t="shared" si="22"/>
        <v>0</v>
      </c>
      <c r="S31" s="1277">
        <f t="shared" si="23"/>
        <v>0</v>
      </c>
      <c r="T31" s="1277">
        <f t="shared" si="24"/>
        <v>0</v>
      </c>
      <c r="U31" s="1277">
        <f t="shared" si="25"/>
        <v>0</v>
      </c>
      <c r="V31" s="1277">
        <f t="shared" si="26"/>
        <v>0</v>
      </c>
      <c r="W31" s="1277">
        <f t="shared" si="27"/>
        <v>0</v>
      </c>
      <c r="X31" s="1277">
        <f t="shared" si="28"/>
        <v>0</v>
      </c>
      <c r="Y31" s="1277">
        <f t="shared" si="28"/>
        <v>0</v>
      </c>
      <c r="Z31" s="1277">
        <f t="shared" si="28"/>
        <v>0</v>
      </c>
    </row>
    <row r="32" spans="1:26" ht="15.6" customHeight="1" thickBot="1">
      <c r="A32" s="1486" t="s">
        <v>2806</v>
      </c>
      <c r="B32" s="570"/>
      <c r="C32" s="570"/>
      <c r="D32" s="570"/>
      <c r="E32" s="570"/>
      <c r="F32" s="570"/>
      <c r="G32" s="570"/>
      <c r="H32" s="570"/>
      <c r="I32" s="691"/>
      <c r="J32" s="691"/>
      <c r="K32" s="570"/>
      <c r="L32" s="570"/>
      <c r="M32" s="570"/>
      <c r="N32" s="570"/>
      <c r="O32" s="1277">
        <f t="shared" si="19"/>
        <v>0</v>
      </c>
      <c r="P32" s="1277">
        <f t="shared" si="20"/>
        <v>0</v>
      </c>
      <c r="Q32" s="1277">
        <f t="shared" si="21"/>
        <v>0</v>
      </c>
      <c r="R32" s="1277">
        <f t="shared" si="22"/>
        <v>0</v>
      </c>
      <c r="S32" s="1277">
        <f t="shared" si="23"/>
        <v>0</v>
      </c>
      <c r="T32" s="1277">
        <f t="shared" si="24"/>
        <v>0</v>
      </c>
      <c r="U32" s="1277">
        <f t="shared" si="25"/>
        <v>0</v>
      </c>
      <c r="V32" s="1277">
        <f t="shared" si="26"/>
        <v>0</v>
      </c>
      <c r="W32" s="1277">
        <f t="shared" si="27"/>
        <v>0</v>
      </c>
      <c r="X32" s="1277">
        <f t="shared" si="28"/>
        <v>0</v>
      </c>
      <c r="Y32" s="1277">
        <f t="shared" si="28"/>
        <v>0</v>
      </c>
      <c r="Z32" s="1277">
        <f t="shared" si="28"/>
        <v>0</v>
      </c>
    </row>
    <row r="33" spans="1:26" ht="15.6" customHeight="1" thickBot="1">
      <c r="A33" s="1487" t="s">
        <v>2902</v>
      </c>
      <c r="B33" s="570"/>
      <c r="C33" s="570"/>
      <c r="D33" s="570"/>
      <c r="E33" s="570"/>
      <c r="F33" s="570"/>
      <c r="G33" s="570"/>
      <c r="H33" s="570"/>
      <c r="I33" s="691"/>
      <c r="J33" s="691"/>
      <c r="K33" s="570"/>
      <c r="L33" s="570"/>
      <c r="M33" s="570"/>
      <c r="N33" s="570"/>
      <c r="O33" s="1277">
        <f t="shared" si="19"/>
        <v>0</v>
      </c>
      <c r="P33" s="1277">
        <f t="shared" si="20"/>
        <v>0</v>
      </c>
      <c r="Q33" s="1277">
        <f t="shared" si="21"/>
        <v>0</v>
      </c>
      <c r="R33" s="1277">
        <f t="shared" si="22"/>
        <v>0</v>
      </c>
      <c r="S33" s="1277">
        <f t="shared" si="23"/>
        <v>0</v>
      </c>
      <c r="T33" s="1277">
        <f t="shared" si="24"/>
        <v>0</v>
      </c>
      <c r="U33" s="1277">
        <f t="shared" si="25"/>
        <v>0</v>
      </c>
      <c r="V33" s="1277">
        <f t="shared" si="26"/>
        <v>0</v>
      </c>
      <c r="W33" s="1277">
        <f t="shared" si="27"/>
        <v>0</v>
      </c>
      <c r="X33" s="1277">
        <f t="shared" si="28"/>
        <v>0</v>
      </c>
      <c r="Y33" s="1277">
        <f t="shared" si="28"/>
        <v>0</v>
      </c>
      <c r="Z33" s="1277">
        <f t="shared" si="28"/>
        <v>0</v>
      </c>
    </row>
    <row r="34" spans="1:26" ht="15.6" customHeight="1" thickBot="1">
      <c r="A34" s="1486" t="s">
        <v>2807</v>
      </c>
      <c r="B34" s="570"/>
      <c r="C34" s="570"/>
      <c r="D34" s="570"/>
      <c r="E34" s="570"/>
      <c r="F34" s="570"/>
      <c r="G34" s="570"/>
      <c r="H34" s="570"/>
      <c r="I34" s="691"/>
      <c r="J34" s="691"/>
      <c r="K34" s="570"/>
      <c r="L34" s="570"/>
      <c r="M34" s="570"/>
      <c r="N34" s="570"/>
      <c r="O34" s="1277">
        <f t="shared" si="19"/>
        <v>0</v>
      </c>
      <c r="P34" s="1277">
        <f t="shared" si="20"/>
        <v>0</v>
      </c>
      <c r="Q34" s="1277">
        <f t="shared" si="21"/>
        <v>0</v>
      </c>
      <c r="R34" s="1277">
        <f t="shared" si="22"/>
        <v>0</v>
      </c>
      <c r="S34" s="1277">
        <f t="shared" si="23"/>
        <v>0</v>
      </c>
      <c r="T34" s="1277">
        <f t="shared" si="24"/>
        <v>0</v>
      </c>
      <c r="U34" s="1277">
        <f t="shared" si="25"/>
        <v>0</v>
      </c>
      <c r="V34" s="1277">
        <f t="shared" si="26"/>
        <v>0</v>
      </c>
      <c r="W34" s="1277">
        <f t="shared" si="27"/>
        <v>0</v>
      </c>
      <c r="X34" s="1277">
        <f t="shared" si="28"/>
        <v>0</v>
      </c>
      <c r="Y34" s="1277">
        <f t="shared" si="28"/>
        <v>0</v>
      </c>
      <c r="Z34" s="1277">
        <f t="shared" si="28"/>
        <v>0</v>
      </c>
    </row>
    <row r="35" spans="1:26" ht="15.6" customHeight="1" thickBot="1">
      <c r="A35" s="1486" t="s">
        <v>2808</v>
      </c>
      <c r="B35" s="570"/>
      <c r="C35" s="570"/>
      <c r="D35" s="570"/>
      <c r="E35" s="570"/>
      <c r="F35" s="570"/>
      <c r="G35" s="570"/>
      <c r="H35" s="570"/>
      <c r="I35" s="691"/>
      <c r="J35" s="691"/>
      <c r="K35" s="570"/>
      <c r="L35" s="570"/>
      <c r="M35" s="570"/>
      <c r="N35" s="570"/>
      <c r="O35" s="1277">
        <f t="shared" si="19"/>
        <v>0</v>
      </c>
      <c r="P35" s="1277">
        <f t="shared" si="20"/>
        <v>0</v>
      </c>
      <c r="Q35" s="1277">
        <f t="shared" si="21"/>
        <v>0</v>
      </c>
      <c r="R35" s="1277">
        <f t="shared" si="22"/>
        <v>0</v>
      </c>
      <c r="S35" s="1277">
        <f t="shared" si="23"/>
        <v>0</v>
      </c>
      <c r="T35" s="1277">
        <f t="shared" si="24"/>
        <v>0</v>
      </c>
      <c r="U35" s="1277">
        <f t="shared" si="25"/>
        <v>0</v>
      </c>
      <c r="V35" s="1277">
        <f t="shared" si="26"/>
        <v>0</v>
      </c>
      <c r="W35" s="1277">
        <f t="shared" si="27"/>
        <v>0</v>
      </c>
      <c r="X35" s="1277">
        <f t="shared" si="28"/>
        <v>0</v>
      </c>
      <c r="Y35" s="1277">
        <f t="shared" si="28"/>
        <v>0</v>
      </c>
      <c r="Z35" s="1277">
        <f t="shared" si="28"/>
        <v>0</v>
      </c>
    </row>
    <row r="36" spans="1:26" ht="15.6" customHeight="1" thickBot="1">
      <c r="A36" s="1486" t="s">
        <v>2809</v>
      </c>
      <c r="B36" s="570"/>
      <c r="C36" s="570"/>
      <c r="D36" s="570"/>
      <c r="E36" s="570"/>
      <c r="F36" s="570"/>
      <c r="G36" s="570"/>
      <c r="H36" s="570"/>
      <c r="I36" s="691"/>
      <c r="J36" s="691"/>
      <c r="K36" s="570"/>
      <c r="L36" s="570"/>
      <c r="M36" s="570"/>
      <c r="N36" s="570"/>
      <c r="O36" s="1277">
        <f t="shared" si="19"/>
        <v>0</v>
      </c>
      <c r="P36" s="1277">
        <f t="shared" si="20"/>
        <v>0</v>
      </c>
      <c r="Q36" s="1277">
        <f t="shared" si="21"/>
        <v>0</v>
      </c>
      <c r="R36" s="1277">
        <f t="shared" si="22"/>
        <v>0</v>
      </c>
      <c r="S36" s="1277">
        <f t="shared" si="23"/>
        <v>0</v>
      </c>
      <c r="T36" s="1277">
        <f t="shared" si="24"/>
        <v>0</v>
      </c>
      <c r="U36" s="1277">
        <f t="shared" si="25"/>
        <v>0</v>
      </c>
      <c r="V36" s="1277">
        <f t="shared" si="26"/>
        <v>0</v>
      </c>
      <c r="W36" s="1277">
        <f t="shared" si="27"/>
        <v>0</v>
      </c>
      <c r="X36" s="1277">
        <f t="shared" si="28"/>
        <v>0</v>
      </c>
      <c r="Y36" s="1277">
        <f t="shared" si="28"/>
        <v>0</v>
      </c>
      <c r="Z36" s="1277">
        <f t="shared" si="28"/>
        <v>0</v>
      </c>
    </row>
    <row r="37" spans="1:26" ht="15.6" customHeight="1" thickBot="1">
      <c r="A37" s="1486" t="s">
        <v>2810</v>
      </c>
      <c r="B37" s="570"/>
      <c r="C37" s="570"/>
      <c r="D37" s="570"/>
      <c r="E37" s="570"/>
      <c r="F37" s="570"/>
      <c r="G37" s="570"/>
      <c r="H37" s="570"/>
      <c r="I37" s="691"/>
      <c r="J37" s="691"/>
      <c r="K37" s="570"/>
      <c r="L37" s="1490"/>
      <c r="M37" s="570"/>
      <c r="N37" s="570"/>
      <c r="O37" s="1277">
        <f t="shared" si="19"/>
        <v>0</v>
      </c>
      <c r="P37" s="1277">
        <f t="shared" si="20"/>
        <v>0</v>
      </c>
      <c r="Q37" s="1277">
        <f t="shared" si="21"/>
        <v>0</v>
      </c>
      <c r="R37" s="1277">
        <f t="shared" si="22"/>
        <v>0</v>
      </c>
      <c r="S37" s="1277">
        <f t="shared" si="23"/>
        <v>0</v>
      </c>
      <c r="T37" s="1277">
        <f t="shared" si="24"/>
        <v>0</v>
      </c>
      <c r="U37" s="1277">
        <f t="shared" si="25"/>
        <v>0</v>
      </c>
      <c r="V37" s="1277">
        <f t="shared" si="26"/>
        <v>0</v>
      </c>
      <c r="W37" s="1277">
        <f t="shared" si="27"/>
        <v>0</v>
      </c>
      <c r="X37" s="1277">
        <f t="shared" si="28"/>
        <v>0</v>
      </c>
      <c r="Y37" s="1277">
        <f t="shared" si="28"/>
        <v>0</v>
      </c>
      <c r="Z37" s="1277">
        <f t="shared" si="28"/>
        <v>0</v>
      </c>
    </row>
    <row r="38" spans="1:26" ht="15.6" customHeight="1" thickBot="1">
      <c r="A38" s="1486" t="s">
        <v>2811</v>
      </c>
      <c r="B38" s="570"/>
      <c r="C38" s="570"/>
      <c r="D38" s="570"/>
      <c r="E38" s="570"/>
      <c r="F38" s="570"/>
      <c r="G38" s="570"/>
      <c r="H38" s="570"/>
      <c r="I38" s="691"/>
      <c r="J38" s="570"/>
      <c r="K38" s="570"/>
      <c r="L38" s="570"/>
      <c r="M38" s="1490"/>
      <c r="N38" s="1490"/>
      <c r="O38" s="1277">
        <f t="shared" si="19"/>
        <v>0</v>
      </c>
      <c r="P38" s="1277">
        <f t="shared" si="20"/>
        <v>0</v>
      </c>
      <c r="Q38" s="1277">
        <f t="shared" si="21"/>
        <v>0</v>
      </c>
      <c r="R38" s="1277">
        <f t="shared" si="22"/>
        <v>0</v>
      </c>
      <c r="S38" s="1277">
        <f t="shared" si="23"/>
        <v>0</v>
      </c>
      <c r="T38" s="1277">
        <f t="shared" si="24"/>
        <v>0</v>
      </c>
      <c r="U38" s="1277">
        <f t="shared" si="25"/>
        <v>0</v>
      </c>
      <c r="V38" s="1277">
        <f t="shared" si="26"/>
        <v>0</v>
      </c>
      <c r="W38" s="1277">
        <f t="shared" si="27"/>
        <v>0</v>
      </c>
      <c r="X38" s="1277">
        <f t="shared" si="28"/>
        <v>0</v>
      </c>
      <c r="Y38" s="1277">
        <f t="shared" si="28"/>
        <v>0</v>
      </c>
      <c r="Z38" s="1277">
        <f t="shared" si="28"/>
        <v>0</v>
      </c>
    </row>
    <row r="39" spans="1:26" ht="15.6" customHeight="1" thickBot="1">
      <c r="A39" s="1485" t="s">
        <v>2740</v>
      </c>
      <c r="B39" s="1398">
        <v>6420.0353139999997</v>
      </c>
      <c r="C39" s="1398">
        <v>358.10988100000003</v>
      </c>
      <c r="D39" s="1398">
        <v>445.34886200000005</v>
      </c>
      <c r="E39" s="1398">
        <v>368.54156599999999</v>
      </c>
      <c r="F39" s="1398">
        <v>8.5010139999999996</v>
      </c>
      <c r="G39" s="1398">
        <v>119.66128399999999</v>
      </c>
      <c r="H39" s="1398">
        <v>523.40542800000003</v>
      </c>
      <c r="I39" s="1398">
        <v>580.00150000000008</v>
      </c>
      <c r="J39" s="1398">
        <v>27.566521999999999</v>
      </c>
      <c r="K39" s="1398">
        <v>20.455924</v>
      </c>
      <c r="L39" s="1398">
        <v>0.91171000000000002</v>
      </c>
      <c r="M39" s="1398">
        <v>1.706769</v>
      </c>
      <c r="N39" s="1398">
        <v>0</v>
      </c>
      <c r="O39" s="1277">
        <f t="shared" ref="O39:Z40" si="29">C39-B39</f>
        <v>-6061.9254329999994</v>
      </c>
      <c r="P39" s="1277">
        <f t="shared" si="29"/>
        <v>87.238981000000024</v>
      </c>
      <c r="Q39" s="1277">
        <f t="shared" si="29"/>
        <v>-76.807296000000065</v>
      </c>
      <c r="R39" s="1277">
        <f t="shared" si="29"/>
        <v>-360.04055199999999</v>
      </c>
      <c r="S39" s="1277">
        <f t="shared" si="29"/>
        <v>111.16027</v>
      </c>
      <c r="T39" s="1277">
        <f t="shared" si="29"/>
        <v>403.74414400000001</v>
      </c>
      <c r="U39" s="1277">
        <f t="shared" si="29"/>
        <v>56.596072000000049</v>
      </c>
      <c r="V39" s="1277">
        <f t="shared" si="29"/>
        <v>-552.43497800000011</v>
      </c>
      <c r="W39" s="1277">
        <f t="shared" si="29"/>
        <v>-7.1105979999999995</v>
      </c>
      <c r="X39" s="1277">
        <f t="shared" si="29"/>
        <v>-19.544214</v>
      </c>
      <c r="Y39" s="1277">
        <f t="shared" si="29"/>
        <v>0.79505899999999996</v>
      </c>
      <c r="Z39" s="1277">
        <f t="shared" si="29"/>
        <v>-1.706769</v>
      </c>
    </row>
    <row r="40" spans="1:26" s="1519" customFormat="1" ht="15.6" customHeight="1" thickBot="1">
      <c r="A40" s="1555" t="s">
        <v>2946</v>
      </c>
      <c r="B40" s="1583">
        <v>6420.0353139999997</v>
      </c>
      <c r="C40" s="1423">
        <v>358.10988100000003</v>
      </c>
      <c r="D40" s="1423">
        <v>445.34886200000005</v>
      </c>
      <c r="E40" s="1423">
        <v>368.54156599999999</v>
      </c>
      <c r="F40" s="1423">
        <v>338.34815400000002</v>
      </c>
      <c r="G40" s="1423">
        <v>119.66128399999999</v>
      </c>
      <c r="H40" s="1423">
        <v>523.40542800000003</v>
      </c>
      <c r="I40" s="1423">
        <v>58.846125999999998</v>
      </c>
      <c r="J40" s="1423">
        <v>368.56464699999998</v>
      </c>
      <c r="K40" s="1423">
        <v>20.455924</v>
      </c>
      <c r="L40" s="1423"/>
      <c r="M40" s="1423"/>
      <c r="N40" s="1423"/>
      <c r="O40" s="1277">
        <f t="shared" si="29"/>
        <v>-6061.9254329999994</v>
      </c>
      <c r="P40" s="1277">
        <f t="shared" si="29"/>
        <v>87.238981000000024</v>
      </c>
      <c r="Q40" s="1277">
        <f t="shared" si="29"/>
        <v>-76.807296000000065</v>
      </c>
      <c r="R40" s="1277">
        <f t="shared" si="29"/>
        <v>-30.193411999999967</v>
      </c>
      <c r="S40" s="1277">
        <f t="shared" si="29"/>
        <v>-218.68687000000003</v>
      </c>
      <c r="T40" s="1277">
        <f t="shared" si="29"/>
        <v>403.74414400000001</v>
      </c>
      <c r="U40" s="1277">
        <f t="shared" si="29"/>
        <v>-464.559302</v>
      </c>
      <c r="V40" s="1277">
        <f t="shared" si="29"/>
        <v>309.71852100000001</v>
      </c>
      <c r="W40" s="1277">
        <f t="shared" si="29"/>
        <v>-348.108723</v>
      </c>
      <c r="X40" s="1277">
        <f t="shared" si="29"/>
        <v>-20.455924</v>
      </c>
      <c r="Y40" s="1277">
        <f t="shared" si="29"/>
        <v>0</v>
      </c>
      <c r="Z40" s="1277">
        <f t="shared" si="29"/>
        <v>0</v>
      </c>
    </row>
    <row r="41" spans="1:26" s="1519" customFormat="1" ht="15.6" customHeight="1" thickBot="1">
      <c r="A41" s="1538" t="s">
        <v>2934</v>
      </c>
      <c r="B41" s="1423"/>
      <c r="C41" s="1423"/>
      <c r="D41" s="1423"/>
      <c r="E41" s="1423"/>
      <c r="F41" s="1423"/>
      <c r="G41" s="1423"/>
      <c r="H41" s="1423"/>
      <c r="I41" s="1539"/>
      <c r="J41" s="1539"/>
      <c r="K41" s="1423"/>
      <c r="L41" s="1423"/>
      <c r="M41" s="1423"/>
      <c r="N41" s="1423"/>
      <c r="O41" s="1540">
        <f t="shared" ref="O41:Z42" si="30">C41-B41</f>
        <v>0</v>
      </c>
      <c r="P41" s="1540">
        <f t="shared" si="30"/>
        <v>0</v>
      </c>
      <c r="Q41" s="1540">
        <f t="shared" si="30"/>
        <v>0</v>
      </c>
      <c r="R41" s="1540">
        <f t="shared" si="30"/>
        <v>0</v>
      </c>
      <c r="S41" s="1540">
        <f t="shared" si="30"/>
        <v>0</v>
      </c>
      <c r="T41" s="1540">
        <f t="shared" si="30"/>
        <v>0</v>
      </c>
      <c r="U41" s="1540">
        <f t="shared" si="30"/>
        <v>0</v>
      </c>
      <c r="V41" s="1540">
        <f t="shared" si="30"/>
        <v>0</v>
      </c>
      <c r="W41" s="1540">
        <f t="shared" si="30"/>
        <v>0</v>
      </c>
      <c r="X41" s="1540">
        <f t="shared" si="30"/>
        <v>0</v>
      </c>
      <c r="Y41" s="1540">
        <f t="shared" si="30"/>
        <v>0</v>
      </c>
      <c r="Z41" s="1540">
        <f t="shared" si="30"/>
        <v>0</v>
      </c>
    </row>
    <row r="42" spans="1:26" s="1519" customFormat="1" ht="15.6" customHeight="1" thickBot="1">
      <c r="A42" s="1538" t="s">
        <v>2935</v>
      </c>
      <c r="B42" s="1423"/>
      <c r="C42" s="1423"/>
      <c r="D42" s="1423"/>
      <c r="E42" s="1423"/>
      <c r="F42" s="1423"/>
      <c r="G42" s="1423"/>
      <c r="H42" s="1423"/>
      <c r="I42" s="1539"/>
      <c r="J42" s="1539"/>
      <c r="K42" s="1423"/>
      <c r="L42" s="1423"/>
      <c r="M42" s="1423"/>
      <c r="N42" s="1423"/>
      <c r="O42" s="1540">
        <f t="shared" si="30"/>
        <v>0</v>
      </c>
      <c r="P42" s="1540">
        <f t="shared" si="30"/>
        <v>0</v>
      </c>
      <c r="Q42" s="1540">
        <f t="shared" si="30"/>
        <v>0</v>
      </c>
      <c r="R42" s="1540">
        <f t="shared" si="30"/>
        <v>0</v>
      </c>
      <c r="S42" s="1540">
        <f t="shared" si="30"/>
        <v>0</v>
      </c>
      <c r="T42" s="1540">
        <f t="shared" si="30"/>
        <v>0</v>
      </c>
      <c r="U42" s="1540">
        <f t="shared" si="30"/>
        <v>0</v>
      </c>
      <c r="V42" s="1540">
        <f t="shared" si="30"/>
        <v>0</v>
      </c>
      <c r="W42" s="1540">
        <f t="shared" si="30"/>
        <v>0</v>
      </c>
      <c r="X42" s="1540">
        <f t="shared" si="30"/>
        <v>0</v>
      </c>
      <c r="Y42" s="1540">
        <f t="shared" si="30"/>
        <v>0</v>
      </c>
      <c r="Z42" s="1540">
        <f t="shared" si="30"/>
        <v>0</v>
      </c>
    </row>
    <row r="43" spans="1:26" ht="15.6" customHeight="1" thickBot="1">
      <c r="A43" s="1488" t="s">
        <v>896</v>
      </c>
      <c r="B43" s="1398">
        <v>844.66714400000012</v>
      </c>
      <c r="C43" s="1398">
        <v>972.22936400000003</v>
      </c>
      <c r="D43" s="1398">
        <v>791.63519800000006</v>
      </c>
      <c r="E43" s="1398">
        <v>59.994216000000002</v>
      </c>
      <c r="F43" s="1398">
        <v>7.9869960000000004</v>
      </c>
      <c r="G43" s="1398">
        <v>31.315350000000002</v>
      </c>
      <c r="H43" s="1398">
        <v>515.80099500000006</v>
      </c>
      <c r="I43" s="1398">
        <v>42.117610999999997</v>
      </c>
      <c r="J43" s="1398">
        <v>8.3592950000000013</v>
      </c>
      <c r="K43" s="1398">
        <v>68.712211000000011</v>
      </c>
      <c r="L43" s="1398">
        <v>7.2792920000000008</v>
      </c>
      <c r="M43" s="1398">
        <v>22.437654000000002</v>
      </c>
      <c r="N43" s="1398">
        <v>366.26552300000003</v>
      </c>
      <c r="O43" s="1277">
        <f t="shared" ref="O43:Z44" si="31">C43-B43</f>
        <v>127.56221999999991</v>
      </c>
      <c r="P43" s="1277">
        <f t="shared" si="31"/>
        <v>-180.59416599999997</v>
      </c>
      <c r="Q43" s="1277">
        <f t="shared" si="31"/>
        <v>-731.64098200000001</v>
      </c>
      <c r="R43" s="1277">
        <f t="shared" si="31"/>
        <v>-52.007220000000004</v>
      </c>
      <c r="S43" s="1277">
        <f t="shared" si="31"/>
        <v>23.328354000000001</v>
      </c>
      <c r="T43" s="1277">
        <f t="shared" si="31"/>
        <v>484.48564500000003</v>
      </c>
      <c r="U43" s="1277">
        <f t="shared" si="31"/>
        <v>-473.68338400000005</v>
      </c>
      <c r="V43" s="1277">
        <f t="shared" si="31"/>
        <v>-33.758315999999994</v>
      </c>
      <c r="W43" s="1277">
        <f t="shared" si="31"/>
        <v>60.352916000000008</v>
      </c>
      <c r="X43" s="1277">
        <f t="shared" si="31"/>
        <v>-61.432919000000012</v>
      </c>
      <c r="Y43" s="1277">
        <f t="shared" si="31"/>
        <v>15.158362</v>
      </c>
      <c r="Z43" s="1277">
        <f t="shared" si="31"/>
        <v>343.82786900000002</v>
      </c>
    </row>
    <row r="44" spans="1:26" ht="15.6" customHeight="1" thickBot="1">
      <c r="A44" s="1546" t="s">
        <v>2947</v>
      </c>
      <c r="B44" s="1423">
        <v>846.19729200000006</v>
      </c>
      <c r="C44" s="1423">
        <v>972.22936400000003</v>
      </c>
      <c r="D44" s="1423">
        <v>791.63519800000006</v>
      </c>
      <c r="E44" s="1423">
        <v>59.994216000000002</v>
      </c>
      <c r="F44" s="1423">
        <v>129.82917699999999</v>
      </c>
      <c r="G44" s="1423">
        <v>31.315350000000002</v>
      </c>
      <c r="H44" s="1423">
        <v>515.80099500000006</v>
      </c>
      <c r="I44" s="1423">
        <v>42.117610999999997</v>
      </c>
      <c r="J44" s="1423">
        <v>8.0915700000000008</v>
      </c>
      <c r="K44" s="1423">
        <v>60.725214999999999</v>
      </c>
      <c r="L44" s="1423"/>
      <c r="M44" s="1423"/>
      <c r="N44" s="1423"/>
      <c r="O44" s="1277">
        <f t="shared" si="31"/>
        <v>126.03207199999997</v>
      </c>
      <c r="P44" s="1277">
        <f t="shared" si="31"/>
        <v>-180.59416599999997</v>
      </c>
      <c r="Q44" s="1277">
        <f t="shared" si="31"/>
        <v>-731.64098200000001</v>
      </c>
      <c r="R44" s="1277">
        <f t="shared" si="31"/>
        <v>69.834960999999993</v>
      </c>
      <c r="S44" s="1277">
        <f t="shared" si="31"/>
        <v>-98.513826999999992</v>
      </c>
      <c r="T44" s="1277">
        <f t="shared" si="31"/>
        <v>484.48564500000003</v>
      </c>
      <c r="U44" s="1277">
        <f t="shared" si="31"/>
        <v>-473.68338400000005</v>
      </c>
      <c r="V44" s="1277">
        <f t="shared" si="31"/>
        <v>-34.026040999999992</v>
      </c>
      <c r="W44" s="1277">
        <f t="shared" si="31"/>
        <v>52.633645000000001</v>
      </c>
      <c r="X44" s="1277">
        <f t="shared" si="31"/>
        <v>-60.725214999999999</v>
      </c>
      <c r="Y44" s="1277">
        <f t="shared" si="31"/>
        <v>0</v>
      </c>
      <c r="Z44" s="1277">
        <f t="shared" si="31"/>
        <v>0</v>
      </c>
    </row>
    <row r="45" spans="1:26" ht="15.6" customHeight="1" thickBot="1">
      <c r="A45" s="1486" t="s">
        <v>2812</v>
      </c>
      <c r="B45" s="570"/>
      <c r="C45" s="570"/>
      <c r="D45" s="570"/>
      <c r="E45" s="570"/>
      <c r="F45" s="570"/>
      <c r="G45" s="570"/>
      <c r="H45" s="570"/>
      <c r="I45" s="570"/>
      <c r="J45" s="570"/>
      <c r="K45" s="570"/>
      <c r="L45" s="570"/>
      <c r="M45" s="570"/>
      <c r="N45" s="570"/>
      <c r="O45" s="1277">
        <f t="shared" ref="O45:O52" si="32">C45-B45</f>
        <v>0</v>
      </c>
      <c r="P45" s="1277">
        <f t="shared" ref="P45:P52" si="33">D45-C45</f>
        <v>0</v>
      </c>
      <c r="Q45" s="1277">
        <f t="shared" ref="Q45:Q52" si="34">E45-D45</f>
        <v>0</v>
      </c>
      <c r="R45" s="1277">
        <f t="shared" ref="R45:R52" si="35">F45-E45</f>
        <v>0</v>
      </c>
      <c r="S45" s="1277">
        <f t="shared" ref="S45:S52" si="36">G45-F45</f>
        <v>0</v>
      </c>
      <c r="T45" s="1277">
        <f t="shared" ref="T45:T52" si="37">H45-G45</f>
        <v>0</v>
      </c>
      <c r="U45" s="1277">
        <f t="shared" ref="U45:U52" si="38">I45-H45</f>
        <v>0</v>
      </c>
      <c r="V45" s="1277">
        <f t="shared" ref="V45:V52" si="39">J45-I45</f>
        <v>0</v>
      </c>
      <c r="W45" s="1277">
        <f t="shared" ref="W45:W52" si="40">K45-J45</f>
        <v>0</v>
      </c>
      <c r="X45" s="1277">
        <f t="shared" ref="X45:Z52" si="41">L45-K45</f>
        <v>0</v>
      </c>
      <c r="Y45" s="1277">
        <f t="shared" si="41"/>
        <v>0</v>
      </c>
      <c r="Z45" s="1277">
        <f t="shared" si="41"/>
        <v>0</v>
      </c>
    </row>
    <row r="46" spans="1:26" ht="15.6" customHeight="1" thickBot="1">
      <c r="A46" s="1486" t="s">
        <v>2813</v>
      </c>
      <c r="B46" s="570"/>
      <c r="C46" s="570"/>
      <c r="D46" s="570"/>
      <c r="E46" s="570"/>
      <c r="F46" s="570"/>
      <c r="G46" s="570"/>
      <c r="H46" s="570"/>
      <c r="I46" s="570"/>
      <c r="J46" s="570"/>
      <c r="K46" s="570"/>
      <c r="L46" s="570"/>
      <c r="M46" s="570"/>
      <c r="N46" s="570"/>
      <c r="O46" s="1277">
        <f t="shared" si="32"/>
        <v>0</v>
      </c>
      <c r="P46" s="1277">
        <f t="shared" si="33"/>
        <v>0</v>
      </c>
      <c r="Q46" s="1277">
        <f t="shared" si="34"/>
        <v>0</v>
      </c>
      <c r="R46" s="1277">
        <f t="shared" si="35"/>
        <v>0</v>
      </c>
      <c r="S46" s="1277">
        <f t="shared" si="36"/>
        <v>0</v>
      </c>
      <c r="T46" s="1277">
        <f t="shared" si="37"/>
        <v>0</v>
      </c>
      <c r="U46" s="1277">
        <f t="shared" si="38"/>
        <v>0</v>
      </c>
      <c r="V46" s="1277">
        <f t="shared" si="39"/>
        <v>0</v>
      </c>
      <c r="W46" s="1277">
        <f t="shared" si="40"/>
        <v>0</v>
      </c>
      <c r="X46" s="1277">
        <f t="shared" si="41"/>
        <v>0</v>
      </c>
      <c r="Y46" s="1277">
        <f t="shared" si="41"/>
        <v>0</v>
      </c>
      <c r="Z46" s="1277">
        <f t="shared" si="41"/>
        <v>0</v>
      </c>
    </row>
    <row r="47" spans="1:26" ht="15.6" customHeight="1" thickBot="1">
      <c r="A47" s="1486" t="s">
        <v>2814</v>
      </c>
      <c r="B47" s="570"/>
      <c r="C47" s="570"/>
      <c r="D47" s="570"/>
      <c r="E47" s="570"/>
      <c r="F47" s="570"/>
      <c r="G47" s="570"/>
      <c r="H47" s="570"/>
      <c r="I47" s="691"/>
      <c r="J47" s="570"/>
      <c r="K47" s="570"/>
      <c r="L47" s="570"/>
      <c r="M47" s="570"/>
      <c r="N47" s="570"/>
      <c r="O47" s="1277">
        <f t="shared" si="32"/>
        <v>0</v>
      </c>
      <c r="P47" s="1277">
        <f t="shared" si="33"/>
        <v>0</v>
      </c>
      <c r="Q47" s="1277">
        <f t="shared" si="34"/>
        <v>0</v>
      </c>
      <c r="R47" s="1277">
        <f t="shared" si="35"/>
        <v>0</v>
      </c>
      <c r="S47" s="1277">
        <f t="shared" si="36"/>
        <v>0</v>
      </c>
      <c r="T47" s="1277">
        <f t="shared" si="37"/>
        <v>0</v>
      </c>
      <c r="U47" s="1277">
        <f t="shared" si="38"/>
        <v>0</v>
      </c>
      <c r="V47" s="1277">
        <f t="shared" si="39"/>
        <v>0</v>
      </c>
      <c r="W47" s="1277">
        <f t="shared" si="40"/>
        <v>0</v>
      </c>
      <c r="X47" s="1277">
        <f t="shared" si="41"/>
        <v>0</v>
      </c>
      <c r="Y47" s="1277">
        <f t="shared" si="41"/>
        <v>0</v>
      </c>
      <c r="Z47" s="1277">
        <f t="shared" si="41"/>
        <v>0</v>
      </c>
    </row>
    <row r="48" spans="1:26" ht="15.6" customHeight="1" thickBot="1">
      <c r="A48" s="1486" t="s">
        <v>2903</v>
      </c>
      <c r="B48" s="570"/>
      <c r="C48" s="570"/>
      <c r="D48" s="570"/>
      <c r="E48" s="570"/>
      <c r="F48" s="570"/>
      <c r="G48" s="570"/>
      <c r="H48" s="570"/>
      <c r="I48" s="570"/>
      <c r="J48" s="570"/>
      <c r="K48" s="570"/>
      <c r="L48" s="570"/>
      <c r="M48" s="570"/>
      <c r="N48" s="1490"/>
      <c r="O48" s="1277">
        <f t="shared" si="32"/>
        <v>0</v>
      </c>
      <c r="P48" s="1277">
        <f t="shared" si="33"/>
        <v>0</v>
      </c>
      <c r="Q48" s="1277">
        <f t="shared" ref="Q48:Z48" si="42">E48-D48</f>
        <v>0</v>
      </c>
      <c r="R48" s="1277">
        <f t="shared" si="42"/>
        <v>0</v>
      </c>
      <c r="S48" s="1277">
        <f t="shared" si="42"/>
        <v>0</v>
      </c>
      <c r="T48" s="1277">
        <f t="shared" si="42"/>
        <v>0</v>
      </c>
      <c r="U48" s="1277">
        <f t="shared" si="42"/>
        <v>0</v>
      </c>
      <c r="V48" s="1277">
        <f t="shared" si="42"/>
        <v>0</v>
      </c>
      <c r="W48" s="1277">
        <f t="shared" si="42"/>
        <v>0</v>
      </c>
      <c r="X48" s="1277">
        <f t="shared" si="42"/>
        <v>0</v>
      </c>
      <c r="Y48" s="1277">
        <f t="shared" si="42"/>
        <v>0</v>
      </c>
      <c r="Z48" s="1277">
        <f t="shared" si="42"/>
        <v>0</v>
      </c>
    </row>
    <row r="49" spans="1:26" ht="15.6" customHeight="1" thickBot="1">
      <c r="A49" s="1486" t="s">
        <v>2815</v>
      </c>
      <c r="B49" s="570"/>
      <c r="C49" s="570"/>
      <c r="D49" s="570"/>
      <c r="E49" s="570"/>
      <c r="F49" s="570"/>
      <c r="G49" s="570"/>
      <c r="H49" s="570"/>
      <c r="I49" s="570"/>
      <c r="J49" s="570"/>
      <c r="K49" s="570"/>
      <c r="L49" s="570"/>
      <c r="M49" s="570"/>
      <c r="N49" s="570"/>
      <c r="O49" s="1277">
        <f t="shared" si="32"/>
        <v>0</v>
      </c>
      <c r="P49" s="1277">
        <f t="shared" si="33"/>
        <v>0</v>
      </c>
      <c r="Q49" s="1277">
        <f t="shared" si="34"/>
        <v>0</v>
      </c>
      <c r="R49" s="1277">
        <f t="shared" si="35"/>
        <v>0</v>
      </c>
      <c r="S49" s="1277">
        <f t="shared" si="36"/>
        <v>0</v>
      </c>
      <c r="T49" s="1277">
        <f t="shared" si="37"/>
        <v>0</v>
      </c>
      <c r="U49" s="1277">
        <f t="shared" si="38"/>
        <v>0</v>
      </c>
      <c r="V49" s="1277">
        <f t="shared" si="39"/>
        <v>0</v>
      </c>
      <c r="W49" s="1277">
        <f t="shared" si="40"/>
        <v>0</v>
      </c>
      <c r="X49" s="1277">
        <f t="shared" si="41"/>
        <v>0</v>
      </c>
      <c r="Y49" s="1277">
        <f t="shared" si="41"/>
        <v>0</v>
      </c>
      <c r="Z49" s="1277">
        <f t="shared" si="41"/>
        <v>0</v>
      </c>
    </row>
    <row r="50" spans="1:26" ht="15.6" customHeight="1" thickBot="1">
      <c r="A50" s="1486" t="s">
        <v>2816</v>
      </c>
      <c r="B50" s="570"/>
      <c r="C50" s="570"/>
      <c r="D50" s="570"/>
      <c r="E50" s="570"/>
      <c r="F50" s="570"/>
      <c r="G50" s="570"/>
      <c r="H50" s="570"/>
      <c r="I50" s="570"/>
      <c r="J50" s="570"/>
      <c r="K50" s="570"/>
      <c r="L50" s="570"/>
      <c r="M50" s="570"/>
      <c r="N50" s="570"/>
      <c r="O50" s="1277">
        <f t="shared" si="32"/>
        <v>0</v>
      </c>
      <c r="P50" s="1277">
        <f t="shared" si="33"/>
        <v>0</v>
      </c>
      <c r="Q50" s="1277">
        <f t="shared" si="34"/>
        <v>0</v>
      </c>
      <c r="R50" s="1277">
        <f t="shared" si="35"/>
        <v>0</v>
      </c>
      <c r="S50" s="1277">
        <f t="shared" si="36"/>
        <v>0</v>
      </c>
      <c r="T50" s="1277">
        <f t="shared" si="37"/>
        <v>0</v>
      </c>
      <c r="U50" s="1277">
        <f t="shared" si="38"/>
        <v>0</v>
      </c>
      <c r="V50" s="1277">
        <f t="shared" si="39"/>
        <v>0</v>
      </c>
      <c r="W50" s="1277">
        <f t="shared" si="40"/>
        <v>0</v>
      </c>
      <c r="X50" s="1277">
        <f t="shared" si="41"/>
        <v>0</v>
      </c>
      <c r="Y50" s="1277">
        <f t="shared" si="41"/>
        <v>0</v>
      </c>
      <c r="Z50" s="1277">
        <f t="shared" si="41"/>
        <v>0</v>
      </c>
    </row>
    <row r="51" spans="1:26" ht="15.6" customHeight="1" thickBot="1">
      <c r="A51" s="1486" t="s">
        <v>2817</v>
      </c>
      <c r="B51" s="570"/>
      <c r="C51" s="570"/>
      <c r="D51" s="570"/>
      <c r="E51" s="570"/>
      <c r="F51" s="570"/>
      <c r="G51" s="570"/>
      <c r="H51" s="570"/>
      <c r="I51" s="570"/>
      <c r="J51" s="570"/>
      <c r="K51" s="1490"/>
      <c r="L51" s="570"/>
      <c r="M51" s="570"/>
      <c r="N51" s="570"/>
      <c r="O51" s="1277">
        <f t="shared" si="32"/>
        <v>0</v>
      </c>
      <c r="P51" s="1277">
        <f t="shared" si="33"/>
        <v>0</v>
      </c>
      <c r="Q51" s="1277">
        <f t="shared" si="34"/>
        <v>0</v>
      </c>
      <c r="R51" s="1277">
        <f t="shared" si="35"/>
        <v>0</v>
      </c>
      <c r="S51" s="1277">
        <f t="shared" si="36"/>
        <v>0</v>
      </c>
      <c r="T51" s="1277">
        <f t="shared" si="37"/>
        <v>0</v>
      </c>
      <c r="U51" s="1277">
        <f t="shared" si="38"/>
        <v>0</v>
      </c>
      <c r="V51" s="1277">
        <f t="shared" si="39"/>
        <v>0</v>
      </c>
      <c r="W51" s="1277">
        <f t="shared" si="40"/>
        <v>0</v>
      </c>
      <c r="X51" s="1277">
        <f t="shared" si="41"/>
        <v>0</v>
      </c>
      <c r="Y51" s="1277">
        <f t="shared" si="41"/>
        <v>0</v>
      </c>
      <c r="Z51" s="1277">
        <f t="shared" si="41"/>
        <v>0</v>
      </c>
    </row>
    <row r="52" spans="1:26" ht="15.6" customHeight="1" thickBot="1">
      <c r="A52" s="1527" t="s">
        <v>2909</v>
      </c>
      <c r="B52" s="570"/>
      <c r="C52" s="570"/>
      <c r="D52" s="570"/>
      <c r="E52" s="570"/>
      <c r="F52" s="570"/>
      <c r="G52" s="570"/>
      <c r="H52" s="570"/>
      <c r="I52" s="570"/>
      <c r="J52" s="570"/>
      <c r="K52" s="1490"/>
      <c r="L52" s="570"/>
      <c r="M52" s="570"/>
      <c r="N52" s="570"/>
      <c r="O52" s="1277">
        <f t="shared" si="32"/>
        <v>0</v>
      </c>
      <c r="P52" s="1277">
        <f t="shared" si="33"/>
        <v>0</v>
      </c>
      <c r="Q52" s="1277">
        <f t="shared" si="34"/>
        <v>0</v>
      </c>
      <c r="R52" s="1277">
        <f t="shared" si="35"/>
        <v>0</v>
      </c>
      <c r="S52" s="1277">
        <f t="shared" si="36"/>
        <v>0</v>
      </c>
      <c r="T52" s="1277">
        <f t="shared" si="37"/>
        <v>0</v>
      </c>
      <c r="U52" s="1277">
        <f t="shared" si="38"/>
        <v>0</v>
      </c>
      <c r="V52" s="1277">
        <f t="shared" si="39"/>
        <v>0</v>
      </c>
      <c r="W52" s="1277">
        <f t="shared" si="40"/>
        <v>0</v>
      </c>
      <c r="X52" s="1277">
        <f t="shared" si="41"/>
        <v>0</v>
      </c>
      <c r="Y52" s="1277">
        <f t="shared" si="41"/>
        <v>0</v>
      </c>
      <c r="Z52" s="1277">
        <f t="shared" si="41"/>
        <v>0</v>
      </c>
    </row>
    <row r="53" spans="1:26" ht="15.6" customHeight="1" thickBot="1">
      <c r="A53" s="1488" t="s">
        <v>868</v>
      </c>
      <c r="B53" s="1398">
        <v>352.09039899999999</v>
      </c>
      <c r="C53" s="1398">
        <v>125.225043</v>
      </c>
      <c r="D53" s="1398">
        <v>275.82991500000003</v>
      </c>
      <c r="E53" s="1398">
        <v>218.68978199999998</v>
      </c>
      <c r="F53" s="1398">
        <v>107.92483900000001</v>
      </c>
      <c r="G53" s="1398">
        <v>5.8935030000000008</v>
      </c>
      <c r="H53" s="1398">
        <v>662.84182899999996</v>
      </c>
      <c r="I53" s="1398">
        <v>168.25153299999999</v>
      </c>
      <c r="J53" s="1398">
        <v>122.23768600000001</v>
      </c>
      <c r="K53" s="1398">
        <v>439.85414900000001</v>
      </c>
      <c r="L53" s="1398">
        <v>287.24961199999996</v>
      </c>
      <c r="M53" s="1398">
        <v>276.489983</v>
      </c>
      <c r="N53" s="1398">
        <v>238.96378999999999</v>
      </c>
      <c r="O53" s="1277">
        <f t="shared" ref="O53:Z53" si="43">C53-B53</f>
        <v>-226.86535599999999</v>
      </c>
      <c r="P53" s="1277">
        <f t="shared" si="43"/>
        <v>150.60487200000003</v>
      </c>
      <c r="Q53" s="1277">
        <f t="shared" si="43"/>
        <v>-57.140133000000048</v>
      </c>
      <c r="R53" s="1277">
        <f t="shared" si="43"/>
        <v>-110.76494299999997</v>
      </c>
      <c r="S53" s="1277">
        <f t="shared" si="43"/>
        <v>-102.03133600000001</v>
      </c>
      <c r="T53" s="1277">
        <f t="shared" si="43"/>
        <v>656.94832599999995</v>
      </c>
      <c r="U53" s="1277">
        <f t="shared" si="43"/>
        <v>-494.59029599999997</v>
      </c>
      <c r="V53" s="1277">
        <f t="shared" si="43"/>
        <v>-46.013846999999984</v>
      </c>
      <c r="W53" s="1277">
        <f t="shared" si="43"/>
        <v>317.61646300000001</v>
      </c>
      <c r="X53" s="1277">
        <f t="shared" si="43"/>
        <v>-152.60453700000005</v>
      </c>
      <c r="Y53" s="1277">
        <f t="shared" si="43"/>
        <v>-10.759628999999961</v>
      </c>
      <c r="Z53" s="1277">
        <f t="shared" si="43"/>
        <v>-37.526193000000006</v>
      </c>
    </row>
    <row r="54" spans="1:26" s="1519" customFormat="1" ht="15.6" customHeight="1" thickBot="1">
      <c r="A54" s="1546" t="s">
        <v>2948</v>
      </c>
      <c r="B54" s="1423">
        <v>352.09039899999999</v>
      </c>
      <c r="C54" s="1423">
        <v>125.225043</v>
      </c>
      <c r="D54" s="1423">
        <v>275.82991500000003</v>
      </c>
      <c r="E54" s="1423">
        <v>218.68978199999998</v>
      </c>
      <c r="F54" s="1423">
        <v>107.92483900000001</v>
      </c>
      <c r="G54" s="1423">
        <v>5.8935030000000008</v>
      </c>
      <c r="H54" s="1423">
        <v>662.84182899999996</v>
      </c>
      <c r="I54" s="1423">
        <v>168.24853300000001</v>
      </c>
      <c r="J54" s="1423">
        <v>122.23768600000001</v>
      </c>
      <c r="K54" s="1423">
        <v>439.85414900000001</v>
      </c>
      <c r="L54" s="1423"/>
      <c r="M54" s="1423"/>
      <c r="N54" s="1423"/>
      <c r="O54" s="1277">
        <f t="shared" ref="O54:Z54" si="44">C54-B54</f>
        <v>-226.86535599999999</v>
      </c>
      <c r="P54" s="1277">
        <f t="shared" si="44"/>
        <v>150.60487200000003</v>
      </c>
      <c r="Q54" s="1277">
        <f t="shared" si="44"/>
        <v>-57.140133000000048</v>
      </c>
      <c r="R54" s="1277">
        <f t="shared" si="44"/>
        <v>-110.76494299999997</v>
      </c>
      <c r="S54" s="1277">
        <f t="shared" si="44"/>
        <v>-102.03133600000001</v>
      </c>
      <c r="T54" s="1277">
        <f t="shared" si="44"/>
        <v>656.94832599999995</v>
      </c>
      <c r="U54" s="1277">
        <f t="shared" si="44"/>
        <v>-494.59329599999995</v>
      </c>
      <c r="V54" s="1277">
        <f t="shared" si="44"/>
        <v>-46.010846999999998</v>
      </c>
      <c r="W54" s="1277">
        <f t="shared" si="44"/>
        <v>317.61646300000001</v>
      </c>
      <c r="X54" s="1277">
        <f t="shared" si="44"/>
        <v>-439.85414900000001</v>
      </c>
      <c r="Y54" s="1277">
        <f t="shared" si="44"/>
        <v>0</v>
      </c>
      <c r="Z54" s="1277">
        <f t="shared" si="44"/>
        <v>0</v>
      </c>
    </row>
    <row r="55" spans="1:26" ht="15.6" customHeight="1" thickBot="1">
      <c r="A55" s="1489" t="s">
        <v>2818</v>
      </c>
      <c r="B55" s="1418"/>
      <c r="C55" s="1418"/>
      <c r="D55" s="1418"/>
      <c r="E55" s="1418"/>
      <c r="F55" s="570"/>
      <c r="G55" s="570"/>
      <c r="H55" s="570"/>
      <c r="I55" s="570"/>
      <c r="J55" s="570"/>
      <c r="K55" s="570"/>
      <c r="L55" s="570"/>
      <c r="M55" s="570"/>
      <c r="N55" s="570"/>
      <c r="O55" s="1277">
        <f t="shared" ref="O55:O63" si="45">C55-B55</f>
        <v>0</v>
      </c>
      <c r="P55" s="1277">
        <f t="shared" ref="P55:P63" si="46">D55-C55</f>
        <v>0</v>
      </c>
      <c r="Q55" s="1277">
        <f t="shared" ref="Q55:Q63" si="47">E55-D55</f>
        <v>0</v>
      </c>
      <c r="R55" s="1277">
        <f t="shared" ref="R55:R63" si="48">F55-E55</f>
        <v>0</v>
      </c>
      <c r="S55" s="1277">
        <f t="shared" ref="S55:S63" si="49">G55-F55</f>
        <v>0</v>
      </c>
      <c r="T55" s="1277">
        <f t="shared" ref="T55:T63" si="50">H55-G55</f>
        <v>0</v>
      </c>
      <c r="U55" s="1277">
        <f t="shared" ref="U55:U63" si="51">I55-H55</f>
        <v>0</v>
      </c>
      <c r="V55" s="1277">
        <f t="shared" ref="V55:V63" si="52">J55-I55</f>
        <v>0</v>
      </c>
      <c r="W55" s="1277">
        <f t="shared" ref="W55:W63" si="53">K55-J55</f>
        <v>0</v>
      </c>
      <c r="X55" s="1277">
        <f t="shared" ref="X55:Z63" si="54">L55-K55</f>
        <v>0</v>
      </c>
      <c r="Y55" s="1277">
        <f t="shared" si="54"/>
        <v>0</v>
      </c>
      <c r="Z55" s="1277">
        <f t="shared" si="54"/>
        <v>0</v>
      </c>
    </row>
    <row r="56" spans="1:26" ht="15.6" customHeight="1" thickBot="1">
      <c r="A56" s="1489" t="s">
        <v>2819</v>
      </c>
      <c r="B56" s="1418"/>
      <c r="C56" s="570"/>
      <c r="D56" s="570"/>
      <c r="E56" s="570"/>
      <c r="F56" s="570"/>
      <c r="G56" s="570"/>
      <c r="H56" s="570"/>
      <c r="I56" s="691"/>
      <c r="J56" s="691"/>
      <c r="K56" s="570"/>
      <c r="L56" s="570"/>
      <c r="M56" s="570"/>
      <c r="N56" s="570"/>
      <c r="O56" s="1277">
        <f t="shared" si="45"/>
        <v>0</v>
      </c>
      <c r="P56" s="1277">
        <f t="shared" si="46"/>
        <v>0</v>
      </c>
      <c r="Q56" s="1277">
        <f t="shared" si="47"/>
        <v>0</v>
      </c>
      <c r="R56" s="1277">
        <f t="shared" si="48"/>
        <v>0</v>
      </c>
      <c r="S56" s="1277">
        <f t="shared" si="49"/>
        <v>0</v>
      </c>
      <c r="T56" s="1277">
        <f t="shared" si="50"/>
        <v>0</v>
      </c>
      <c r="U56" s="1277">
        <f t="shared" si="51"/>
        <v>0</v>
      </c>
      <c r="V56" s="1277">
        <f t="shared" si="52"/>
        <v>0</v>
      </c>
      <c r="W56" s="1277">
        <f t="shared" si="53"/>
        <v>0</v>
      </c>
      <c r="X56" s="1277">
        <f t="shared" si="54"/>
        <v>0</v>
      </c>
      <c r="Y56" s="1277">
        <f t="shared" si="54"/>
        <v>0</v>
      </c>
      <c r="Z56" s="1277">
        <f t="shared" si="54"/>
        <v>0</v>
      </c>
    </row>
    <row r="57" spans="1:26" ht="15.6" customHeight="1" thickBot="1">
      <c r="A57" s="1489" t="s">
        <v>2820</v>
      </c>
      <c r="B57" s="1418"/>
      <c r="C57" s="570"/>
      <c r="D57" s="570"/>
      <c r="E57" s="570"/>
      <c r="F57" s="570"/>
      <c r="G57" s="570"/>
      <c r="H57" s="570"/>
      <c r="I57" s="570"/>
      <c r="J57" s="570"/>
      <c r="K57" s="570"/>
      <c r="L57" s="570"/>
      <c r="M57" s="570"/>
      <c r="N57" s="570"/>
      <c r="O57" s="1277">
        <f t="shared" si="45"/>
        <v>0</v>
      </c>
      <c r="P57" s="1277">
        <f t="shared" si="46"/>
        <v>0</v>
      </c>
      <c r="Q57" s="1277">
        <f t="shared" si="47"/>
        <v>0</v>
      </c>
      <c r="R57" s="1277">
        <f t="shared" si="48"/>
        <v>0</v>
      </c>
      <c r="S57" s="1277">
        <f t="shared" si="49"/>
        <v>0</v>
      </c>
      <c r="T57" s="1277">
        <f t="shared" si="50"/>
        <v>0</v>
      </c>
      <c r="U57" s="1277">
        <f t="shared" si="51"/>
        <v>0</v>
      </c>
      <c r="V57" s="1277">
        <f t="shared" si="52"/>
        <v>0</v>
      </c>
      <c r="W57" s="1277">
        <f t="shared" si="53"/>
        <v>0</v>
      </c>
      <c r="X57" s="1277">
        <f t="shared" si="54"/>
        <v>0</v>
      </c>
      <c r="Y57" s="1277">
        <f t="shared" si="54"/>
        <v>0</v>
      </c>
      <c r="Z57" s="1277">
        <f t="shared" si="54"/>
        <v>0</v>
      </c>
    </row>
    <row r="58" spans="1:26" ht="15.6" customHeight="1" thickBot="1">
      <c r="A58" s="1489" t="s">
        <v>2821</v>
      </c>
      <c r="B58" s="1418"/>
      <c r="C58" s="570"/>
      <c r="D58" s="570"/>
      <c r="E58" s="570"/>
      <c r="F58" s="570"/>
      <c r="G58" s="570"/>
      <c r="H58" s="570"/>
      <c r="I58" s="691"/>
      <c r="J58" s="570"/>
      <c r="K58" s="570"/>
      <c r="L58" s="570"/>
      <c r="M58" s="570"/>
      <c r="N58" s="570"/>
      <c r="O58" s="1277">
        <f t="shared" si="45"/>
        <v>0</v>
      </c>
      <c r="P58" s="1277">
        <f t="shared" si="46"/>
        <v>0</v>
      </c>
      <c r="Q58" s="1277">
        <f t="shared" si="47"/>
        <v>0</v>
      </c>
      <c r="R58" s="1277">
        <f t="shared" si="48"/>
        <v>0</v>
      </c>
      <c r="S58" s="1277">
        <f t="shared" si="49"/>
        <v>0</v>
      </c>
      <c r="T58" s="1277">
        <f t="shared" si="50"/>
        <v>0</v>
      </c>
      <c r="U58" s="1277">
        <f t="shared" si="51"/>
        <v>0</v>
      </c>
      <c r="V58" s="1277">
        <f t="shared" si="52"/>
        <v>0</v>
      </c>
      <c r="W58" s="1277">
        <f t="shared" si="53"/>
        <v>0</v>
      </c>
      <c r="X58" s="1277">
        <f t="shared" si="54"/>
        <v>0</v>
      </c>
      <c r="Y58" s="1277">
        <f t="shared" si="54"/>
        <v>0</v>
      </c>
      <c r="Z58" s="1277">
        <f t="shared" si="54"/>
        <v>0</v>
      </c>
    </row>
    <row r="59" spans="1:26" ht="15.6" customHeight="1" thickBot="1">
      <c r="A59" s="1489" t="s">
        <v>2822</v>
      </c>
      <c r="B59" s="1418"/>
      <c r="C59" s="570"/>
      <c r="D59" s="570"/>
      <c r="E59" s="570"/>
      <c r="F59" s="570"/>
      <c r="G59" s="570"/>
      <c r="H59" s="570"/>
      <c r="I59" s="691"/>
      <c r="J59" s="691"/>
      <c r="K59" s="570"/>
      <c r="L59" s="570"/>
      <c r="M59" s="570"/>
      <c r="N59" s="570"/>
      <c r="O59" s="1277">
        <f t="shared" si="45"/>
        <v>0</v>
      </c>
      <c r="P59" s="1277">
        <f t="shared" si="46"/>
        <v>0</v>
      </c>
      <c r="Q59" s="1277">
        <f t="shared" si="47"/>
        <v>0</v>
      </c>
      <c r="R59" s="1277">
        <f t="shared" si="48"/>
        <v>0</v>
      </c>
      <c r="S59" s="1277">
        <f t="shared" si="49"/>
        <v>0</v>
      </c>
      <c r="T59" s="1277">
        <f t="shared" si="50"/>
        <v>0</v>
      </c>
      <c r="U59" s="1277">
        <f t="shared" si="51"/>
        <v>0</v>
      </c>
      <c r="V59" s="1277">
        <f t="shared" si="52"/>
        <v>0</v>
      </c>
      <c r="W59" s="1277">
        <f t="shared" si="53"/>
        <v>0</v>
      </c>
      <c r="X59" s="1277">
        <f t="shared" si="54"/>
        <v>0</v>
      </c>
      <c r="Y59" s="1277">
        <f t="shared" si="54"/>
        <v>0</v>
      </c>
      <c r="Z59" s="1277">
        <f t="shared" si="54"/>
        <v>0</v>
      </c>
    </row>
    <row r="60" spans="1:26" ht="15.6" customHeight="1" thickBot="1">
      <c r="A60" s="1489" t="s">
        <v>2824</v>
      </c>
      <c r="B60" s="1418"/>
      <c r="C60" s="570"/>
      <c r="D60" s="570"/>
      <c r="E60" s="570"/>
      <c r="F60" s="570"/>
      <c r="G60" s="570"/>
      <c r="H60" s="570"/>
      <c r="I60" s="570"/>
      <c r="J60" s="570"/>
      <c r="K60" s="570"/>
      <c r="L60" s="570"/>
      <c r="M60" s="570"/>
      <c r="N60" s="570"/>
      <c r="O60" s="1277">
        <f t="shared" si="45"/>
        <v>0</v>
      </c>
      <c r="P60" s="1277">
        <f t="shared" si="46"/>
        <v>0</v>
      </c>
      <c r="Q60" s="1277">
        <f t="shared" si="47"/>
        <v>0</v>
      </c>
      <c r="R60" s="1277">
        <f t="shared" si="48"/>
        <v>0</v>
      </c>
      <c r="S60" s="1277">
        <f t="shared" si="49"/>
        <v>0</v>
      </c>
      <c r="T60" s="1277">
        <f t="shared" si="50"/>
        <v>0</v>
      </c>
      <c r="U60" s="1277">
        <f t="shared" si="51"/>
        <v>0</v>
      </c>
      <c r="V60" s="1277">
        <f t="shared" si="52"/>
        <v>0</v>
      </c>
      <c r="W60" s="1277">
        <f t="shared" si="53"/>
        <v>0</v>
      </c>
      <c r="X60" s="1277">
        <f t="shared" si="54"/>
        <v>0</v>
      </c>
      <c r="Y60" s="1277">
        <f t="shared" si="54"/>
        <v>0</v>
      </c>
      <c r="Z60" s="1277">
        <f t="shared" si="54"/>
        <v>0</v>
      </c>
    </row>
    <row r="61" spans="1:26" ht="15.6" customHeight="1" thickBot="1">
      <c r="A61" s="1489" t="s">
        <v>2825</v>
      </c>
      <c r="B61" s="1418"/>
      <c r="C61" s="570"/>
      <c r="D61" s="570"/>
      <c r="E61" s="570"/>
      <c r="F61" s="570"/>
      <c r="G61" s="570"/>
      <c r="H61" s="570"/>
      <c r="I61" s="570"/>
      <c r="J61" s="570"/>
      <c r="K61" s="570"/>
      <c r="L61" s="570"/>
      <c r="M61" s="570"/>
      <c r="N61" s="570"/>
      <c r="O61" s="1277">
        <f t="shared" si="45"/>
        <v>0</v>
      </c>
      <c r="P61" s="1277">
        <f t="shared" si="46"/>
        <v>0</v>
      </c>
      <c r="Q61" s="1277">
        <f t="shared" si="47"/>
        <v>0</v>
      </c>
      <c r="R61" s="1277">
        <f t="shared" si="48"/>
        <v>0</v>
      </c>
      <c r="S61" s="1277">
        <f t="shared" si="49"/>
        <v>0</v>
      </c>
      <c r="T61" s="1277">
        <f t="shared" si="50"/>
        <v>0</v>
      </c>
      <c r="U61" s="1277">
        <f t="shared" si="51"/>
        <v>0</v>
      </c>
      <c r="V61" s="1277">
        <f t="shared" si="52"/>
        <v>0</v>
      </c>
      <c r="W61" s="1277">
        <f t="shared" si="53"/>
        <v>0</v>
      </c>
      <c r="X61" s="1277">
        <f t="shared" si="54"/>
        <v>0</v>
      </c>
      <c r="Y61" s="1277">
        <f t="shared" si="54"/>
        <v>0</v>
      </c>
      <c r="Z61" s="1277">
        <f t="shared" si="54"/>
        <v>0</v>
      </c>
    </row>
    <row r="62" spans="1:26" ht="15.6" customHeight="1" thickBot="1">
      <c r="A62" s="1489" t="s">
        <v>2826</v>
      </c>
      <c r="B62" s="1418"/>
      <c r="C62" s="570"/>
      <c r="D62" s="570"/>
      <c r="E62" s="570"/>
      <c r="F62" s="570"/>
      <c r="G62" s="570"/>
      <c r="H62" s="570"/>
      <c r="I62" s="570"/>
      <c r="J62" s="570"/>
      <c r="K62" s="570"/>
      <c r="L62" s="570"/>
      <c r="M62" s="570"/>
      <c r="N62" s="570"/>
      <c r="O62" s="1277">
        <f t="shared" si="45"/>
        <v>0</v>
      </c>
      <c r="P62" s="1277">
        <f t="shared" si="46"/>
        <v>0</v>
      </c>
      <c r="Q62" s="1277">
        <f t="shared" si="47"/>
        <v>0</v>
      </c>
      <c r="R62" s="1277">
        <f t="shared" si="48"/>
        <v>0</v>
      </c>
      <c r="S62" s="1277">
        <f t="shared" si="49"/>
        <v>0</v>
      </c>
      <c r="T62" s="1277">
        <f t="shared" si="50"/>
        <v>0</v>
      </c>
      <c r="U62" s="1277">
        <f t="shared" si="51"/>
        <v>0</v>
      </c>
      <c r="V62" s="1277">
        <f t="shared" si="52"/>
        <v>0</v>
      </c>
      <c r="W62" s="1277">
        <f t="shared" si="53"/>
        <v>0</v>
      </c>
      <c r="X62" s="1277">
        <f t="shared" si="54"/>
        <v>0</v>
      </c>
      <c r="Y62" s="1277">
        <f t="shared" si="54"/>
        <v>0</v>
      </c>
      <c r="Z62" s="1277">
        <f t="shared" si="54"/>
        <v>0</v>
      </c>
    </row>
    <row r="63" spans="1:26" ht="15.6" customHeight="1" thickBot="1">
      <c r="A63" s="1489" t="s">
        <v>2823</v>
      </c>
      <c r="B63" s="1418"/>
      <c r="C63" s="570"/>
      <c r="D63" s="570"/>
      <c r="E63" s="570"/>
      <c r="F63" s="570"/>
      <c r="G63" s="570"/>
      <c r="H63" s="570"/>
      <c r="I63" s="570"/>
      <c r="J63" s="570"/>
      <c r="K63" s="570"/>
      <c r="L63" s="570"/>
      <c r="M63" s="570"/>
      <c r="N63" s="570"/>
      <c r="O63" s="1277">
        <f t="shared" si="45"/>
        <v>0</v>
      </c>
      <c r="P63" s="1277">
        <f t="shared" si="46"/>
        <v>0</v>
      </c>
      <c r="Q63" s="1277">
        <f t="shared" si="47"/>
        <v>0</v>
      </c>
      <c r="R63" s="1277">
        <f t="shared" si="48"/>
        <v>0</v>
      </c>
      <c r="S63" s="1277">
        <f t="shared" si="49"/>
        <v>0</v>
      </c>
      <c r="T63" s="1277">
        <f t="shared" si="50"/>
        <v>0</v>
      </c>
      <c r="U63" s="1277">
        <f t="shared" si="51"/>
        <v>0</v>
      </c>
      <c r="V63" s="1277">
        <f t="shared" si="52"/>
        <v>0</v>
      </c>
      <c r="W63" s="1277">
        <f t="shared" si="53"/>
        <v>0</v>
      </c>
      <c r="X63" s="1277">
        <f t="shared" si="54"/>
        <v>0</v>
      </c>
      <c r="Y63" s="1277">
        <f t="shared" si="54"/>
        <v>0</v>
      </c>
      <c r="Z63" s="1277">
        <f t="shared" si="54"/>
        <v>0</v>
      </c>
    </row>
    <row r="64" spans="1:26" ht="15.6" customHeight="1" thickBot="1">
      <c r="A64" s="1488" t="s">
        <v>2911</v>
      </c>
      <c r="B64" s="1398">
        <v>25.608215000000001</v>
      </c>
      <c r="C64" s="1398">
        <v>155.387406</v>
      </c>
      <c r="D64" s="1398">
        <v>9.1690830000000005</v>
      </c>
      <c r="E64" s="1398">
        <v>8.233466</v>
      </c>
      <c r="F64" s="1398">
        <v>18.098727</v>
      </c>
      <c r="G64" s="1398">
        <v>129.502419</v>
      </c>
      <c r="H64" s="1398">
        <v>66.815680999999998</v>
      </c>
      <c r="I64" s="1398">
        <v>29.947818000000002</v>
      </c>
      <c r="J64" s="1398">
        <v>1.007973</v>
      </c>
      <c r="K64" s="1398">
        <v>8.6894910000000003</v>
      </c>
      <c r="L64" s="1398">
        <v>3.5300989999999999</v>
      </c>
      <c r="M64" s="1398">
        <v>1.756424</v>
      </c>
      <c r="N64" s="1398">
        <v>1.744524</v>
      </c>
      <c r="O64" s="1277">
        <f t="shared" ref="O64:Z69" si="55">C64-B64</f>
        <v>129.779191</v>
      </c>
      <c r="P64" s="1277">
        <f t="shared" si="55"/>
        <v>-146.218323</v>
      </c>
      <c r="Q64" s="1277">
        <f t="shared" si="55"/>
        <v>-0.93561700000000059</v>
      </c>
      <c r="R64" s="1277">
        <f t="shared" si="55"/>
        <v>9.8652610000000003</v>
      </c>
      <c r="S64" s="1277">
        <f t="shared" si="55"/>
        <v>111.40369200000001</v>
      </c>
      <c r="T64" s="1277">
        <f t="shared" si="55"/>
        <v>-62.686738000000005</v>
      </c>
      <c r="U64" s="1277">
        <f t="shared" si="55"/>
        <v>-36.867863</v>
      </c>
      <c r="V64" s="1277">
        <f t="shared" si="55"/>
        <v>-28.939845000000002</v>
      </c>
      <c r="W64" s="1277">
        <f t="shared" si="55"/>
        <v>7.6815180000000005</v>
      </c>
      <c r="X64" s="1277">
        <f t="shared" si="55"/>
        <v>-5.1593920000000004</v>
      </c>
      <c r="Y64" s="1277">
        <f t="shared" si="55"/>
        <v>-1.7736749999999999</v>
      </c>
      <c r="Z64" s="1277">
        <f t="shared" si="55"/>
        <v>-1.1900000000000022E-2</v>
      </c>
    </row>
    <row r="65" spans="1:26" s="1519" customFormat="1" ht="15.6" customHeight="1" thickBot="1">
      <c r="A65" s="1546" t="s">
        <v>2949</v>
      </c>
      <c r="B65" s="1423">
        <v>25.608215000000001</v>
      </c>
      <c r="C65" s="1423">
        <v>155.387406</v>
      </c>
      <c r="D65" s="1423">
        <v>9.1690830000000005</v>
      </c>
      <c r="E65" s="1423">
        <v>8.233466</v>
      </c>
      <c r="F65" s="1423">
        <v>46.687677000000001</v>
      </c>
      <c r="G65" s="1423">
        <v>129.502419</v>
      </c>
      <c r="H65" s="1423">
        <v>66.815680999999998</v>
      </c>
      <c r="I65" s="1423">
        <v>29.947818000000002</v>
      </c>
      <c r="J65" s="1423">
        <v>1.007973</v>
      </c>
      <c r="K65" s="1423">
        <v>8.6894910000000003</v>
      </c>
      <c r="L65" s="1423"/>
      <c r="M65" s="1423"/>
      <c r="N65" s="1423"/>
      <c r="O65" s="1277">
        <f t="shared" ref="O65:Z65" si="56">C65-B65</f>
        <v>129.779191</v>
      </c>
      <c r="P65" s="1277">
        <f t="shared" si="56"/>
        <v>-146.218323</v>
      </c>
      <c r="Q65" s="1277">
        <f t="shared" si="56"/>
        <v>-0.93561700000000059</v>
      </c>
      <c r="R65" s="1277">
        <f t="shared" si="56"/>
        <v>38.454211000000001</v>
      </c>
      <c r="S65" s="1277">
        <f t="shared" si="56"/>
        <v>82.814741999999995</v>
      </c>
      <c r="T65" s="1277">
        <f t="shared" si="56"/>
        <v>-62.686738000000005</v>
      </c>
      <c r="U65" s="1277">
        <f t="shared" si="56"/>
        <v>-36.867863</v>
      </c>
      <c r="V65" s="1277">
        <f t="shared" si="56"/>
        <v>-28.939845000000002</v>
      </c>
      <c r="W65" s="1277">
        <f t="shared" si="56"/>
        <v>7.6815180000000005</v>
      </c>
      <c r="X65" s="1277">
        <f t="shared" si="56"/>
        <v>-8.6894910000000003</v>
      </c>
      <c r="Y65" s="1277">
        <f t="shared" si="56"/>
        <v>0</v>
      </c>
      <c r="Z65" s="1277">
        <f t="shared" si="56"/>
        <v>0</v>
      </c>
    </row>
    <row r="66" spans="1:26" ht="15.6" customHeight="1" thickBot="1">
      <c r="A66" s="1530" t="s">
        <v>2912</v>
      </c>
      <c r="B66" s="1418"/>
      <c r="C66" s="570"/>
      <c r="D66" s="570"/>
      <c r="E66" s="570"/>
      <c r="F66" s="570"/>
      <c r="G66" s="570"/>
      <c r="H66" s="570"/>
      <c r="I66" s="691"/>
      <c r="J66" s="570"/>
      <c r="K66" s="570"/>
      <c r="L66" s="570"/>
      <c r="M66" s="570"/>
      <c r="N66" s="570"/>
      <c r="O66" s="1277">
        <f t="shared" si="55"/>
        <v>0</v>
      </c>
      <c r="P66" s="1277">
        <f t="shared" si="55"/>
        <v>0</v>
      </c>
      <c r="Q66" s="1277">
        <f t="shared" si="55"/>
        <v>0</v>
      </c>
      <c r="R66" s="1277">
        <f t="shared" si="55"/>
        <v>0</v>
      </c>
      <c r="S66" s="1277">
        <f t="shared" si="55"/>
        <v>0</v>
      </c>
      <c r="T66" s="1277">
        <f t="shared" si="55"/>
        <v>0</v>
      </c>
      <c r="U66" s="1277">
        <f t="shared" si="55"/>
        <v>0</v>
      </c>
      <c r="V66" s="1277">
        <f t="shared" si="55"/>
        <v>0</v>
      </c>
      <c r="W66" s="1277">
        <f t="shared" si="55"/>
        <v>0</v>
      </c>
      <c r="X66" s="1277">
        <f t="shared" si="55"/>
        <v>0</v>
      </c>
      <c r="Y66" s="1277">
        <f t="shared" si="55"/>
        <v>0</v>
      </c>
      <c r="Z66" s="1277">
        <f t="shared" si="55"/>
        <v>0</v>
      </c>
    </row>
    <row r="67" spans="1:26" ht="15.6" customHeight="1" thickBot="1">
      <c r="A67" s="1530" t="s">
        <v>2913</v>
      </c>
      <c r="B67" s="1418"/>
      <c r="C67" s="570"/>
      <c r="D67" s="570"/>
      <c r="E67" s="570"/>
      <c r="F67" s="570"/>
      <c r="G67" s="570"/>
      <c r="H67" s="570"/>
      <c r="I67" s="691"/>
      <c r="J67" s="570"/>
      <c r="K67" s="570"/>
      <c r="L67" s="570"/>
      <c r="M67" s="570"/>
      <c r="N67" s="570"/>
      <c r="O67" s="1277">
        <f t="shared" si="55"/>
        <v>0</v>
      </c>
      <c r="P67" s="1277">
        <f t="shared" si="55"/>
        <v>0</v>
      </c>
      <c r="Q67" s="1277">
        <f t="shared" si="55"/>
        <v>0</v>
      </c>
      <c r="R67" s="1277">
        <f t="shared" si="55"/>
        <v>0</v>
      </c>
      <c r="S67" s="1277">
        <f t="shared" si="55"/>
        <v>0</v>
      </c>
      <c r="T67" s="1277">
        <f t="shared" si="55"/>
        <v>0</v>
      </c>
      <c r="U67" s="1277">
        <f t="shared" si="55"/>
        <v>0</v>
      </c>
      <c r="V67" s="1277">
        <f t="shared" si="55"/>
        <v>0</v>
      </c>
      <c r="W67" s="1277">
        <f t="shared" si="55"/>
        <v>0</v>
      </c>
      <c r="X67" s="1277">
        <f t="shared" si="55"/>
        <v>0</v>
      </c>
      <c r="Y67" s="1277">
        <f t="shared" si="55"/>
        <v>0</v>
      </c>
      <c r="Z67" s="1277">
        <f t="shared" si="55"/>
        <v>0</v>
      </c>
    </row>
    <row r="68" spans="1:26" ht="15.6" customHeight="1" thickBot="1">
      <c r="A68" s="1533" t="s">
        <v>2929</v>
      </c>
      <c r="B68" s="1418"/>
      <c r="C68" s="570"/>
      <c r="D68" s="570"/>
      <c r="E68" s="570"/>
      <c r="F68" s="570"/>
      <c r="G68" s="570"/>
      <c r="H68" s="570"/>
      <c r="I68" s="691"/>
      <c r="J68" s="570"/>
      <c r="K68" s="570"/>
      <c r="L68" s="570"/>
      <c r="M68" s="570"/>
      <c r="N68" s="570"/>
      <c r="O68" s="1277">
        <f t="shared" ref="O68:Z68" si="57">C68-B68</f>
        <v>0</v>
      </c>
      <c r="P68" s="1277">
        <f t="shared" si="57"/>
        <v>0</v>
      </c>
      <c r="Q68" s="1277">
        <f t="shared" si="57"/>
        <v>0</v>
      </c>
      <c r="R68" s="1277">
        <f t="shared" si="57"/>
        <v>0</v>
      </c>
      <c r="S68" s="1277">
        <f t="shared" si="57"/>
        <v>0</v>
      </c>
      <c r="T68" s="1277">
        <f t="shared" si="57"/>
        <v>0</v>
      </c>
      <c r="U68" s="1277">
        <f t="shared" si="57"/>
        <v>0</v>
      </c>
      <c r="V68" s="1277">
        <f t="shared" si="57"/>
        <v>0</v>
      </c>
      <c r="W68" s="1277">
        <f t="shared" si="57"/>
        <v>0</v>
      </c>
      <c r="X68" s="1277">
        <f t="shared" si="57"/>
        <v>0</v>
      </c>
      <c r="Y68" s="1277">
        <f t="shared" si="57"/>
        <v>0</v>
      </c>
      <c r="Z68" s="1277">
        <f t="shared" si="57"/>
        <v>0</v>
      </c>
    </row>
    <row r="69" spans="1:26" ht="15.6" customHeight="1" thickBot="1">
      <c r="A69" s="1530" t="s">
        <v>2914</v>
      </c>
      <c r="B69" s="1418"/>
      <c r="C69" s="570"/>
      <c r="D69" s="570"/>
      <c r="E69" s="570"/>
      <c r="F69" s="570"/>
      <c r="G69" s="570"/>
      <c r="H69" s="1418"/>
      <c r="I69" s="691"/>
      <c r="J69" s="691"/>
      <c r="K69" s="570"/>
      <c r="L69" s="570"/>
      <c r="M69" s="570"/>
      <c r="N69" s="570"/>
      <c r="O69" s="1277">
        <f t="shared" si="55"/>
        <v>0</v>
      </c>
      <c r="P69" s="1277">
        <f t="shared" si="55"/>
        <v>0</v>
      </c>
      <c r="Q69" s="1277">
        <f t="shared" si="55"/>
        <v>0</v>
      </c>
      <c r="R69" s="1277">
        <f t="shared" si="55"/>
        <v>0</v>
      </c>
      <c r="S69" s="1277">
        <f t="shared" si="55"/>
        <v>0</v>
      </c>
      <c r="T69" s="1277">
        <f t="shared" si="55"/>
        <v>0</v>
      </c>
      <c r="U69" s="1277">
        <f t="shared" si="55"/>
        <v>0</v>
      </c>
      <c r="V69" s="1277">
        <f t="shared" si="55"/>
        <v>0</v>
      </c>
      <c r="W69" s="1277">
        <f t="shared" si="55"/>
        <v>0</v>
      </c>
      <c r="X69" s="1277">
        <f t="shared" si="55"/>
        <v>0</v>
      </c>
      <c r="Y69" s="1277">
        <f t="shared" si="55"/>
        <v>0</v>
      </c>
      <c r="Z69" s="1277">
        <f t="shared" si="55"/>
        <v>0</v>
      </c>
    </row>
    <row r="70" spans="1:26" ht="15.6" customHeight="1" thickBot="1">
      <c r="A70" s="711" t="s">
        <v>2928</v>
      </c>
      <c r="B70" s="570"/>
      <c r="C70" s="570"/>
      <c r="D70" s="570"/>
      <c r="E70" s="570"/>
      <c r="F70" s="570"/>
      <c r="G70" s="570"/>
      <c r="H70" s="570"/>
      <c r="I70" s="570"/>
      <c r="J70" s="570"/>
      <c r="K70" s="570"/>
      <c r="L70" s="570"/>
      <c r="M70" s="570"/>
      <c r="N70" s="570"/>
      <c r="O70" s="1277">
        <f t="shared" ref="O70:O81" si="58">C70-B70</f>
        <v>0</v>
      </c>
      <c r="P70" s="1277">
        <f t="shared" ref="P70:P81" si="59">D70-C70</f>
        <v>0</v>
      </c>
      <c r="Q70" s="1277">
        <f t="shared" ref="Q70:Q81" si="60">E70-D70</f>
        <v>0</v>
      </c>
      <c r="R70" s="1277">
        <f t="shared" ref="R70:R81" si="61">F70-E70</f>
        <v>0</v>
      </c>
      <c r="S70" s="1277">
        <f t="shared" ref="S70:S81" si="62">G70-F70</f>
        <v>0</v>
      </c>
      <c r="T70" s="1277">
        <f t="shared" ref="T70:T81" si="63">H70-G70</f>
        <v>0</v>
      </c>
      <c r="U70" s="1277">
        <f t="shared" ref="U70:U81" si="64">I70-H70</f>
        <v>0</v>
      </c>
      <c r="V70" s="1277">
        <f t="shared" ref="V70:V81" si="65">J70-I70</f>
        <v>0</v>
      </c>
      <c r="W70" s="1277">
        <f t="shared" ref="W70:W81" si="66">K70-J70</f>
        <v>0</v>
      </c>
      <c r="X70" s="1277">
        <f t="shared" ref="X70:Z81" si="67">L70-K70</f>
        <v>0</v>
      </c>
      <c r="Y70" s="1277">
        <f t="shared" si="67"/>
        <v>0</v>
      </c>
      <c r="Z70" s="1277">
        <f t="shared" si="67"/>
        <v>0</v>
      </c>
    </row>
    <row r="71" spans="1:26" ht="15.6" customHeight="1" thickBot="1">
      <c r="A71" s="3" t="s">
        <v>1642</v>
      </c>
      <c r="B71" s="570"/>
      <c r="C71" s="570"/>
      <c r="D71" s="570"/>
      <c r="E71" s="570"/>
      <c r="F71" s="570"/>
      <c r="G71" s="570"/>
      <c r="H71" s="570"/>
      <c r="I71" s="570"/>
      <c r="J71" s="570"/>
      <c r="K71" s="570"/>
      <c r="L71" s="570"/>
      <c r="M71" s="570"/>
      <c r="N71" s="570"/>
      <c r="O71" s="1277">
        <f t="shared" si="58"/>
        <v>0</v>
      </c>
      <c r="P71" s="1277">
        <f t="shared" si="59"/>
        <v>0</v>
      </c>
      <c r="Q71" s="1277">
        <f t="shared" si="60"/>
        <v>0</v>
      </c>
      <c r="R71" s="1277">
        <f t="shared" si="61"/>
        <v>0</v>
      </c>
      <c r="S71" s="1277">
        <f t="shared" si="62"/>
        <v>0</v>
      </c>
      <c r="T71" s="1277">
        <f t="shared" si="63"/>
        <v>0</v>
      </c>
      <c r="U71" s="1277">
        <f t="shared" si="64"/>
        <v>0</v>
      </c>
      <c r="V71" s="1277">
        <f t="shared" si="65"/>
        <v>0</v>
      </c>
      <c r="W71" s="1277">
        <f t="shared" si="66"/>
        <v>0</v>
      </c>
      <c r="X71" s="1277">
        <f t="shared" si="67"/>
        <v>0</v>
      </c>
      <c r="Y71" s="1277">
        <f t="shared" si="67"/>
        <v>0</v>
      </c>
      <c r="Z71" s="1277">
        <f t="shared" si="67"/>
        <v>0</v>
      </c>
    </row>
    <row r="72" spans="1:26" ht="13.5" thickBot="1">
      <c r="A72" s="3"/>
      <c r="B72" s="570">
        <v>0</v>
      </c>
      <c r="C72" s="570">
        <v>0</v>
      </c>
      <c r="D72" s="570">
        <v>0</v>
      </c>
      <c r="E72" s="570">
        <v>0</v>
      </c>
      <c r="F72" s="570">
        <v>0</v>
      </c>
      <c r="G72" s="570">
        <v>0</v>
      </c>
      <c r="H72" s="570">
        <v>0</v>
      </c>
      <c r="I72" s="570">
        <v>0</v>
      </c>
      <c r="J72" s="570">
        <v>0</v>
      </c>
      <c r="K72" s="570">
        <v>0</v>
      </c>
      <c r="L72" s="570">
        <v>0</v>
      </c>
      <c r="M72" s="570">
        <v>0</v>
      </c>
      <c r="N72" s="570">
        <v>0</v>
      </c>
      <c r="O72" s="1277">
        <f t="shared" si="58"/>
        <v>0</v>
      </c>
      <c r="P72" s="1277">
        <f t="shared" si="59"/>
        <v>0</v>
      </c>
      <c r="Q72" s="1277">
        <f t="shared" si="60"/>
        <v>0</v>
      </c>
      <c r="R72" s="1277">
        <f t="shared" si="61"/>
        <v>0</v>
      </c>
      <c r="S72" s="1277">
        <f t="shared" si="62"/>
        <v>0</v>
      </c>
      <c r="T72" s="1277">
        <f t="shared" si="63"/>
        <v>0</v>
      </c>
      <c r="U72" s="1277">
        <f t="shared" si="64"/>
        <v>0</v>
      </c>
      <c r="V72" s="1277">
        <f t="shared" si="65"/>
        <v>0</v>
      </c>
      <c r="W72" s="1277">
        <f t="shared" si="66"/>
        <v>0</v>
      </c>
      <c r="X72" s="1277">
        <f t="shared" si="67"/>
        <v>0</v>
      </c>
      <c r="Y72" s="1277">
        <f t="shared" si="67"/>
        <v>0</v>
      </c>
      <c r="Z72" s="1277">
        <f t="shared" si="67"/>
        <v>0</v>
      </c>
    </row>
    <row r="73" spans="1:26" ht="15.75" thickBot="1">
      <c r="A73" s="1588" t="s">
        <v>2992</v>
      </c>
      <c r="B73" s="1418"/>
      <c r="C73" s="1418"/>
      <c r="D73" s="1418"/>
      <c r="E73" s="1418"/>
      <c r="F73" s="1418"/>
      <c r="G73" s="1418"/>
      <c r="H73" s="1418"/>
      <c r="I73" s="1418"/>
      <c r="J73" s="1418"/>
      <c r="K73" s="1418"/>
      <c r="L73" s="1418"/>
      <c r="M73" s="1418"/>
      <c r="N73" s="1418"/>
      <c r="O73" s="1277">
        <f t="shared" ref="O73:Z74" si="68">C73-B73</f>
        <v>0</v>
      </c>
      <c r="P73" s="1277">
        <f t="shared" si="68"/>
        <v>0</v>
      </c>
      <c r="Q73" s="1277">
        <f t="shared" si="68"/>
        <v>0</v>
      </c>
      <c r="R73" s="1277">
        <f t="shared" si="68"/>
        <v>0</v>
      </c>
      <c r="S73" s="1277">
        <f t="shared" si="68"/>
        <v>0</v>
      </c>
      <c r="T73" s="1277">
        <f t="shared" si="68"/>
        <v>0</v>
      </c>
      <c r="U73" s="1277">
        <f t="shared" si="68"/>
        <v>0</v>
      </c>
      <c r="V73" s="1277">
        <f t="shared" si="68"/>
        <v>0</v>
      </c>
      <c r="W73" s="1277">
        <f t="shared" si="68"/>
        <v>0</v>
      </c>
      <c r="X73" s="1277">
        <f t="shared" si="68"/>
        <v>0</v>
      </c>
      <c r="Y73" s="1277">
        <f t="shared" si="68"/>
        <v>0</v>
      </c>
      <c r="Z73" s="1277">
        <f t="shared" si="68"/>
        <v>0</v>
      </c>
    </row>
    <row r="74" spans="1:26" ht="15.75" thickBot="1">
      <c r="A74" s="1588" t="s">
        <v>3012</v>
      </c>
      <c r="B74" s="1418"/>
      <c r="C74" s="1418"/>
      <c r="D74" s="1418"/>
      <c r="E74" s="1418"/>
      <c r="F74" s="1418"/>
      <c r="G74" s="1418"/>
      <c r="H74" s="1418"/>
      <c r="I74" s="1418"/>
      <c r="J74" s="1418"/>
      <c r="K74" s="1418"/>
      <c r="L74" s="1418"/>
      <c r="M74" s="1418"/>
      <c r="N74" s="1418"/>
      <c r="O74" s="1277">
        <f t="shared" si="68"/>
        <v>0</v>
      </c>
      <c r="P74" s="1277">
        <f t="shared" si="68"/>
        <v>0</v>
      </c>
      <c r="Q74" s="1277">
        <f t="shared" si="68"/>
        <v>0</v>
      </c>
      <c r="R74" s="1277">
        <f t="shared" si="68"/>
        <v>0</v>
      </c>
      <c r="S74" s="1277">
        <f t="shared" si="68"/>
        <v>0</v>
      </c>
      <c r="T74" s="1277">
        <f t="shared" si="68"/>
        <v>0</v>
      </c>
      <c r="U74" s="1277">
        <f t="shared" si="68"/>
        <v>0</v>
      </c>
      <c r="V74" s="1277">
        <f t="shared" si="68"/>
        <v>0</v>
      </c>
      <c r="W74" s="1277">
        <f t="shared" si="68"/>
        <v>0</v>
      </c>
      <c r="X74" s="1277">
        <f t="shared" si="68"/>
        <v>0</v>
      </c>
      <c r="Y74" s="1277">
        <f t="shared" si="68"/>
        <v>0</v>
      </c>
      <c r="Z74" s="1277">
        <f t="shared" si="68"/>
        <v>0</v>
      </c>
    </row>
    <row r="75" spans="1:26" ht="13.5" thickBot="1">
      <c r="A75" s="1440" t="s">
        <v>156</v>
      </c>
      <c r="B75" s="701">
        <f t="shared" ref="B75:K75" si="69">B5+B18+B4+B73+B74</f>
        <v>8014.095217</v>
      </c>
      <c r="C75" s="701">
        <f t="shared" si="69"/>
        <v>2436.9130339999997</v>
      </c>
      <c r="D75" s="701">
        <f t="shared" si="69"/>
        <v>1999.2935580000001</v>
      </c>
      <c r="E75" s="701">
        <f t="shared" si="69"/>
        <v>7768.5220849999987</v>
      </c>
      <c r="F75" s="701">
        <f t="shared" si="69"/>
        <v>7647.9963079999989</v>
      </c>
      <c r="G75" s="701">
        <f t="shared" si="69"/>
        <v>7972.5512820000004</v>
      </c>
      <c r="H75" s="701">
        <f t="shared" si="69"/>
        <v>4033.0336550000006</v>
      </c>
      <c r="I75" s="701">
        <f t="shared" si="69"/>
        <v>2997.2974330000006</v>
      </c>
      <c r="J75" s="701">
        <f t="shared" si="69"/>
        <v>1306.157078</v>
      </c>
      <c r="K75" s="701">
        <f t="shared" si="69"/>
        <v>4462.1398410000002</v>
      </c>
      <c r="L75" s="701">
        <f>L5+L18+L4+L73+L74</f>
        <v>6836.6578720000007</v>
      </c>
      <c r="M75" s="701">
        <f>M5+M18+M4+M73+M74</f>
        <v>5417.9907540000004</v>
      </c>
      <c r="N75" s="701">
        <f>N5+N18+N4+N73+N74</f>
        <v>5360.8380709999983</v>
      </c>
      <c r="O75" s="1277">
        <f t="shared" si="58"/>
        <v>-5577.1821830000008</v>
      </c>
      <c r="P75" s="1277">
        <f t="shared" si="59"/>
        <v>-437.61947599999962</v>
      </c>
      <c r="Q75" s="1277">
        <f t="shared" si="60"/>
        <v>5769.2285269999984</v>
      </c>
      <c r="R75" s="1277">
        <f t="shared" si="61"/>
        <v>-120.52577699999983</v>
      </c>
      <c r="S75" s="1277">
        <f t="shared" si="62"/>
        <v>324.55497400000149</v>
      </c>
      <c r="T75" s="1277">
        <f t="shared" si="63"/>
        <v>-3939.5176269999997</v>
      </c>
      <c r="U75" s="1277">
        <f t="shared" si="64"/>
        <v>-1035.736222</v>
      </c>
      <c r="V75" s="1277">
        <f t="shared" si="65"/>
        <v>-1691.1403550000007</v>
      </c>
      <c r="W75" s="1277">
        <f t="shared" si="66"/>
        <v>3155.982763</v>
      </c>
      <c r="X75" s="1277">
        <f t="shared" si="67"/>
        <v>2374.5180310000005</v>
      </c>
      <c r="Y75" s="1277">
        <f t="shared" si="67"/>
        <v>-1418.6671180000003</v>
      </c>
      <c r="Z75" s="1277">
        <f t="shared" si="67"/>
        <v>-57.152683000002071</v>
      </c>
    </row>
    <row r="76" spans="1:26" ht="13.5" thickBot="1">
      <c r="A76" s="7"/>
      <c r="B76" s="570"/>
      <c r="C76" s="570"/>
      <c r="D76" s="570"/>
      <c r="E76" s="570"/>
      <c r="F76" s="570"/>
      <c r="G76" s="570"/>
      <c r="H76" s="570"/>
      <c r="I76" s="570"/>
      <c r="J76" s="570"/>
      <c r="K76" s="570"/>
      <c r="L76" s="570"/>
      <c r="M76" s="570"/>
      <c r="N76" s="570"/>
      <c r="O76" s="1277">
        <f t="shared" si="58"/>
        <v>0</v>
      </c>
      <c r="P76" s="1277">
        <f t="shared" si="59"/>
        <v>0</v>
      </c>
      <c r="Q76" s="1277">
        <f t="shared" si="60"/>
        <v>0</v>
      </c>
      <c r="R76" s="1277">
        <f t="shared" si="61"/>
        <v>0</v>
      </c>
      <c r="S76" s="1277">
        <f t="shared" si="62"/>
        <v>0</v>
      </c>
      <c r="T76" s="1277">
        <f t="shared" si="63"/>
        <v>0</v>
      </c>
      <c r="U76" s="1277">
        <f t="shared" si="64"/>
        <v>0</v>
      </c>
      <c r="V76" s="1277">
        <f t="shared" si="65"/>
        <v>0</v>
      </c>
      <c r="W76" s="1277">
        <f t="shared" si="66"/>
        <v>0</v>
      </c>
      <c r="X76" s="1277">
        <f t="shared" si="67"/>
        <v>0</v>
      </c>
      <c r="Y76" s="1277">
        <f t="shared" si="67"/>
        <v>0</v>
      </c>
      <c r="Z76" s="1277">
        <f t="shared" si="67"/>
        <v>0</v>
      </c>
    </row>
    <row r="77" spans="1:26" ht="13.5" thickBot="1">
      <c r="A77" s="1443" t="s">
        <v>1643</v>
      </c>
      <c r="B77" s="701">
        <f t="shared" ref="B77:K77" si="70">B80+B81</f>
        <v>6160.5</v>
      </c>
      <c r="C77" s="701">
        <f t="shared" si="70"/>
        <v>6160.5</v>
      </c>
      <c r="D77" s="704">
        <f t="shared" si="70"/>
        <v>6160.5</v>
      </c>
      <c r="E77" s="701">
        <f>E80+E81</f>
        <v>6160.5</v>
      </c>
      <c r="F77" s="701">
        <f t="shared" si="70"/>
        <v>6160.5</v>
      </c>
      <c r="G77" s="701">
        <f t="shared" si="70"/>
        <v>6160.5</v>
      </c>
      <c r="H77" s="701">
        <f t="shared" si="70"/>
        <v>6160.5</v>
      </c>
      <c r="I77" s="701">
        <f t="shared" si="70"/>
        <v>6160.5</v>
      </c>
      <c r="J77" s="701">
        <f t="shared" si="70"/>
        <v>6160.5</v>
      </c>
      <c r="K77" s="701">
        <f t="shared" si="70"/>
        <v>6160.5</v>
      </c>
      <c r="L77" s="701">
        <f>L80+L81</f>
        <v>6160.5</v>
      </c>
      <c r="M77" s="701">
        <f>M80+M81</f>
        <v>6160.5</v>
      </c>
      <c r="N77" s="701">
        <f>N80+N81</f>
        <v>6160.5</v>
      </c>
      <c r="O77" s="1277">
        <f t="shared" si="58"/>
        <v>0</v>
      </c>
      <c r="P77" s="1277">
        <f t="shared" si="59"/>
        <v>0</v>
      </c>
      <c r="Q77" s="1277">
        <f t="shared" si="60"/>
        <v>0</v>
      </c>
      <c r="R77" s="1277">
        <f t="shared" si="61"/>
        <v>0</v>
      </c>
      <c r="S77" s="1277">
        <f t="shared" si="62"/>
        <v>0</v>
      </c>
      <c r="T77" s="1277">
        <f t="shared" si="63"/>
        <v>0</v>
      </c>
      <c r="U77" s="1277">
        <f t="shared" si="64"/>
        <v>0</v>
      </c>
      <c r="V77" s="1277">
        <f t="shared" si="65"/>
        <v>0</v>
      </c>
      <c r="W77" s="1277">
        <f t="shared" si="66"/>
        <v>0</v>
      </c>
      <c r="X77" s="1277">
        <f t="shared" si="67"/>
        <v>0</v>
      </c>
      <c r="Y77" s="1277">
        <f t="shared" si="67"/>
        <v>0</v>
      </c>
      <c r="Z77" s="1277">
        <f t="shared" si="67"/>
        <v>0</v>
      </c>
    </row>
    <row r="78" spans="1:26" ht="13.5" thickBot="1">
      <c r="A78" s="7"/>
      <c r="B78" s="570"/>
      <c r="C78" s="570"/>
      <c r="D78" s="570"/>
      <c r="E78" s="570"/>
      <c r="F78" s="570"/>
      <c r="G78" s="570"/>
      <c r="H78" s="570"/>
      <c r="I78" s="570"/>
      <c r="J78" s="570"/>
      <c r="K78" s="570"/>
      <c r="L78" s="570"/>
      <c r="M78" s="570"/>
      <c r="N78" s="570"/>
      <c r="O78" s="1277">
        <f t="shared" si="58"/>
        <v>0</v>
      </c>
      <c r="P78" s="1277">
        <f t="shared" si="59"/>
        <v>0</v>
      </c>
      <c r="Q78" s="1277">
        <f t="shared" si="60"/>
        <v>0</v>
      </c>
      <c r="R78" s="1277">
        <f t="shared" si="61"/>
        <v>0</v>
      </c>
      <c r="S78" s="1277">
        <f t="shared" si="62"/>
        <v>0</v>
      </c>
      <c r="T78" s="1277">
        <f t="shared" si="63"/>
        <v>0</v>
      </c>
      <c r="U78" s="1277">
        <f t="shared" si="64"/>
        <v>0</v>
      </c>
      <c r="V78" s="1277">
        <f t="shared" si="65"/>
        <v>0</v>
      </c>
      <c r="W78" s="1277">
        <f t="shared" si="66"/>
        <v>0</v>
      </c>
      <c r="X78" s="1277">
        <f t="shared" si="67"/>
        <v>0</v>
      </c>
      <c r="Y78" s="1277">
        <f t="shared" si="67"/>
        <v>0</v>
      </c>
      <c r="Z78" s="1277">
        <f t="shared" si="67"/>
        <v>0</v>
      </c>
    </row>
    <row r="79" spans="1:26" ht="13.5" thickBot="1">
      <c r="A79" s="7" t="s">
        <v>1644</v>
      </c>
      <c r="B79" s="570"/>
      <c r="C79" s="570"/>
      <c r="D79" s="570"/>
      <c r="E79" s="570"/>
      <c r="F79" s="570"/>
      <c r="G79" s="570"/>
      <c r="H79" s="570"/>
      <c r="I79" s="570"/>
      <c r="J79" s="570"/>
      <c r="K79" s="570"/>
      <c r="L79" s="570"/>
      <c r="M79" s="570"/>
      <c r="N79" s="570"/>
      <c r="O79" s="1277">
        <f t="shared" si="58"/>
        <v>0</v>
      </c>
      <c r="P79" s="1277">
        <f t="shared" si="59"/>
        <v>0</v>
      </c>
      <c r="Q79" s="1277">
        <f t="shared" si="60"/>
        <v>0</v>
      </c>
      <c r="R79" s="1277">
        <f t="shared" si="61"/>
        <v>0</v>
      </c>
      <c r="S79" s="1277">
        <f t="shared" si="62"/>
        <v>0</v>
      </c>
      <c r="T79" s="1277">
        <f t="shared" si="63"/>
        <v>0</v>
      </c>
      <c r="U79" s="1277">
        <f t="shared" si="64"/>
        <v>0</v>
      </c>
      <c r="V79" s="1277">
        <f t="shared" si="65"/>
        <v>0</v>
      </c>
      <c r="W79" s="1277">
        <f t="shared" si="66"/>
        <v>0</v>
      </c>
      <c r="X79" s="1277">
        <f t="shared" si="67"/>
        <v>0</v>
      </c>
      <c r="Y79" s="1277">
        <f t="shared" si="67"/>
        <v>0</v>
      </c>
      <c r="Z79" s="1277">
        <f t="shared" si="67"/>
        <v>0</v>
      </c>
    </row>
    <row r="80" spans="1:26" ht="13.5" thickBot="1">
      <c r="A80" s="7" t="s">
        <v>1645</v>
      </c>
      <c r="B80" s="570">
        <v>1105.2</v>
      </c>
      <c r="C80" s="570">
        <v>1105.2</v>
      </c>
      <c r="D80" s="570">
        <v>1105.2</v>
      </c>
      <c r="E80" s="570">
        <v>1105.2</v>
      </c>
      <c r="F80" s="570">
        <v>1105.2</v>
      </c>
      <c r="G80" s="570">
        <v>1105.2</v>
      </c>
      <c r="H80" s="570">
        <v>1105.2</v>
      </c>
      <c r="I80" s="570">
        <v>1105.2</v>
      </c>
      <c r="J80" s="570">
        <v>1105.2</v>
      </c>
      <c r="K80" s="570">
        <v>1105.2</v>
      </c>
      <c r="L80" s="570">
        <v>1105.2</v>
      </c>
      <c r="M80" s="570">
        <v>1105.2</v>
      </c>
      <c r="N80" s="570">
        <v>1105.2</v>
      </c>
      <c r="O80" s="1277">
        <f t="shared" si="58"/>
        <v>0</v>
      </c>
      <c r="P80" s="1277">
        <f t="shared" si="59"/>
        <v>0</v>
      </c>
      <c r="Q80" s="1277">
        <f t="shared" si="60"/>
        <v>0</v>
      </c>
      <c r="R80" s="1277">
        <f t="shared" si="61"/>
        <v>0</v>
      </c>
      <c r="S80" s="1277">
        <f t="shared" si="62"/>
        <v>0</v>
      </c>
      <c r="T80" s="1277">
        <f t="shared" si="63"/>
        <v>0</v>
      </c>
      <c r="U80" s="1277">
        <f t="shared" si="64"/>
        <v>0</v>
      </c>
      <c r="V80" s="1277">
        <f t="shared" si="65"/>
        <v>0</v>
      </c>
      <c r="W80" s="1277">
        <f t="shared" si="66"/>
        <v>0</v>
      </c>
      <c r="X80" s="1277">
        <f t="shared" si="67"/>
        <v>0</v>
      </c>
      <c r="Y80" s="1277">
        <f t="shared" si="67"/>
        <v>0</v>
      </c>
      <c r="Z80" s="1277">
        <f t="shared" si="67"/>
        <v>0</v>
      </c>
    </row>
    <row r="81" spans="1:26" ht="13.5" thickBot="1">
      <c r="A81" s="7" t="s">
        <v>1646</v>
      </c>
      <c r="B81" s="570">
        <v>5055.3</v>
      </c>
      <c r="C81" s="570">
        <v>5055.3</v>
      </c>
      <c r="D81" s="570">
        <v>5055.3</v>
      </c>
      <c r="E81" s="570">
        <v>5055.3</v>
      </c>
      <c r="F81" s="570">
        <v>5055.3</v>
      </c>
      <c r="G81" s="570">
        <v>5055.3</v>
      </c>
      <c r="H81" s="570">
        <v>5055.3</v>
      </c>
      <c r="I81" s="570">
        <v>5055.3</v>
      </c>
      <c r="J81" s="570">
        <v>5055.3</v>
      </c>
      <c r="K81" s="570">
        <v>5055.3</v>
      </c>
      <c r="L81" s="570">
        <v>5055.3</v>
      </c>
      <c r="M81" s="570">
        <v>5055.3</v>
      </c>
      <c r="N81" s="570">
        <v>5055.3</v>
      </c>
      <c r="O81" s="1277">
        <f t="shared" si="58"/>
        <v>0</v>
      </c>
      <c r="P81" s="1277">
        <f t="shared" si="59"/>
        <v>0</v>
      </c>
      <c r="Q81" s="1277">
        <f t="shared" si="60"/>
        <v>0</v>
      </c>
      <c r="R81" s="1277">
        <f t="shared" si="61"/>
        <v>0</v>
      </c>
      <c r="S81" s="1277">
        <f t="shared" si="62"/>
        <v>0</v>
      </c>
      <c r="T81" s="1277">
        <f t="shared" si="63"/>
        <v>0</v>
      </c>
      <c r="U81" s="1277">
        <f t="shared" si="64"/>
        <v>0</v>
      </c>
      <c r="V81" s="1277">
        <f t="shared" si="65"/>
        <v>0</v>
      </c>
      <c r="W81" s="1277">
        <f t="shared" si="66"/>
        <v>0</v>
      </c>
      <c r="X81" s="1277">
        <f t="shared" si="67"/>
        <v>0</v>
      </c>
      <c r="Y81" s="1277">
        <f t="shared" si="67"/>
        <v>0</v>
      </c>
      <c r="Z81" s="1277">
        <f t="shared" si="67"/>
        <v>0</v>
      </c>
    </row>
    <row r="82" spans="1:26" ht="13.5" thickBot="1">
      <c r="A82" s="1443" t="s">
        <v>1647</v>
      </c>
      <c r="B82" s="703">
        <f t="shared" ref="B82:N82" si="71">B83+B96+B105+B113+B110+B111+B118</f>
        <v>106870.013097</v>
      </c>
      <c r="C82" s="703">
        <f t="shared" si="71"/>
        <v>106751.88506199999</v>
      </c>
      <c r="D82" s="703">
        <f t="shared" si="71"/>
        <v>110122.22373100001</v>
      </c>
      <c r="E82" s="703">
        <f t="shared" si="71"/>
        <v>119853.88682499999</v>
      </c>
      <c r="F82" s="703">
        <f t="shared" si="71"/>
        <v>124055.81569600001</v>
      </c>
      <c r="G82" s="703">
        <f t="shared" si="71"/>
        <v>98509.139051000006</v>
      </c>
      <c r="H82" s="703">
        <f t="shared" si="71"/>
        <v>92010.388915000003</v>
      </c>
      <c r="I82" s="703">
        <f t="shared" si="71"/>
        <v>91131.052221999998</v>
      </c>
      <c r="J82" s="703">
        <f t="shared" si="71"/>
        <v>90448.511352999994</v>
      </c>
      <c r="K82" s="703">
        <f t="shared" si="71"/>
        <v>97586.99880999999</v>
      </c>
      <c r="L82" s="703">
        <f t="shared" si="71"/>
        <v>103901.65793699998</v>
      </c>
      <c r="M82" s="703">
        <f t="shared" si="71"/>
        <v>104965.81931599999</v>
      </c>
      <c r="N82" s="703">
        <f t="shared" si="71"/>
        <v>114808.04217999999</v>
      </c>
      <c r="O82" s="703">
        <f>+C82-B82</f>
        <v>-118.1280350000161</v>
      </c>
      <c r="P82" s="703">
        <f t="shared" ref="P82:Z82" si="72">+D82-C82</f>
        <v>3370.3386690000189</v>
      </c>
      <c r="Q82" s="703">
        <f t="shared" si="72"/>
        <v>9731.6630939999886</v>
      </c>
      <c r="R82" s="703">
        <f t="shared" si="72"/>
        <v>4201.928871000011</v>
      </c>
      <c r="S82" s="703">
        <f t="shared" si="72"/>
        <v>-25546.676645</v>
      </c>
      <c r="T82" s="703">
        <f t="shared" si="72"/>
        <v>-6498.7501360000024</v>
      </c>
      <c r="U82" s="703">
        <f t="shared" si="72"/>
        <v>-879.33669300000474</v>
      </c>
      <c r="V82" s="703">
        <f t="shared" si="72"/>
        <v>-682.54086900000402</v>
      </c>
      <c r="W82" s="703">
        <f t="shared" si="72"/>
        <v>7138.4874569999956</v>
      </c>
      <c r="X82" s="703">
        <f t="shared" si="72"/>
        <v>6314.6591269999917</v>
      </c>
      <c r="Y82" s="703">
        <f t="shared" si="72"/>
        <v>1064.1613790000119</v>
      </c>
      <c r="Z82" s="703">
        <f t="shared" si="72"/>
        <v>9842.2228639999958</v>
      </c>
    </row>
    <row r="83" spans="1:26" ht="13.5" thickBot="1">
      <c r="A83" s="1441" t="s">
        <v>1080</v>
      </c>
      <c r="B83" s="1400">
        <v>29330.560518000002</v>
      </c>
      <c r="C83" s="1400">
        <v>29411.945227</v>
      </c>
      <c r="D83" s="1400">
        <v>29537.180843000002</v>
      </c>
      <c r="E83" s="1400">
        <v>30738.083957000003</v>
      </c>
      <c r="F83" s="1400">
        <v>30935.263830999997</v>
      </c>
      <c r="G83" s="1400">
        <v>5646.8616920000004</v>
      </c>
      <c r="H83" s="1400">
        <v>5943.744659</v>
      </c>
      <c r="I83" s="1400">
        <v>6222.9122139999999</v>
      </c>
      <c r="J83" s="1400">
        <v>6050.8347130000002</v>
      </c>
      <c r="K83" s="1400">
        <v>5570.5367930000002</v>
      </c>
      <c r="L83" s="1400">
        <v>5458.9066569999995</v>
      </c>
      <c r="M83" s="1400">
        <v>5989.8039060000001</v>
      </c>
      <c r="N83" s="1400">
        <v>9092.105544</v>
      </c>
      <c r="O83" s="1277">
        <f t="shared" ref="O83:V83" si="73">C83-B83</f>
        <v>81.384708999998111</v>
      </c>
      <c r="P83" s="1277">
        <f t="shared" si="73"/>
        <v>125.23561600000176</v>
      </c>
      <c r="Q83" s="1277">
        <f t="shared" si="73"/>
        <v>1200.9031140000006</v>
      </c>
      <c r="R83" s="1277">
        <f t="shared" si="73"/>
        <v>197.17987399999402</v>
      </c>
      <c r="S83" s="1277">
        <f t="shared" si="73"/>
        <v>-25288.402138999998</v>
      </c>
      <c r="T83" s="1277">
        <f t="shared" si="73"/>
        <v>296.88296699999955</v>
      </c>
      <c r="U83" s="1277">
        <f t="shared" si="73"/>
        <v>279.16755499999999</v>
      </c>
      <c r="V83" s="1277">
        <f t="shared" si="73"/>
        <v>-172.07750099999976</v>
      </c>
      <c r="W83" s="1277">
        <f t="shared" ref="W83:Z84" si="74">K83-J83</f>
        <v>-480.29791999999998</v>
      </c>
      <c r="X83" s="1277">
        <f t="shared" si="74"/>
        <v>-111.63013600000068</v>
      </c>
      <c r="Y83" s="1277">
        <f t="shared" si="74"/>
        <v>530.89724900000056</v>
      </c>
      <c r="Z83" s="1277">
        <f t="shared" si="74"/>
        <v>3102.3016379999999</v>
      </c>
    </row>
    <row r="84" spans="1:26" ht="13.5" thickBot="1">
      <c r="A84" s="1581" t="s">
        <v>2973</v>
      </c>
      <c r="B84" s="690">
        <v>1462.5852179999999</v>
      </c>
      <c r="C84" s="690">
        <v>1678.2316510000001</v>
      </c>
      <c r="D84" s="690">
        <v>1618.6638929999999</v>
      </c>
      <c r="E84" s="690">
        <v>1170.819643</v>
      </c>
      <c r="F84" s="690">
        <v>1469.512287</v>
      </c>
      <c r="G84" s="690">
        <v>702.43811500000004</v>
      </c>
      <c r="H84" s="690">
        <v>1050.1757580000001</v>
      </c>
      <c r="I84" s="690">
        <v>1380.2367899999999</v>
      </c>
      <c r="J84" s="690">
        <v>1397.537605</v>
      </c>
      <c r="K84" s="690">
        <v>969.08367199999998</v>
      </c>
      <c r="L84" s="690"/>
      <c r="M84" s="690"/>
      <c r="N84" s="690"/>
      <c r="O84" s="1277">
        <f t="shared" ref="O84:V84" si="75">C84-B84</f>
        <v>215.64643300000012</v>
      </c>
      <c r="P84" s="1277">
        <f t="shared" si="75"/>
        <v>-59.56775800000014</v>
      </c>
      <c r="Q84" s="1277">
        <f t="shared" si="75"/>
        <v>-447.84424999999987</v>
      </c>
      <c r="R84" s="1277">
        <f t="shared" si="75"/>
        <v>298.69264399999997</v>
      </c>
      <c r="S84" s="1277">
        <f t="shared" si="75"/>
        <v>-767.07417199999998</v>
      </c>
      <c r="T84" s="1277">
        <f t="shared" si="75"/>
        <v>347.73764300000005</v>
      </c>
      <c r="U84" s="1277">
        <f t="shared" si="75"/>
        <v>330.06103199999984</v>
      </c>
      <c r="V84" s="1277">
        <f t="shared" si="75"/>
        <v>17.300815000000057</v>
      </c>
      <c r="W84" s="1277">
        <f t="shared" si="74"/>
        <v>-428.45393300000001</v>
      </c>
      <c r="X84" s="1277">
        <f t="shared" si="74"/>
        <v>-969.08367199999998</v>
      </c>
      <c r="Y84" s="1277">
        <f t="shared" si="74"/>
        <v>0</v>
      </c>
      <c r="Z84" s="1277">
        <f t="shared" si="74"/>
        <v>0</v>
      </c>
    </row>
    <row r="85" spans="1:26" ht="13.5" thickBot="1">
      <c r="A85" s="1581" t="s">
        <v>2974</v>
      </c>
      <c r="B85" s="690">
        <v>0</v>
      </c>
      <c r="C85" s="690">
        <v>0</v>
      </c>
      <c r="D85" s="690">
        <v>89.024921000000006</v>
      </c>
      <c r="E85" s="690">
        <v>0</v>
      </c>
      <c r="F85" s="690">
        <v>0</v>
      </c>
      <c r="G85" s="690">
        <v>0</v>
      </c>
      <c r="H85" s="690">
        <v>0</v>
      </c>
      <c r="I85" s="690">
        <v>0.28785300000000003</v>
      </c>
      <c r="J85" s="690">
        <v>0</v>
      </c>
      <c r="K85" s="690">
        <v>0</v>
      </c>
      <c r="L85" s="690"/>
      <c r="M85" s="690"/>
      <c r="N85" s="690"/>
      <c r="O85" s="1277">
        <f t="shared" ref="O85:Z86" si="76">C85-B85</f>
        <v>0</v>
      </c>
      <c r="P85" s="1277">
        <f t="shared" si="76"/>
        <v>89.024921000000006</v>
      </c>
      <c r="Q85" s="1277">
        <f t="shared" si="76"/>
        <v>-89.024921000000006</v>
      </c>
      <c r="R85" s="1277">
        <f t="shared" si="76"/>
        <v>0</v>
      </c>
      <c r="S85" s="1277">
        <f t="shared" si="76"/>
        <v>0</v>
      </c>
      <c r="T85" s="1277">
        <f t="shared" si="76"/>
        <v>0</v>
      </c>
      <c r="U85" s="1277">
        <f t="shared" si="76"/>
        <v>0.28785300000000003</v>
      </c>
      <c r="V85" s="1277">
        <f t="shared" si="76"/>
        <v>-0.28785300000000003</v>
      </c>
      <c r="W85" s="1277">
        <f t="shared" si="76"/>
        <v>0</v>
      </c>
      <c r="X85" s="1277">
        <f t="shared" si="76"/>
        <v>0</v>
      </c>
      <c r="Y85" s="1277">
        <f t="shared" si="76"/>
        <v>0</v>
      </c>
      <c r="Z85" s="1277">
        <f t="shared" si="76"/>
        <v>0</v>
      </c>
    </row>
    <row r="86" spans="1:26" ht="13.5" thickBot="1">
      <c r="A86" s="1581" t="s">
        <v>2975</v>
      </c>
      <c r="B86" s="690">
        <v>1876.878183</v>
      </c>
      <c r="C86" s="690">
        <v>1742.6164590000001</v>
      </c>
      <c r="D86" s="690">
        <v>120.88784200000001</v>
      </c>
      <c r="E86" s="690">
        <v>97.033439000000001</v>
      </c>
      <c r="F86" s="690">
        <v>79.995935000000003</v>
      </c>
      <c r="G86" s="690">
        <v>0</v>
      </c>
      <c r="H86" s="690">
        <v>0</v>
      </c>
      <c r="I86" s="690">
        <v>0</v>
      </c>
      <c r="J86" s="690">
        <v>0</v>
      </c>
      <c r="K86" s="690">
        <v>0</v>
      </c>
      <c r="L86" s="690"/>
      <c r="M86" s="690"/>
      <c r="N86" s="690"/>
      <c r="O86" s="1277">
        <f t="shared" si="76"/>
        <v>-134.26172399999996</v>
      </c>
      <c r="P86" s="1277">
        <f t="shared" si="76"/>
        <v>-1621.728617</v>
      </c>
      <c r="Q86" s="1277">
        <f t="shared" si="76"/>
        <v>-23.854403000000005</v>
      </c>
      <c r="R86" s="1277">
        <f t="shared" si="76"/>
        <v>-17.037503999999998</v>
      </c>
      <c r="S86" s="1277">
        <f t="shared" si="76"/>
        <v>-79.995935000000003</v>
      </c>
      <c r="T86" s="1277">
        <f t="shared" si="76"/>
        <v>0</v>
      </c>
      <c r="U86" s="1277">
        <f t="shared" si="76"/>
        <v>0</v>
      </c>
      <c r="V86" s="1277">
        <f t="shared" si="76"/>
        <v>0</v>
      </c>
      <c r="W86" s="1277">
        <f t="shared" si="76"/>
        <v>0</v>
      </c>
      <c r="X86" s="1277">
        <f t="shared" si="76"/>
        <v>0</v>
      </c>
      <c r="Y86" s="1277">
        <f t="shared" si="76"/>
        <v>0</v>
      </c>
      <c r="Z86" s="1277">
        <f t="shared" si="76"/>
        <v>0</v>
      </c>
    </row>
    <row r="87" spans="1:26" ht="13.5" thickBot="1">
      <c r="A87" s="1581" t="s">
        <v>2976</v>
      </c>
      <c r="B87" s="690">
        <v>0</v>
      </c>
      <c r="C87" s="690">
        <v>0</v>
      </c>
      <c r="D87" s="690">
        <v>0</v>
      </c>
      <c r="E87" s="690">
        <v>0</v>
      </c>
      <c r="F87" s="690">
        <v>0</v>
      </c>
      <c r="G87" s="690">
        <v>0</v>
      </c>
      <c r="H87" s="690">
        <v>0</v>
      </c>
      <c r="I87" s="690">
        <v>0</v>
      </c>
      <c r="J87" s="690">
        <v>0</v>
      </c>
      <c r="K87" s="690">
        <v>0</v>
      </c>
      <c r="L87" s="690"/>
      <c r="M87" s="690"/>
      <c r="N87" s="690"/>
      <c r="O87" s="1277">
        <f t="shared" ref="O87:O92" si="77">C87-B87</f>
        <v>0</v>
      </c>
      <c r="P87" s="1277">
        <f t="shared" ref="P87:P92" si="78">D87-C87</f>
        <v>0</v>
      </c>
      <c r="Q87" s="1277">
        <f t="shared" ref="Q87:Q92" si="79">E87-D87</f>
        <v>0</v>
      </c>
      <c r="R87" s="1277">
        <f t="shared" ref="R87:R92" si="80">F87-E87</f>
        <v>0</v>
      </c>
      <c r="S87" s="1277">
        <f t="shared" ref="S87:S92" si="81">G87-F87</f>
        <v>0</v>
      </c>
      <c r="T87" s="1277">
        <f t="shared" ref="T87:T92" si="82">H87-G87</f>
        <v>0</v>
      </c>
      <c r="U87" s="1277">
        <f t="shared" ref="U87:U92" si="83">I87-H87</f>
        <v>0</v>
      </c>
      <c r="V87" s="1277">
        <f t="shared" ref="V87:V92" si="84">J87-I87</f>
        <v>0</v>
      </c>
      <c r="W87" s="1277">
        <f t="shared" ref="W87:W92" si="85">K87-J87</f>
        <v>0</v>
      </c>
      <c r="X87" s="1277">
        <f t="shared" ref="X87:X92" si="86">L87-K87</f>
        <v>0</v>
      </c>
      <c r="Y87" s="1277">
        <f t="shared" ref="Y87:Y92" si="87">M87-L87</f>
        <v>0</v>
      </c>
      <c r="Z87" s="1277">
        <f t="shared" ref="Z87:Z92" si="88">N87-M87</f>
        <v>0</v>
      </c>
    </row>
    <row r="88" spans="1:26" ht="13.5" thickBot="1">
      <c r="A88" s="1581" t="s">
        <v>2977</v>
      </c>
      <c r="B88" s="690">
        <v>0</v>
      </c>
      <c r="C88" s="690">
        <v>0</v>
      </c>
      <c r="D88" s="690">
        <v>0</v>
      </c>
      <c r="E88" s="690">
        <v>0</v>
      </c>
      <c r="F88" s="690">
        <v>0</v>
      </c>
      <c r="G88" s="690">
        <v>0</v>
      </c>
      <c r="H88" s="690">
        <v>0</v>
      </c>
      <c r="I88" s="690">
        <v>0</v>
      </c>
      <c r="J88" s="690">
        <v>0</v>
      </c>
      <c r="K88" s="690">
        <v>0</v>
      </c>
      <c r="L88" s="690">
        <v>0</v>
      </c>
      <c r="M88" s="690">
        <v>0</v>
      </c>
      <c r="N88" s="690">
        <v>0</v>
      </c>
      <c r="O88" s="1277">
        <f t="shared" si="77"/>
        <v>0</v>
      </c>
      <c r="P88" s="1277">
        <f t="shared" si="78"/>
        <v>0</v>
      </c>
      <c r="Q88" s="1277">
        <f t="shared" si="79"/>
        <v>0</v>
      </c>
      <c r="R88" s="1277">
        <f t="shared" si="80"/>
        <v>0</v>
      </c>
      <c r="S88" s="1277">
        <f t="shared" si="81"/>
        <v>0</v>
      </c>
      <c r="T88" s="1277">
        <f t="shared" si="82"/>
        <v>0</v>
      </c>
      <c r="U88" s="1277">
        <f t="shared" si="83"/>
        <v>0</v>
      </c>
      <c r="V88" s="1277">
        <f t="shared" si="84"/>
        <v>0</v>
      </c>
      <c r="W88" s="1277">
        <f t="shared" si="85"/>
        <v>0</v>
      </c>
      <c r="X88" s="1277">
        <f t="shared" si="86"/>
        <v>0</v>
      </c>
      <c r="Y88" s="1277">
        <f t="shared" si="87"/>
        <v>0</v>
      </c>
      <c r="Z88" s="1277">
        <f t="shared" si="88"/>
        <v>0</v>
      </c>
    </row>
    <row r="89" spans="1:26" ht="13.5" thickBot="1">
      <c r="A89" s="1581" t="s">
        <v>2978</v>
      </c>
      <c r="B89" s="690">
        <v>24302.958747000001</v>
      </c>
      <c r="C89" s="690">
        <v>24302.958747000001</v>
      </c>
      <c r="D89" s="690">
        <v>24302.958747000001</v>
      </c>
      <c r="E89" s="690">
        <v>24289.94096</v>
      </c>
      <c r="F89" s="690">
        <v>24255.790959999998</v>
      </c>
      <c r="G89" s="690">
        <v>0</v>
      </c>
      <c r="H89" s="690">
        <v>0</v>
      </c>
      <c r="I89" s="690">
        <v>0</v>
      </c>
      <c r="J89" s="690">
        <v>0</v>
      </c>
      <c r="K89" s="690">
        <v>0</v>
      </c>
      <c r="L89" s="690"/>
      <c r="M89" s="690"/>
      <c r="N89" s="690"/>
      <c r="O89" s="1277">
        <f t="shared" si="77"/>
        <v>0</v>
      </c>
      <c r="P89" s="1277">
        <f t="shared" si="78"/>
        <v>0</v>
      </c>
      <c r="Q89" s="1277">
        <f t="shared" si="79"/>
        <v>-13.017787000000681</v>
      </c>
      <c r="R89" s="1277">
        <f t="shared" si="80"/>
        <v>-34.150000000001455</v>
      </c>
      <c r="S89" s="1277">
        <f t="shared" si="81"/>
        <v>-24255.790959999998</v>
      </c>
      <c r="T89" s="1277">
        <f t="shared" si="82"/>
        <v>0</v>
      </c>
      <c r="U89" s="1277">
        <f t="shared" si="83"/>
        <v>0</v>
      </c>
      <c r="V89" s="1277">
        <f t="shared" si="84"/>
        <v>0</v>
      </c>
      <c r="W89" s="1277">
        <f t="shared" si="85"/>
        <v>0</v>
      </c>
      <c r="X89" s="1277">
        <f t="shared" si="86"/>
        <v>0</v>
      </c>
      <c r="Y89" s="1277">
        <f t="shared" si="87"/>
        <v>0</v>
      </c>
      <c r="Z89" s="1277">
        <f t="shared" si="88"/>
        <v>0</v>
      </c>
    </row>
    <row r="90" spans="1:26" ht="13.5" thickBot="1">
      <c r="A90" s="1581" t="s">
        <v>2979</v>
      </c>
      <c r="B90" s="690">
        <v>0</v>
      </c>
      <c r="C90" s="690">
        <v>0</v>
      </c>
      <c r="D90" s="690">
        <v>0</v>
      </c>
      <c r="E90" s="690">
        <v>0</v>
      </c>
      <c r="F90" s="690">
        <v>0</v>
      </c>
      <c r="G90" s="690">
        <v>0</v>
      </c>
      <c r="H90" s="690">
        <v>0</v>
      </c>
      <c r="I90" s="690">
        <v>0</v>
      </c>
      <c r="J90" s="690">
        <v>0</v>
      </c>
      <c r="K90" s="690">
        <v>0</v>
      </c>
      <c r="L90" s="690">
        <v>0</v>
      </c>
      <c r="M90" s="690">
        <v>0</v>
      </c>
      <c r="N90" s="690">
        <v>0</v>
      </c>
      <c r="O90" s="1277">
        <f t="shared" si="77"/>
        <v>0</v>
      </c>
      <c r="P90" s="1277">
        <f t="shared" si="78"/>
        <v>0</v>
      </c>
      <c r="Q90" s="1277">
        <f t="shared" si="79"/>
        <v>0</v>
      </c>
      <c r="R90" s="1277">
        <f t="shared" si="80"/>
        <v>0</v>
      </c>
      <c r="S90" s="1277">
        <f t="shared" si="81"/>
        <v>0</v>
      </c>
      <c r="T90" s="1277">
        <f t="shared" si="82"/>
        <v>0</v>
      </c>
      <c r="U90" s="1277">
        <f t="shared" si="83"/>
        <v>0</v>
      </c>
      <c r="V90" s="1277">
        <f t="shared" si="84"/>
        <v>0</v>
      </c>
      <c r="W90" s="1277">
        <f t="shared" si="85"/>
        <v>0</v>
      </c>
      <c r="X90" s="1277">
        <f t="shared" si="86"/>
        <v>0</v>
      </c>
      <c r="Y90" s="1277">
        <f t="shared" si="87"/>
        <v>0</v>
      </c>
      <c r="Z90" s="1277">
        <f t="shared" si="88"/>
        <v>0</v>
      </c>
    </row>
    <row r="91" spans="1:26" ht="13.5" thickBot="1">
      <c r="A91" s="1581" t="s">
        <v>2980</v>
      </c>
      <c r="B91" s="690">
        <v>688.13837000000001</v>
      </c>
      <c r="C91" s="690">
        <v>688.13837000000001</v>
      </c>
      <c r="D91" s="690">
        <v>555.64544000000001</v>
      </c>
      <c r="E91" s="690">
        <v>555.64544000000001</v>
      </c>
      <c r="F91" s="690">
        <v>555.64544000000001</v>
      </c>
      <c r="G91" s="690">
        <v>420.633487</v>
      </c>
      <c r="H91" s="690">
        <v>420.633487</v>
      </c>
      <c r="I91" s="690">
        <v>420.633487</v>
      </c>
      <c r="J91" s="690">
        <v>283.05462</v>
      </c>
      <c r="K91" s="690">
        <v>283.05462</v>
      </c>
      <c r="L91" s="690"/>
      <c r="M91" s="690"/>
      <c r="N91" s="690"/>
      <c r="O91" s="1277">
        <f t="shared" si="77"/>
        <v>0</v>
      </c>
      <c r="P91" s="1277">
        <f t="shared" si="78"/>
        <v>-132.49293</v>
      </c>
      <c r="Q91" s="1277">
        <f t="shared" si="79"/>
        <v>0</v>
      </c>
      <c r="R91" s="1277">
        <f t="shared" si="80"/>
        <v>0</v>
      </c>
      <c r="S91" s="1277">
        <f t="shared" si="81"/>
        <v>-135.01195300000001</v>
      </c>
      <c r="T91" s="1277">
        <f t="shared" si="82"/>
        <v>0</v>
      </c>
      <c r="U91" s="1277">
        <f t="shared" si="83"/>
        <v>0</v>
      </c>
      <c r="V91" s="1277">
        <f t="shared" si="84"/>
        <v>-137.578867</v>
      </c>
      <c r="W91" s="1277">
        <f t="shared" si="85"/>
        <v>0</v>
      </c>
      <c r="X91" s="1277">
        <f t="shared" si="86"/>
        <v>-283.05462</v>
      </c>
      <c r="Y91" s="1277">
        <f t="shared" si="87"/>
        <v>0</v>
      </c>
      <c r="Z91" s="1277">
        <f t="shared" si="88"/>
        <v>0</v>
      </c>
    </row>
    <row r="92" spans="1:26" ht="13.5" thickBot="1">
      <c r="A92" s="1581" t="s">
        <v>2981</v>
      </c>
      <c r="B92" s="690"/>
      <c r="C92" s="1366"/>
      <c r="D92" s="1366"/>
      <c r="E92" s="1366"/>
      <c r="F92" s="1366"/>
      <c r="G92" s="1366"/>
      <c r="H92" s="1366"/>
      <c r="I92" s="1366"/>
      <c r="J92" s="690"/>
      <c r="K92" s="690"/>
      <c r="L92" s="690"/>
      <c r="M92" s="690"/>
      <c r="N92" s="690"/>
      <c r="O92" s="1277">
        <f t="shared" si="77"/>
        <v>0</v>
      </c>
      <c r="P92" s="1277">
        <f t="shared" si="78"/>
        <v>0</v>
      </c>
      <c r="Q92" s="1277">
        <f t="shared" si="79"/>
        <v>0</v>
      </c>
      <c r="R92" s="1277">
        <f t="shared" si="80"/>
        <v>0</v>
      </c>
      <c r="S92" s="1277">
        <f t="shared" si="81"/>
        <v>0</v>
      </c>
      <c r="T92" s="1277">
        <f t="shared" si="82"/>
        <v>0</v>
      </c>
      <c r="U92" s="1277">
        <f t="shared" si="83"/>
        <v>0</v>
      </c>
      <c r="V92" s="1277">
        <f t="shared" si="84"/>
        <v>0</v>
      </c>
      <c r="W92" s="1277">
        <f t="shared" si="85"/>
        <v>0</v>
      </c>
      <c r="X92" s="1277">
        <f t="shared" si="86"/>
        <v>0</v>
      </c>
      <c r="Y92" s="1277">
        <f t="shared" si="87"/>
        <v>0</v>
      </c>
      <c r="Z92" s="1277">
        <f t="shared" si="88"/>
        <v>0</v>
      </c>
    </row>
    <row r="93" spans="1:26" ht="13.5" thickBot="1">
      <c r="A93" s="1596" t="s">
        <v>3013</v>
      </c>
      <c r="B93" s="1418">
        <v>0</v>
      </c>
      <c r="C93" s="1597">
        <v>0</v>
      </c>
      <c r="D93" s="1597">
        <v>0</v>
      </c>
      <c r="E93" s="1597">
        <v>1800</v>
      </c>
      <c r="F93" s="1597">
        <v>1775.210376</v>
      </c>
      <c r="G93" s="1597">
        <v>1750.3646679999999</v>
      </c>
      <c r="H93" s="1597">
        <v>1725.358935</v>
      </c>
      <c r="I93" s="1597">
        <v>1700.1926450000001</v>
      </c>
      <c r="J93" s="1418">
        <v>1674.86401</v>
      </c>
      <c r="K93" s="1418">
        <v>1649.4</v>
      </c>
      <c r="L93" s="1418"/>
      <c r="M93" s="1418"/>
      <c r="N93" s="1418"/>
      <c r="O93" s="1277">
        <f t="shared" ref="O93:Z95" si="89">C93-B93</f>
        <v>0</v>
      </c>
      <c r="P93" s="1277">
        <f t="shared" si="89"/>
        <v>0</v>
      </c>
      <c r="Q93" s="1277">
        <f t="shared" si="89"/>
        <v>1800</v>
      </c>
      <c r="R93" s="1277">
        <f t="shared" si="89"/>
        <v>-24.789624000000003</v>
      </c>
      <c r="S93" s="1277">
        <f t="shared" si="89"/>
        <v>-24.845708000000059</v>
      </c>
      <c r="T93" s="1277">
        <f t="shared" si="89"/>
        <v>-25.005732999999964</v>
      </c>
      <c r="U93" s="1277">
        <f t="shared" si="89"/>
        <v>-25.16628999999989</v>
      </c>
      <c r="V93" s="1277">
        <f t="shared" si="89"/>
        <v>-25.328635000000077</v>
      </c>
      <c r="W93" s="1277">
        <f t="shared" si="89"/>
        <v>-25.464009999999917</v>
      </c>
      <c r="X93" s="1277">
        <f t="shared" si="89"/>
        <v>-1649.4</v>
      </c>
      <c r="Y93" s="1277">
        <f t="shared" si="89"/>
        <v>0</v>
      </c>
      <c r="Z93" s="1277">
        <f t="shared" si="89"/>
        <v>0</v>
      </c>
    </row>
    <row r="94" spans="1:26" ht="13.5" thickBot="1">
      <c r="A94" s="1596" t="s">
        <v>3014</v>
      </c>
      <c r="B94" s="1418">
        <v>0</v>
      </c>
      <c r="C94" s="1597">
        <v>0</v>
      </c>
      <c r="D94" s="1597">
        <v>1850</v>
      </c>
      <c r="E94" s="1597">
        <v>1824.6444750000001</v>
      </c>
      <c r="F94" s="1597">
        <v>1799.108833</v>
      </c>
      <c r="G94" s="1597">
        <v>1773.425422</v>
      </c>
      <c r="H94" s="1597">
        <v>1747.5764790000001</v>
      </c>
      <c r="I94" s="1597">
        <v>1721.5614390000001</v>
      </c>
      <c r="J94" s="1418">
        <v>1695.3784780000001</v>
      </c>
      <c r="K94" s="1418">
        <v>1669</v>
      </c>
      <c r="L94" s="1418"/>
      <c r="M94" s="1418"/>
      <c r="N94" s="1418"/>
      <c r="O94" s="1277">
        <f t="shared" si="89"/>
        <v>0</v>
      </c>
      <c r="P94" s="1277">
        <f t="shared" si="89"/>
        <v>1850</v>
      </c>
      <c r="Q94" s="1277">
        <f t="shared" si="89"/>
        <v>-25.355524999999943</v>
      </c>
      <c r="R94" s="1277">
        <f t="shared" si="89"/>
        <v>-25.535642000000053</v>
      </c>
      <c r="S94" s="1277">
        <f t="shared" si="89"/>
        <v>-25.683410999999978</v>
      </c>
      <c r="T94" s="1277">
        <f t="shared" si="89"/>
        <v>-25.848942999999963</v>
      </c>
      <c r="U94" s="1277">
        <f t="shared" si="89"/>
        <v>-26.015039999999999</v>
      </c>
      <c r="V94" s="1277">
        <f t="shared" si="89"/>
        <v>-26.182960999999978</v>
      </c>
      <c r="W94" s="1277">
        <f t="shared" si="89"/>
        <v>-26.378478000000086</v>
      </c>
      <c r="X94" s="1277">
        <f t="shared" si="89"/>
        <v>-1669</v>
      </c>
      <c r="Y94" s="1277">
        <f t="shared" si="89"/>
        <v>0</v>
      </c>
      <c r="Z94" s="1277">
        <f t="shared" si="89"/>
        <v>0</v>
      </c>
    </row>
    <row r="95" spans="1:26" ht="13.5" thickBot="1">
      <c r="A95" s="1596" t="s">
        <v>3015</v>
      </c>
      <c r="B95" s="1418">
        <v>1000</v>
      </c>
      <c r="C95" s="1597">
        <v>1000</v>
      </c>
      <c r="D95" s="1597">
        <v>1000</v>
      </c>
      <c r="E95" s="1597">
        <v>1000</v>
      </c>
      <c r="F95" s="1597">
        <v>1000</v>
      </c>
      <c r="G95" s="1597">
        <v>1000</v>
      </c>
      <c r="H95" s="1597">
        <v>1000</v>
      </c>
      <c r="I95" s="1597">
        <v>1000</v>
      </c>
      <c r="J95" s="1418">
        <v>1000</v>
      </c>
      <c r="K95" s="1418">
        <v>1000</v>
      </c>
      <c r="L95" s="1418"/>
      <c r="M95" s="1418"/>
      <c r="N95" s="1418"/>
      <c r="O95" s="1277">
        <f t="shared" si="89"/>
        <v>0</v>
      </c>
      <c r="P95" s="1277">
        <f t="shared" si="89"/>
        <v>0</v>
      </c>
      <c r="Q95" s="1277">
        <f t="shared" si="89"/>
        <v>0</v>
      </c>
      <c r="R95" s="1277">
        <f t="shared" si="89"/>
        <v>0</v>
      </c>
      <c r="S95" s="1277">
        <f t="shared" si="89"/>
        <v>0</v>
      </c>
      <c r="T95" s="1277">
        <f t="shared" si="89"/>
        <v>0</v>
      </c>
      <c r="U95" s="1277">
        <f t="shared" si="89"/>
        <v>0</v>
      </c>
      <c r="V95" s="1277">
        <f t="shared" si="89"/>
        <v>0</v>
      </c>
      <c r="W95" s="1277">
        <f t="shared" si="89"/>
        <v>0</v>
      </c>
      <c r="X95" s="1277">
        <f t="shared" si="89"/>
        <v>-1000</v>
      </c>
      <c r="Y95" s="1277">
        <f t="shared" si="89"/>
        <v>0</v>
      </c>
      <c r="Z95" s="1277">
        <f t="shared" si="89"/>
        <v>0</v>
      </c>
    </row>
    <row r="96" spans="1:26" ht="13.5" thickBot="1">
      <c r="A96" s="1441" t="s">
        <v>2827</v>
      </c>
      <c r="B96" s="1400">
        <v>9779.6003400000009</v>
      </c>
      <c r="C96" s="1400">
        <v>9482.1028860000006</v>
      </c>
      <c r="D96" s="1400">
        <v>9381.2248450000006</v>
      </c>
      <c r="E96" s="1400">
        <v>8985.1447399999997</v>
      </c>
      <c r="F96" s="1400">
        <v>9550.0853480000005</v>
      </c>
      <c r="G96" s="1400">
        <v>9390.3001089999998</v>
      </c>
      <c r="H96" s="1400">
        <v>9249.2415460000011</v>
      </c>
      <c r="I96" s="1400">
        <v>9015.5937830000003</v>
      </c>
      <c r="J96" s="1400">
        <v>9211.8080620000001</v>
      </c>
      <c r="K96" s="1400">
        <v>8823.600676</v>
      </c>
      <c r="L96" s="1400">
        <v>8976.5335869999999</v>
      </c>
      <c r="M96" s="1400">
        <v>9004.0207649999993</v>
      </c>
      <c r="N96" s="1400">
        <f>+[33]PLT!$O$113</f>
        <v>8808.9551910000009</v>
      </c>
      <c r="O96" s="1277">
        <f t="shared" ref="O96:O124" si="90">C96-B96</f>
        <v>-297.49745400000029</v>
      </c>
      <c r="P96" s="1277">
        <f t="shared" ref="P96:P124" si="91">D96-C96</f>
        <v>-100.87804099999994</v>
      </c>
      <c r="Q96" s="1277">
        <f>E96-D96</f>
        <v>-396.08010500000091</v>
      </c>
      <c r="R96" s="1277">
        <f t="shared" ref="R96:R124" si="92">F96-E96</f>
        <v>564.94060800000079</v>
      </c>
      <c r="S96" s="1277">
        <f t="shared" ref="S96:S124" si="93">G96-F96</f>
        <v>-159.78523900000073</v>
      </c>
      <c r="T96" s="1277">
        <f t="shared" ref="T96:T124" si="94">H96-G96</f>
        <v>-141.05856299999868</v>
      </c>
      <c r="U96" s="1277">
        <f t="shared" ref="U96:U124" si="95">I96-H96</f>
        <v>-233.64776300000085</v>
      </c>
      <c r="V96" s="1277">
        <f t="shared" ref="V96:V124" si="96">J96-I96</f>
        <v>196.21427899999981</v>
      </c>
      <c r="W96" s="1277">
        <f t="shared" ref="W96:Z99" si="97">K96-J96</f>
        <v>-388.20738600000004</v>
      </c>
      <c r="X96" s="1277">
        <f t="shared" si="97"/>
        <v>152.93291099999988</v>
      </c>
      <c r="Y96" s="1277">
        <f t="shared" si="97"/>
        <v>27.487177999999403</v>
      </c>
      <c r="Z96" s="1277">
        <f t="shared" si="97"/>
        <v>-195.06557399999838</v>
      </c>
    </row>
    <row r="97" spans="1:26" s="1519" customFormat="1" ht="13.5" thickBot="1">
      <c r="A97" s="1581" t="s">
        <v>2982</v>
      </c>
      <c r="B97" s="709">
        <v>0</v>
      </c>
      <c r="C97" s="709">
        <v>0</v>
      </c>
      <c r="D97" s="709">
        <v>0</v>
      </c>
      <c r="E97" s="709">
        <v>0</v>
      </c>
      <c r="F97" s="709">
        <v>158.076674</v>
      </c>
      <c r="G97" s="709">
        <v>0</v>
      </c>
      <c r="H97" s="709">
        <v>0</v>
      </c>
      <c r="I97" s="709">
        <v>0</v>
      </c>
      <c r="J97" s="709">
        <v>18.53509</v>
      </c>
      <c r="K97" s="709">
        <v>0</v>
      </c>
      <c r="L97" s="709"/>
      <c r="M97" s="709"/>
      <c r="N97" s="709"/>
      <c r="O97" s="1277">
        <f t="shared" si="90"/>
        <v>0</v>
      </c>
      <c r="P97" s="1277">
        <f t="shared" si="91"/>
        <v>0</v>
      </c>
      <c r="Q97" s="1277">
        <f>E97-D97</f>
        <v>0</v>
      </c>
      <c r="R97" s="1277">
        <f t="shared" si="92"/>
        <v>158.076674</v>
      </c>
      <c r="S97" s="1277">
        <f t="shared" si="93"/>
        <v>-158.076674</v>
      </c>
      <c r="T97" s="1277">
        <f t="shared" si="94"/>
        <v>0</v>
      </c>
      <c r="U97" s="1277">
        <f t="shared" si="95"/>
        <v>0</v>
      </c>
      <c r="V97" s="1277">
        <f t="shared" si="96"/>
        <v>18.53509</v>
      </c>
      <c r="W97" s="1277">
        <f t="shared" si="97"/>
        <v>-18.53509</v>
      </c>
      <c r="X97" s="1277">
        <f t="shared" si="97"/>
        <v>0</v>
      </c>
      <c r="Y97" s="1277">
        <f t="shared" si="97"/>
        <v>0</v>
      </c>
      <c r="Z97" s="1277">
        <f t="shared" si="97"/>
        <v>0</v>
      </c>
    </row>
    <row r="98" spans="1:26" s="1519" customFormat="1" ht="13.5" thickBot="1">
      <c r="A98" s="1581" t="s">
        <v>2983</v>
      </c>
      <c r="B98" s="709">
        <v>14.911279</v>
      </c>
      <c r="C98" s="709">
        <v>14.911279</v>
      </c>
      <c r="D98" s="709">
        <v>14.911279</v>
      </c>
      <c r="E98" s="709">
        <v>14.911279</v>
      </c>
      <c r="F98" s="709">
        <v>14.911279</v>
      </c>
      <c r="G98" s="709">
        <v>14.911279</v>
      </c>
      <c r="H98" s="709">
        <v>14.911279</v>
      </c>
      <c r="I98" s="709">
        <v>14.911279</v>
      </c>
      <c r="J98" s="709">
        <v>14.911279</v>
      </c>
      <c r="K98" s="709">
        <v>0</v>
      </c>
      <c r="L98" s="709"/>
      <c r="M98" s="709"/>
      <c r="N98" s="709"/>
      <c r="O98" s="1277">
        <f t="shared" si="90"/>
        <v>0</v>
      </c>
      <c r="P98" s="1277">
        <f t="shared" si="91"/>
        <v>0</v>
      </c>
      <c r="Q98" s="1277">
        <f>E98-D98</f>
        <v>0</v>
      </c>
      <c r="R98" s="1277">
        <f t="shared" si="92"/>
        <v>0</v>
      </c>
      <c r="S98" s="1277">
        <f t="shared" si="93"/>
        <v>0</v>
      </c>
      <c r="T98" s="1277">
        <f t="shared" si="94"/>
        <v>0</v>
      </c>
      <c r="U98" s="1277">
        <f t="shared" si="95"/>
        <v>0</v>
      </c>
      <c r="V98" s="1277">
        <f t="shared" si="96"/>
        <v>0</v>
      </c>
      <c r="W98" s="1277">
        <f t="shared" si="97"/>
        <v>-14.911279</v>
      </c>
      <c r="X98" s="1277">
        <f t="shared" si="97"/>
        <v>0</v>
      </c>
      <c r="Y98" s="1277">
        <f t="shared" si="97"/>
        <v>0</v>
      </c>
      <c r="Z98" s="1277">
        <f t="shared" si="97"/>
        <v>0</v>
      </c>
    </row>
    <row r="99" spans="1:26" ht="13.5" thickBot="1">
      <c r="A99" s="1581" t="s">
        <v>2984</v>
      </c>
      <c r="B99" s="1584">
        <v>0</v>
      </c>
      <c r="C99" s="1584">
        <v>0</v>
      </c>
      <c r="D99" s="1584">
        <v>0</v>
      </c>
      <c r="E99" s="1584">
        <v>0</v>
      </c>
      <c r="F99" s="1584">
        <v>0</v>
      </c>
      <c r="G99" s="1584">
        <v>0</v>
      </c>
      <c r="H99" s="1584">
        <v>0</v>
      </c>
      <c r="I99" s="1584">
        <v>0</v>
      </c>
      <c r="J99" s="1584">
        <v>0</v>
      </c>
      <c r="K99" s="1584">
        <v>0</v>
      </c>
      <c r="L99" s="1584"/>
      <c r="M99" s="1584"/>
      <c r="N99" s="1584"/>
      <c r="O99" s="1277">
        <f t="shared" si="90"/>
        <v>0</v>
      </c>
      <c r="P99" s="1277">
        <f t="shared" si="91"/>
        <v>0</v>
      </c>
      <c r="Q99" s="1277">
        <f>E99-D99</f>
        <v>0</v>
      </c>
      <c r="R99" s="1277">
        <f t="shared" si="92"/>
        <v>0</v>
      </c>
      <c r="S99" s="1277">
        <f t="shared" si="93"/>
        <v>0</v>
      </c>
      <c r="T99" s="1277">
        <f t="shared" si="94"/>
        <v>0</v>
      </c>
      <c r="U99" s="1277">
        <f t="shared" si="95"/>
        <v>0</v>
      </c>
      <c r="V99" s="1277">
        <f t="shared" si="96"/>
        <v>0</v>
      </c>
      <c r="W99" s="1277">
        <f t="shared" si="97"/>
        <v>0</v>
      </c>
      <c r="X99" s="1277">
        <f t="shared" si="97"/>
        <v>0</v>
      </c>
      <c r="Y99" s="1277">
        <f t="shared" si="97"/>
        <v>0</v>
      </c>
      <c r="Z99" s="1277">
        <f t="shared" si="97"/>
        <v>0</v>
      </c>
    </row>
    <row r="100" spans="1:26" s="1519" customFormat="1" ht="13.5" thickBot="1">
      <c r="A100" s="1581" t="s">
        <v>2959</v>
      </c>
      <c r="B100" s="709">
        <v>758.83186499999999</v>
      </c>
      <c r="C100" s="709">
        <v>461.33441099999999</v>
      </c>
      <c r="D100" s="709">
        <v>360.45636999999999</v>
      </c>
      <c r="E100" s="709">
        <v>172.459655</v>
      </c>
      <c r="F100" s="709">
        <v>0</v>
      </c>
      <c r="G100" s="709">
        <v>530.542326</v>
      </c>
      <c r="H100" s="709">
        <v>656.11510399999997</v>
      </c>
      <c r="I100" s="709">
        <v>422.46734099999998</v>
      </c>
      <c r="J100" s="709">
        <v>600.14652999999998</v>
      </c>
      <c r="K100" s="709">
        <v>446.54520300000001</v>
      </c>
      <c r="L100" s="709"/>
      <c r="M100" s="709"/>
      <c r="N100" s="709"/>
      <c r="O100" s="1277">
        <f t="shared" ref="O100:Z101" si="98">C100-B100</f>
        <v>-297.497454</v>
      </c>
      <c r="P100" s="1277">
        <f t="shared" si="98"/>
        <v>-100.878041</v>
      </c>
      <c r="Q100" s="1277">
        <f t="shared" si="98"/>
        <v>-187.99671499999999</v>
      </c>
      <c r="R100" s="1277">
        <f t="shared" si="98"/>
        <v>-172.459655</v>
      </c>
      <c r="S100" s="1277">
        <f t="shared" si="98"/>
        <v>530.542326</v>
      </c>
      <c r="T100" s="1277">
        <f t="shared" si="98"/>
        <v>125.57277799999997</v>
      </c>
      <c r="U100" s="1277">
        <f t="shared" si="98"/>
        <v>-233.647763</v>
      </c>
      <c r="V100" s="1277">
        <f t="shared" si="98"/>
        <v>177.67918900000001</v>
      </c>
      <c r="W100" s="1277">
        <f t="shared" si="98"/>
        <v>-153.60132699999997</v>
      </c>
      <c r="X100" s="1277">
        <f t="shared" si="98"/>
        <v>-446.54520300000001</v>
      </c>
      <c r="Y100" s="1277">
        <f t="shared" si="98"/>
        <v>0</v>
      </c>
      <c r="Z100" s="1277">
        <f t="shared" si="98"/>
        <v>0</v>
      </c>
    </row>
    <row r="101" spans="1:26" s="1519" customFormat="1" ht="13.5" thickBot="1">
      <c r="A101" s="1581" t="s">
        <v>2985</v>
      </c>
      <c r="B101" s="709">
        <v>1080.73811</v>
      </c>
      <c r="C101" s="709">
        <v>1080.73811</v>
      </c>
      <c r="D101" s="709">
        <v>1080.73811</v>
      </c>
      <c r="E101" s="709">
        <v>872.65472</v>
      </c>
      <c r="F101" s="709">
        <v>872.65472</v>
      </c>
      <c r="G101" s="709">
        <v>872.65472</v>
      </c>
      <c r="H101" s="709">
        <v>660.61516300000005</v>
      </c>
      <c r="I101" s="709">
        <v>660.61516300000005</v>
      </c>
      <c r="J101" s="709">
        <v>660.61516300000005</v>
      </c>
      <c r="K101" s="709">
        <v>444.544194</v>
      </c>
      <c r="L101" s="709"/>
      <c r="M101" s="709"/>
      <c r="N101" s="709"/>
      <c r="O101" s="1277">
        <f t="shared" si="98"/>
        <v>0</v>
      </c>
      <c r="P101" s="1277">
        <f t="shared" si="98"/>
        <v>0</v>
      </c>
      <c r="Q101" s="1277">
        <f t="shared" si="98"/>
        <v>-208.08339000000001</v>
      </c>
      <c r="R101" s="1277">
        <f t="shared" si="98"/>
        <v>0</v>
      </c>
      <c r="S101" s="1277">
        <f t="shared" si="98"/>
        <v>0</v>
      </c>
      <c r="T101" s="1277">
        <f t="shared" si="98"/>
        <v>-212.03955699999995</v>
      </c>
      <c r="U101" s="1277">
        <f t="shared" si="98"/>
        <v>0</v>
      </c>
      <c r="V101" s="1277">
        <f t="shared" si="98"/>
        <v>0</v>
      </c>
      <c r="W101" s="1277">
        <f t="shared" si="98"/>
        <v>-216.07096900000005</v>
      </c>
      <c r="X101" s="1277">
        <f t="shared" si="98"/>
        <v>-444.544194</v>
      </c>
      <c r="Y101" s="1277">
        <f t="shared" si="98"/>
        <v>0</v>
      </c>
      <c r="Z101" s="1277">
        <f t="shared" si="98"/>
        <v>0</v>
      </c>
    </row>
    <row r="102" spans="1:26" ht="13.5" thickBot="1">
      <c r="A102" s="1581" t="s">
        <v>2986</v>
      </c>
      <c r="B102" s="690">
        <v>7917.6</v>
      </c>
      <c r="C102" s="690">
        <v>7917.6</v>
      </c>
      <c r="D102" s="690">
        <v>7917.6</v>
      </c>
      <c r="E102" s="690">
        <v>7917.6</v>
      </c>
      <c r="F102" s="690">
        <v>7917.6</v>
      </c>
      <c r="G102" s="690">
        <v>7917.6</v>
      </c>
      <c r="H102" s="690">
        <v>7917.6</v>
      </c>
      <c r="I102" s="690">
        <v>7917.6</v>
      </c>
      <c r="J102" s="690">
        <v>7917.6</v>
      </c>
      <c r="K102" s="690">
        <v>7917.6</v>
      </c>
      <c r="L102" s="690">
        <v>0</v>
      </c>
      <c r="M102" s="690">
        <v>0</v>
      </c>
      <c r="N102" s="690">
        <v>0</v>
      </c>
      <c r="O102" s="1277">
        <f t="shared" si="90"/>
        <v>0</v>
      </c>
      <c r="P102" s="1277">
        <f t="shared" si="91"/>
        <v>0</v>
      </c>
      <c r="Q102" s="1277">
        <f>E102-D102</f>
        <v>0</v>
      </c>
      <c r="R102" s="1277">
        <f t="shared" si="92"/>
        <v>0</v>
      </c>
      <c r="S102" s="1277">
        <f t="shared" si="93"/>
        <v>0</v>
      </c>
      <c r="T102" s="1277">
        <f t="shared" si="94"/>
        <v>0</v>
      </c>
      <c r="U102" s="1277">
        <f t="shared" si="95"/>
        <v>0</v>
      </c>
      <c r="V102" s="1277">
        <f t="shared" si="96"/>
        <v>0</v>
      </c>
      <c r="W102" s="1277">
        <f>K102-J102</f>
        <v>0</v>
      </c>
      <c r="X102" s="1277">
        <f>L102-K102</f>
        <v>-7917.6</v>
      </c>
      <c r="Y102" s="1277">
        <f>M102-L102</f>
        <v>0</v>
      </c>
      <c r="Z102" s="1277">
        <f>N102-M102</f>
        <v>0</v>
      </c>
    </row>
    <row r="103" spans="1:26" s="1519" customFormat="1" ht="13.5" thickBot="1">
      <c r="A103" s="1581" t="s">
        <v>3034</v>
      </c>
      <c r="B103" s="709">
        <v>7.5190859999999997</v>
      </c>
      <c r="C103" s="709">
        <v>7.5190859999999997</v>
      </c>
      <c r="D103" s="709">
        <v>7.5190859999999997</v>
      </c>
      <c r="E103" s="709">
        <v>7.5190859999999997</v>
      </c>
      <c r="F103" s="709">
        <v>7.5190859999999997</v>
      </c>
      <c r="G103" s="709">
        <v>54.591783999999997</v>
      </c>
      <c r="H103" s="709">
        <v>0</v>
      </c>
      <c r="I103" s="709">
        <v>0</v>
      </c>
      <c r="J103" s="709">
        <v>0</v>
      </c>
      <c r="K103" s="709">
        <v>0</v>
      </c>
      <c r="L103" s="709"/>
      <c r="M103" s="709"/>
      <c r="N103" s="709"/>
      <c r="O103" s="1540"/>
      <c r="P103" s="1540"/>
      <c r="Q103" s="1540"/>
      <c r="R103" s="1540"/>
      <c r="S103" s="1540"/>
      <c r="T103" s="1540"/>
      <c r="U103" s="1540"/>
      <c r="V103" s="1540"/>
      <c r="W103" s="1540"/>
      <c r="X103" s="1540"/>
      <c r="Y103" s="1540"/>
      <c r="Z103" s="1540"/>
    </row>
    <row r="104" spans="1:26" s="1519" customFormat="1" ht="13.5" thickBot="1">
      <c r="A104" s="1599"/>
      <c r="B104" s="709"/>
      <c r="C104" s="709"/>
      <c r="D104" s="709"/>
      <c r="E104" s="709"/>
      <c r="F104" s="709"/>
      <c r="G104" s="709"/>
      <c r="H104" s="709"/>
      <c r="I104" s="709"/>
      <c r="J104" s="709"/>
      <c r="K104" s="709"/>
      <c r="L104" s="709"/>
      <c r="M104" s="709"/>
      <c r="N104" s="709"/>
      <c r="O104" s="1540"/>
      <c r="P104" s="1540"/>
      <c r="Q104" s="1540"/>
      <c r="R104" s="1540"/>
      <c r="S104" s="1540"/>
      <c r="T104" s="1540"/>
      <c r="U104" s="1540"/>
      <c r="V104" s="1540"/>
      <c r="W104" s="1540"/>
      <c r="X104" s="1540"/>
      <c r="Y104" s="1540"/>
      <c r="Z104" s="1540"/>
    </row>
    <row r="105" spans="1:26" ht="13.5" thickBot="1">
      <c r="A105" s="1442" t="s">
        <v>868</v>
      </c>
      <c r="B105" s="1400">
        <v>1331.7287310000002</v>
      </c>
      <c r="C105" s="1400">
        <v>1433.056949</v>
      </c>
      <c r="D105" s="1400">
        <v>1970.7179430000001</v>
      </c>
      <c r="E105" s="1400">
        <v>4481.448128</v>
      </c>
      <c r="F105" s="1400">
        <v>4437.1255959999999</v>
      </c>
      <c r="G105" s="1400">
        <v>4346.9412899999998</v>
      </c>
      <c r="H105" s="1400">
        <v>3397.7885529999999</v>
      </c>
      <c r="I105" s="1400">
        <v>2909.1457889999997</v>
      </c>
      <c r="J105" s="1400">
        <v>2478.0689649999999</v>
      </c>
      <c r="K105" s="1400">
        <v>5545.6331849999997</v>
      </c>
      <c r="L105" s="1400">
        <v>1782.6004329999998</v>
      </c>
      <c r="M105" s="1400">
        <v>2277.109211</v>
      </c>
      <c r="N105" s="1400">
        <v>2643.772395</v>
      </c>
      <c r="O105" s="1277">
        <f t="shared" si="90"/>
        <v>101.32821799999988</v>
      </c>
      <c r="P105" s="1277">
        <f t="shared" si="91"/>
        <v>537.66099400000007</v>
      </c>
      <c r="Q105" s="1277">
        <f>E105-D105</f>
        <v>2510.7301849999999</v>
      </c>
      <c r="R105" s="1277">
        <f t="shared" si="92"/>
        <v>-44.322532000000137</v>
      </c>
      <c r="S105" s="1277">
        <f t="shared" si="93"/>
        <v>-90.184306000000106</v>
      </c>
      <c r="T105" s="1277">
        <f t="shared" si="94"/>
        <v>-949.15273699999989</v>
      </c>
      <c r="U105" s="1277">
        <f t="shared" si="95"/>
        <v>-488.64276400000017</v>
      </c>
      <c r="V105" s="1277">
        <f t="shared" si="96"/>
        <v>-431.07682399999976</v>
      </c>
      <c r="W105" s="1277">
        <f>K105-J105</f>
        <v>3067.5642199999998</v>
      </c>
      <c r="X105" s="1277">
        <f>L105-K105</f>
        <v>-3763.0327520000001</v>
      </c>
      <c r="Y105" s="1277">
        <f>M105-L105</f>
        <v>494.50877800000012</v>
      </c>
      <c r="Z105" s="1277">
        <f>N105-M105</f>
        <v>366.663184</v>
      </c>
    </row>
    <row r="106" spans="1:26" s="1519" customFormat="1" ht="13.5" thickBot="1">
      <c r="A106" s="1598" t="s">
        <v>3016</v>
      </c>
      <c r="B106" s="1422">
        <v>1331.7287310000002</v>
      </c>
      <c r="C106" s="1422">
        <v>1433.056949</v>
      </c>
      <c r="D106" s="1422">
        <v>1970.7179430000001</v>
      </c>
      <c r="E106" s="1422">
        <v>4466.7902379999996</v>
      </c>
      <c r="F106" s="1422">
        <v>4437.1255959999999</v>
      </c>
      <c r="G106" s="1422">
        <v>4346.9412899999998</v>
      </c>
      <c r="H106" s="1422">
        <v>3397.7885529999999</v>
      </c>
      <c r="I106" s="1422">
        <v>2909.1457889999997</v>
      </c>
      <c r="J106" s="1422">
        <v>2478.0689649999999</v>
      </c>
      <c r="K106" s="1422">
        <v>5545.6331849999997</v>
      </c>
      <c r="L106" s="1422"/>
      <c r="M106" s="1422"/>
      <c r="N106" s="1422"/>
      <c r="O106" s="1540"/>
      <c r="P106" s="1540"/>
      <c r="Q106" s="1540"/>
      <c r="R106" s="1540"/>
      <c r="S106" s="1540"/>
      <c r="T106" s="1540"/>
      <c r="U106" s="1540"/>
      <c r="V106" s="1540"/>
      <c r="W106" s="1540"/>
      <c r="X106" s="1540"/>
      <c r="Y106" s="1540"/>
      <c r="Z106" s="1540"/>
    </row>
    <row r="107" spans="1:26" ht="13.5" thickBot="1">
      <c r="A107" s="1581" t="s">
        <v>2987</v>
      </c>
      <c r="B107" s="690"/>
      <c r="C107" s="690"/>
      <c r="D107" s="690"/>
      <c r="E107" s="690"/>
      <c r="F107" s="690"/>
      <c r="G107" s="690"/>
      <c r="H107" s="690"/>
      <c r="I107" s="690"/>
      <c r="J107" s="690"/>
      <c r="K107" s="690"/>
      <c r="L107" s="709"/>
      <c r="M107" s="690"/>
      <c r="N107" s="690"/>
      <c r="O107" s="1277">
        <f t="shared" si="90"/>
        <v>0</v>
      </c>
      <c r="P107" s="1277">
        <f t="shared" si="91"/>
        <v>0</v>
      </c>
      <c r="Q107" s="1277">
        <f t="shared" ref="Q107:Q112" si="99">E107-D107</f>
        <v>0</v>
      </c>
      <c r="R107" s="1277">
        <f t="shared" si="92"/>
        <v>0</v>
      </c>
      <c r="S107" s="1277">
        <f t="shared" si="93"/>
        <v>0</v>
      </c>
      <c r="T107" s="1277">
        <f t="shared" si="94"/>
        <v>0</v>
      </c>
      <c r="U107" s="1277">
        <f t="shared" si="95"/>
        <v>0</v>
      </c>
      <c r="V107" s="1277">
        <f t="shared" si="96"/>
        <v>0</v>
      </c>
      <c r="W107" s="1277">
        <f t="shared" ref="W107:Z112" si="100">K107-J107</f>
        <v>0</v>
      </c>
      <c r="X107" s="1277">
        <f t="shared" si="100"/>
        <v>0</v>
      </c>
      <c r="Y107" s="1277">
        <f t="shared" si="100"/>
        <v>0</v>
      </c>
      <c r="Z107" s="1277">
        <f t="shared" si="100"/>
        <v>0</v>
      </c>
    </row>
    <row r="108" spans="1:26" ht="13.5" thickBot="1">
      <c r="A108" s="1581" t="s">
        <v>2988</v>
      </c>
      <c r="B108" s="690"/>
      <c r="C108" s="690"/>
      <c r="D108" s="690"/>
      <c r="E108" s="690"/>
      <c r="F108" s="690"/>
      <c r="G108" s="690"/>
      <c r="H108" s="690"/>
      <c r="I108" s="690"/>
      <c r="J108" s="690"/>
      <c r="K108" s="690"/>
      <c r="L108" s="709"/>
      <c r="M108" s="690"/>
      <c r="N108" s="690"/>
      <c r="O108" s="1277"/>
      <c r="P108" s="1277">
        <f t="shared" si="91"/>
        <v>0</v>
      </c>
      <c r="Q108" s="1277">
        <f t="shared" si="99"/>
        <v>0</v>
      </c>
      <c r="R108" s="1277">
        <f t="shared" si="92"/>
        <v>0</v>
      </c>
      <c r="S108" s="1277">
        <f t="shared" si="93"/>
        <v>0</v>
      </c>
      <c r="T108" s="1277">
        <f t="shared" si="94"/>
        <v>0</v>
      </c>
      <c r="U108" s="1277">
        <f t="shared" si="95"/>
        <v>0</v>
      </c>
      <c r="V108" s="1277">
        <f t="shared" si="96"/>
        <v>0</v>
      </c>
      <c r="W108" s="1277">
        <f t="shared" si="100"/>
        <v>0</v>
      </c>
      <c r="X108" s="1277"/>
      <c r="Y108" s="1277"/>
      <c r="Z108" s="1277"/>
    </row>
    <row r="109" spans="1:26" ht="13.5" thickBot="1">
      <c r="A109" s="1581" t="s">
        <v>2950</v>
      </c>
      <c r="B109" s="690"/>
      <c r="C109" s="690"/>
      <c r="D109" s="690"/>
      <c r="E109" s="690"/>
      <c r="F109" s="690"/>
      <c r="G109" s="690"/>
      <c r="H109" s="690"/>
      <c r="I109" s="690"/>
      <c r="J109" s="690"/>
      <c r="K109" s="690"/>
      <c r="L109" s="709"/>
      <c r="M109" s="690"/>
      <c r="N109" s="690"/>
      <c r="O109" s="1277">
        <f>C109-B109</f>
        <v>0</v>
      </c>
      <c r="P109" s="1277">
        <f>D109-C109</f>
        <v>0</v>
      </c>
      <c r="Q109" s="1277">
        <f t="shared" si="99"/>
        <v>0</v>
      </c>
      <c r="R109" s="1277">
        <f t="shared" ref="R109:Z110" si="101">F109-E109</f>
        <v>0</v>
      </c>
      <c r="S109" s="1277">
        <f t="shared" si="101"/>
        <v>0</v>
      </c>
      <c r="T109" s="1277">
        <f t="shared" si="101"/>
        <v>0</v>
      </c>
      <c r="U109" s="1277">
        <f t="shared" si="101"/>
        <v>0</v>
      </c>
      <c r="V109" s="1277">
        <f t="shared" si="101"/>
        <v>0</v>
      </c>
      <c r="W109" s="1277">
        <f t="shared" si="101"/>
        <v>0</v>
      </c>
      <c r="X109" s="1277">
        <f t="shared" si="101"/>
        <v>0</v>
      </c>
      <c r="Y109" s="1277">
        <f t="shared" si="101"/>
        <v>0</v>
      </c>
      <c r="Z109" s="1277">
        <f t="shared" si="101"/>
        <v>0</v>
      </c>
    </row>
    <row r="110" spans="1:26" ht="13.5" thickBot="1">
      <c r="A110" s="1442" t="s">
        <v>2740</v>
      </c>
      <c r="B110" s="1400">
        <v>6503.3435079999999</v>
      </c>
      <c r="C110" s="1400">
        <v>6500</v>
      </c>
      <c r="D110" s="1400">
        <v>9500</v>
      </c>
      <c r="E110" s="1400">
        <v>9500</v>
      </c>
      <c r="F110" s="1400">
        <v>9511.1509850000002</v>
      </c>
      <c r="G110" s="1400">
        <v>9500</v>
      </c>
      <c r="H110" s="1400">
        <v>9024.9330179999997</v>
      </c>
      <c r="I110" s="1400">
        <v>8512.9626250000001</v>
      </c>
      <c r="J110" s="1400">
        <v>8016.3256099999999</v>
      </c>
      <c r="K110" s="1400">
        <v>7515.2424590000001</v>
      </c>
      <c r="L110" s="1400">
        <v>1015.31945</v>
      </c>
      <c r="M110" s="1400">
        <v>1047.3794889999999</v>
      </c>
      <c r="N110" s="1400">
        <f>+[33]PLT!$O$105</f>
        <v>7617.0199779999994</v>
      </c>
      <c r="O110" s="1277">
        <f>C110-B110</f>
        <v>-3.3435079999999289</v>
      </c>
      <c r="P110" s="1277">
        <f>D110-C110</f>
        <v>3000</v>
      </c>
      <c r="Q110" s="1277">
        <f t="shared" si="99"/>
        <v>0</v>
      </c>
      <c r="R110" s="1277">
        <f t="shared" si="101"/>
        <v>11.150985000000219</v>
      </c>
      <c r="S110" s="1277">
        <f t="shared" si="101"/>
        <v>-11.150985000000219</v>
      </c>
      <c r="T110" s="1277">
        <f t="shared" si="101"/>
        <v>-475.06698200000028</v>
      </c>
      <c r="U110" s="1277">
        <f t="shared" si="101"/>
        <v>-511.9703929999996</v>
      </c>
      <c r="V110" s="1277">
        <f t="shared" si="101"/>
        <v>-496.63701500000025</v>
      </c>
      <c r="W110" s="1277">
        <f t="shared" si="101"/>
        <v>-501.08315099999982</v>
      </c>
      <c r="X110" s="1277">
        <f t="shared" si="101"/>
        <v>-6499.9230090000001</v>
      </c>
      <c r="Y110" s="1277">
        <f t="shared" si="101"/>
        <v>32.060038999999961</v>
      </c>
      <c r="Z110" s="1277">
        <f t="shared" si="101"/>
        <v>6569.6404889999994</v>
      </c>
    </row>
    <row r="111" spans="1:26" ht="13.5" thickBot="1">
      <c r="A111" s="1441" t="s">
        <v>2915</v>
      </c>
      <c r="B111" s="1400">
        <v>0</v>
      </c>
      <c r="C111" s="1400">
        <v>0</v>
      </c>
      <c r="D111" s="1400">
        <v>150.3201</v>
      </c>
      <c r="E111" s="1400">
        <v>0</v>
      </c>
      <c r="F111" s="1400">
        <v>184.97993600000001</v>
      </c>
      <c r="G111" s="1400">
        <v>187.82596000000001</v>
      </c>
      <c r="H111" s="1400">
        <v>196.47113899999999</v>
      </c>
      <c r="I111" s="1400">
        <v>272.22781099999997</v>
      </c>
      <c r="J111" s="1400">
        <v>493.264003</v>
      </c>
      <c r="K111" s="1400">
        <v>433.77569699999998</v>
      </c>
      <c r="L111" s="1400">
        <v>470.08780999999999</v>
      </c>
      <c r="M111" s="1400">
        <v>449.29594500000002</v>
      </c>
      <c r="N111" s="1400">
        <v>447.97907199999997</v>
      </c>
      <c r="O111" s="1277">
        <f t="shared" si="90"/>
        <v>0</v>
      </c>
      <c r="P111" s="1277">
        <f t="shared" si="91"/>
        <v>150.3201</v>
      </c>
      <c r="Q111" s="1277">
        <f t="shared" si="99"/>
        <v>-150.3201</v>
      </c>
      <c r="R111" s="1277">
        <f t="shared" si="92"/>
        <v>184.97993600000001</v>
      </c>
      <c r="S111" s="1277">
        <f t="shared" si="93"/>
        <v>2.8460239999999999</v>
      </c>
      <c r="T111" s="1277">
        <f t="shared" si="94"/>
        <v>8.6451789999999846</v>
      </c>
      <c r="U111" s="1277">
        <f t="shared" si="95"/>
        <v>75.75667199999998</v>
      </c>
      <c r="V111" s="1277">
        <f t="shared" si="96"/>
        <v>221.03619200000003</v>
      </c>
      <c r="W111" s="1277">
        <f t="shared" si="100"/>
        <v>-59.488306000000023</v>
      </c>
      <c r="X111" s="1277">
        <f t="shared" si="100"/>
        <v>36.312113000000011</v>
      </c>
      <c r="Y111" s="1277">
        <f t="shared" si="100"/>
        <v>-20.791864999999973</v>
      </c>
      <c r="Z111" s="1277">
        <f t="shared" si="100"/>
        <v>-1.3168730000000437</v>
      </c>
    </row>
    <row r="112" spans="1:26" ht="13.5" thickBot="1">
      <c r="A112" s="1531" t="s">
        <v>2916</v>
      </c>
      <c r="B112" s="690"/>
      <c r="C112" s="690"/>
      <c r="D112" s="690"/>
      <c r="E112" s="690"/>
      <c r="F112" s="690"/>
      <c r="G112" s="690"/>
      <c r="H112" s="690"/>
      <c r="I112" s="690"/>
      <c r="J112" s="690"/>
      <c r="K112" s="690"/>
      <c r="L112" s="709"/>
      <c r="M112" s="690"/>
      <c r="N112" s="690"/>
      <c r="O112" s="1277">
        <f t="shared" si="90"/>
        <v>0</v>
      </c>
      <c r="P112" s="1277">
        <f t="shared" si="91"/>
        <v>0</v>
      </c>
      <c r="Q112" s="1277">
        <f t="shared" si="99"/>
        <v>0</v>
      </c>
      <c r="R112" s="1277">
        <f t="shared" si="92"/>
        <v>0</v>
      </c>
      <c r="S112" s="1277">
        <f t="shared" si="93"/>
        <v>0</v>
      </c>
      <c r="T112" s="1277">
        <f t="shared" si="94"/>
        <v>0</v>
      </c>
      <c r="U112" s="1277">
        <f t="shared" si="95"/>
        <v>0</v>
      </c>
      <c r="V112" s="1277">
        <f t="shared" si="96"/>
        <v>0</v>
      </c>
      <c r="W112" s="1277">
        <f t="shared" si="100"/>
        <v>0</v>
      </c>
      <c r="X112" s="1277">
        <f t="shared" si="100"/>
        <v>0</v>
      </c>
      <c r="Y112" s="1277">
        <f t="shared" si="100"/>
        <v>0</v>
      </c>
      <c r="Z112" s="1277">
        <f t="shared" si="100"/>
        <v>0</v>
      </c>
    </row>
    <row r="113" spans="1:26" ht="13.5" thickBot="1">
      <c r="A113" s="1444" t="s">
        <v>2739</v>
      </c>
      <c r="B113" s="625">
        <f t="shared" ref="B113:M113" si="102">B114+B115+B116+B117</f>
        <v>4500</v>
      </c>
      <c r="C113" s="1422">
        <f t="shared" si="102"/>
        <v>4500</v>
      </c>
      <c r="D113" s="1422">
        <f t="shared" si="102"/>
        <v>4500</v>
      </c>
      <c r="E113" s="625">
        <f t="shared" si="102"/>
        <v>4500</v>
      </c>
      <c r="F113" s="625">
        <f t="shared" si="102"/>
        <v>4500</v>
      </c>
      <c r="G113" s="625">
        <f>G114+G115+G116+G117</f>
        <v>4500</v>
      </c>
      <c r="H113" s="625">
        <f t="shared" si="102"/>
        <v>3000</v>
      </c>
      <c r="I113" s="625">
        <f t="shared" si="102"/>
        <v>3000</v>
      </c>
      <c r="J113" s="625">
        <f t="shared" si="102"/>
        <v>3000</v>
      </c>
      <c r="K113" s="625">
        <f t="shared" si="102"/>
        <v>5000</v>
      </c>
      <c r="L113" s="625">
        <f t="shared" si="102"/>
        <v>12500</v>
      </c>
      <c r="M113" s="625">
        <f t="shared" si="102"/>
        <v>12500</v>
      </c>
      <c r="N113" s="625">
        <f>N114+N115+N116+N117</f>
        <v>12500</v>
      </c>
      <c r="O113" s="1277">
        <f t="shared" si="90"/>
        <v>0</v>
      </c>
      <c r="P113" s="1277">
        <f t="shared" si="91"/>
        <v>0</v>
      </c>
      <c r="Q113" s="1277">
        <f t="shared" ref="Q113:Q124" si="103">E113-D113</f>
        <v>0</v>
      </c>
      <c r="R113" s="1277">
        <f t="shared" si="92"/>
        <v>0</v>
      </c>
      <c r="S113" s="1277">
        <f t="shared" si="93"/>
        <v>0</v>
      </c>
      <c r="T113" s="1277">
        <f t="shared" si="94"/>
        <v>-1500</v>
      </c>
      <c r="U113" s="1277">
        <f t="shared" si="95"/>
        <v>0</v>
      </c>
      <c r="V113" s="1277">
        <f t="shared" si="96"/>
        <v>0</v>
      </c>
      <c r="W113" s="1277">
        <f t="shared" ref="W113:W124" si="104">K113-J113</f>
        <v>2000</v>
      </c>
      <c r="X113" s="1277">
        <f t="shared" ref="X113:X124" si="105">L113-K113</f>
        <v>7500</v>
      </c>
      <c r="Y113" s="1277">
        <f t="shared" ref="Y113:Y124" si="106">M113-L113</f>
        <v>0</v>
      </c>
      <c r="Z113" s="1277">
        <f t="shared" ref="Z113:Z124" si="107">N113-M113</f>
        <v>0</v>
      </c>
    </row>
    <row r="114" spans="1:26" ht="13.5" thickBot="1">
      <c r="A114" s="1445" t="s">
        <v>1080</v>
      </c>
      <c r="B114" s="690">
        <v>0</v>
      </c>
      <c r="C114" s="690">
        <v>0</v>
      </c>
      <c r="D114" s="690">
        <v>0</v>
      </c>
      <c r="E114" s="690">
        <v>0</v>
      </c>
      <c r="F114" s="690">
        <v>0</v>
      </c>
      <c r="G114" s="690">
        <v>0</v>
      </c>
      <c r="H114" s="690">
        <v>0</v>
      </c>
      <c r="I114" s="690">
        <v>0</v>
      </c>
      <c r="J114" s="690">
        <v>0</v>
      </c>
      <c r="K114" s="690">
        <v>0</v>
      </c>
      <c r="L114" s="690">
        <v>0</v>
      </c>
      <c r="M114" s="690">
        <v>0</v>
      </c>
      <c r="N114" s="690">
        <v>0</v>
      </c>
      <c r="O114" s="1277">
        <f t="shared" si="90"/>
        <v>0</v>
      </c>
      <c r="P114" s="1277">
        <f t="shared" si="91"/>
        <v>0</v>
      </c>
      <c r="Q114" s="1277">
        <f t="shared" si="103"/>
        <v>0</v>
      </c>
      <c r="R114" s="1277">
        <f t="shared" si="92"/>
        <v>0</v>
      </c>
      <c r="S114" s="1277">
        <f t="shared" si="93"/>
        <v>0</v>
      </c>
      <c r="T114" s="1277">
        <f t="shared" si="94"/>
        <v>0</v>
      </c>
      <c r="U114" s="1277">
        <f t="shared" si="95"/>
        <v>0</v>
      </c>
      <c r="V114" s="1277">
        <f t="shared" si="96"/>
        <v>0</v>
      </c>
      <c r="W114" s="1277">
        <f t="shared" si="104"/>
        <v>0</v>
      </c>
      <c r="X114" s="1277">
        <f t="shared" si="105"/>
        <v>0</v>
      </c>
      <c r="Y114" s="1277">
        <f t="shared" si="106"/>
        <v>0</v>
      </c>
      <c r="Z114" s="1277">
        <f t="shared" si="107"/>
        <v>0</v>
      </c>
    </row>
    <row r="115" spans="1:26" ht="13.5" thickBot="1">
      <c r="A115" s="1445" t="s">
        <v>896</v>
      </c>
      <c r="B115" s="690">
        <v>0</v>
      </c>
      <c r="C115" s="690">
        <v>0</v>
      </c>
      <c r="D115" s="690">
        <v>0</v>
      </c>
      <c r="E115" s="690">
        <v>0</v>
      </c>
      <c r="F115" s="690">
        <v>0</v>
      </c>
      <c r="G115" s="690">
        <v>0</v>
      </c>
      <c r="H115" s="690">
        <v>0</v>
      </c>
      <c r="I115" s="690">
        <v>0</v>
      </c>
      <c r="J115" s="690">
        <v>0</v>
      </c>
      <c r="K115" s="690">
        <v>0</v>
      </c>
      <c r="L115" s="690">
        <v>0</v>
      </c>
      <c r="M115" s="690">
        <v>0</v>
      </c>
      <c r="N115" s="690">
        <v>0</v>
      </c>
      <c r="O115" s="1277">
        <f t="shared" si="90"/>
        <v>0</v>
      </c>
      <c r="P115" s="1277">
        <f t="shared" si="91"/>
        <v>0</v>
      </c>
      <c r="Q115" s="1277">
        <f t="shared" si="103"/>
        <v>0</v>
      </c>
      <c r="R115" s="1277">
        <f t="shared" si="92"/>
        <v>0</v>
      </c>
      <c r="S115" s="1277">
        <f t="shared" si="93"/>
        <v>0</v>
      </c>
      <c r="T115" s="1277">
        <f t="shared" si="94"/>
        <v>0</v>
      </c>
      <c r="U115" s="1277">
        <f t="shared" si="95"/>
        <v>0</v>
      </c>
      <c r="V115" s="1277">
        <f t="shared" si="96"/>
        <v>0</v>
      </c>
      <c r="W115" s="1277">
        <f t="shared" si="104"/>
        <v>0</v>
      </c>
      <c r="X115" s="1277">
        <f t="shared" si="105"/>
        <v>0</v>
      </c>
      <c r="Y115" s="1277">
        <f t="shared" si="106"/>
        <v>0</v>
      </c>
      <c r="Z115" s="1277">
        <f t="shared" si="107"/>
        <v>0</v>
      </c>
    </row>
    <row r="116" spans="1:26" ht="13.5" thickBot="1">
      <c r="A116" s="1445" t="s">
        <v>868</v>
      </c>
      <c r="B116" s="690">
        <v>4500</v>
      </c>
      <c r="C116" s="690">
        <v>4500</v>
      </c>
      <c r="D116" s="690">
        <v>4500</v>
      </c>
      <c r="E116" s="690">
        <v>4500</v>
      </c>
      <c r="F116" s="690">
        <v>4500</v>
      </c>
      <c r="G116" s="690">
        <v>4500</v>
      </c>
      <c r="H116" s="690">
        <v>3000</v>
      </c>
      <c r="I116" s="690">
        <v>3000</v>
      </c>
      <c r="J116" s="690">
        <v>3000</v>
      </c>
      <c r="K116" s="690">
        <v>3000</v>
      </c>
      <c r="L116" s="690">
        <v>7500</v>
      </c>
      <c r="M116" s="690">
        <v>7500</v>
      </c>
      <c r="N116" s="690">
        <v>7500</v>
      </c>
      <c r="O116" s="1277">
        <f t="shared" si="90"/>
        <v>0</v>
      </c>
      <c r="P116" s="1277">
        <f t="shared" si="91"/>
        <v>0</v>
      </c>
      <c r="Q116" s="1277">
        <f t="shared" si="103"/>
        <v>0</v>
      </c>
      <c r="R116" s="1277">
        <f t="shared" si="92"/>
        <v>0</v>
      </c>
      <c r="S116" s="1277">
        <f t="shared" si="93"/>
        <v>0</v>
      </c>
      <c r="T116" s="1277">
        <f t="shared" si="94"/>
        <v>-1500</v>
      </c>
      <c r="U116" s="1277">
        <f t="shared" si="95"/>
        <v>0</v>
      </c>
      <c r="V116" s="1277">
        <f t="shared" si="96"/>
        <v>0</v>
      </c>
      <c r="W116" s="1277">
        <f t="shared" si="104"/>
        <v>0</v>
      </c>
      <c r="X116" s="1277">
        <f t="shared" si="105"/>
        <v>4500</v>
      </c>
      <c r="Y116" s="1277">
        <f t="shared" si="106"/>
        <v>0</v>
      </c>
      <c r="Z116" s="1277">
        <f t="shared" si="107"/>
        <v>0</v>
      </c>
    </row>
    <row r="117" spans="1:26" ht="13.5" thickBot="1">
      <c r="A117" s="1446" t="s">
        <v>2740</v>
      </c>
      <c r="B117" s="690">
        <v>0</v>
      </c>
      <c r="C117" s="690">
        <v>0</v>
      </c>
      <c r="D117" s="690">
        <v>0</v>
      </c>
      <c r="E117" s="690">
        <v>0</v>
      </c>
      <c r="F117" s="690">
        <v>0</v>
      </c>
      <c r="G117" s="690">
        <v>0</v>
      </c>
      <c r="H117" s="690">
        <v>0</v>
      </c>
      <c r="I117" s="690">
        <v>0</v>
      </c>
      <c r="J117" s="690">
        <v>0</v>
      </c>
      <c r="K117" s="690">
        <v>2000</v>
      </c>
      <c r="L117" s="690">
        <v>5000</v>
      </c>
      <c r="M117" s="690">
        <v>5000</v>
      </c>
      <c r="N117" s="690">
        <v>5000</v>
      </c>
      <c r="O117" s="1277">
        <f t="shared" si="90"/>
        <v>0</v>
      </c>
      <c r="P117" s="1277">
        <f t="shared" si="91"/>
        <v>0</v>
      </c>
      <c r="Q117" s="1277">
        <f t="shared" si="103"/>
        <v>0</v>
      </c>
      <c r="R117" s="1277">
        <f t="shared" si="92"/>
        <v>0</v>
      </c>
      <c r="S117" s="1277">
        <f t="shared" si="93"/>
        <v>0</v>
      </c>
      <c r="T117" s="1277">
        <f t="shared" si="94"/>
        <v>0</v>
      </c>
      <c r="U117" s="1277">
        <f t="shared" si="95"/>
        <v>0</v>
      </c>
      <c r="V117" s="1277">
        <f t="shared" si="96"/>
        <v>0</v>
      </c>
      <c r="W117" s="1277">
        <f t="shared" si="104"/>
        <v>2000</v>
      </c>
      <c r="X117" s="1277">
        <f t="shared" si="105"/>
        <v>3000</v>
      </c>
      <c r="Y117" s="1277">
        <f t="shared" si="106"/>
        <v>0</v>
      </c>
      <c r="Z117" s="1277">
        <f t="shared" si="107"/>
        <v>0</v>
      </c>
    </row>
    <row r="118" spans="1:26" ht="13.5" thickBot="1">
      <c r="A118" s="1444" t="s">
        <v>2741</v>
      </c>
      <c r="B118" s="625">
        <f>SUM(B119:B125)</f>
        <v>55424.78</v>
      </c>
      <c r="C118" s="625">
        <f t="shared" ref="C118:N118" si="108">SUM(C119:C125)</f>
        <v>55424.78</v>
      </c>
      <c r="D118" s="625">
        <f t="shared" si="108"/>
        <v>55082.78</v>
      </c>
      <c r="E118" s="625">
        <f t="shared" si="108"/>
        <v>61649.21</v>
      </c>
      <c r="F118" s="625">
        <f t="shared" si="108"/>
        <v>64937.21</v>
      </c>
      <c r="G118" s="625">
        <f t="shared" si="108"/>
        <v>64937.21</v>
      </c>
      <c r="H118" s="625">
        <f t="shared" si="108"/>
        <v>61198.21</v>
      </c>
      <c r="I118" s="625">
        <f t="shared" si="108"/>
        <v>61198.21</v>
      </c>
      <c r="J118" s="625">
        <f t="shared" si="108"/>
        <v>61198.21</v>
      </c>
      <c r="K118" s="625">
        <f t="shared" si="108"/>
        <v>64698.209999999992</v>
      </c>
      <c r="L118" s="625">
        <f t="shared" si="108"/>
        <v>73698.209999999992</v>
      </c>
      <c r="M118" s="625">
        <f t="shared" si="108"/>
        <v>73698.209999999992</v>
      </c>
      <c r="N118" s="625">
        <f t="shared" si="108"/>
        <v>73698.209999999992</v>
      </c>
      <c r="O118" s="1277">
        <f t="shared" si="90"/>
        <v>0</v>
      </c>
      <c r="P118" s="1277">
        <f t="shared" si="91"/>
        <v>-342</v>
      </c>
      <c r="Q118" s="1277">
        <f t="shared" si="103"/>
        <v>6566.43</v>
      </c>
      <c r="R118" s="1277">
        <f t="shared" si="92"/>
        <v>3288</v>
      </c>
      <c r="S118" s="1277">
        <f t="shared" si="93"/>
        <v>0</v>
      </c>
      <c r="T118" s="1277">
        <f t="shared" si="94"/>
        <v>-3739</v>
      </c>
      <c r="U118" s="1277">
        <f t="shared" si="95"/>
        <v>0</v>
      </c>
      <c r="V118" s="1277">
        <f t="shared" si="96"/>
        <v>0</v>
      </c>
      <c r="W118" s="1277">
        <f t="shared" si="104"/>
        <v>3499.9999999999927</v>
      </c>
      <c r="X118" s="1277">
        <f t="shared" si="105"/>
        <v>9000</v>
      </c>
      <c r="Y118" s="1277">
        <f t="shared" si="106"/>
        <v>0</v>
      </c>
      <c r="Z118" s="1277">
        <f t="shared" si="107"/>
        <v>0</v>
      </c>
    </row>
    <row r="119" spans="1:26" ht="13.5" thickBot="1">
      <c r="A119" s="1446" t="s">
        <v>2742</v>
      </c>
      <c r="B119" s="690">
        <v>3523.68</v>
      </c>
      <c r="C119" s="690">
        <v>3523.68</v>
      </c>
      <c r="D119" s="690">
        <v>5528.68</v>
      </c>
      <c r="E119" s="690">
        <v>5830.87</v>
      </c>
      <c r="F119" s="690">
        <v>5918.87</v>
      </c>
      <c r="G119" s="690">
        <v>5918.87</v>
      </c>
      <c r="H119" s="690">
        <v>7749.87</v>
      </c>
      <c r="I119" s="690">
        <v>7749.87</v>
      </c>
      <c r="J119" s="690">
        <v>7749.87</v>
      </c>
      <c r="K119" s="690">
        <v>10743.86</v>
      </c>
      <c r="L119" s="690">
        <v>13705.86</v>
      </c>
      <c r="M119" s="690">
        <v>13705.86</v>
      </c>
      <c r="N119" s="690">
        <v>13705.86</v>
      </c>
      <c r="O119" s="1277">
        <f t="shared" si="90"/>
        <v>0</v>
      </c>
      <c r="P119" s="1277">
        <f t="shared" si="91"/>
        <v>2005.0000000000005</v>
      </c>
      <c r="Q119" s="1277">
        <f t="shared" si="103"/>
        <v>302.1899999999996</v>
      </c>
      <c r="R119" s="1277">
        <f t="shared" si="92"/>
        <v>88</v>
      </c>
      <c r="S119" s="1277">
        <f t="shared" si="93"/>
        <v>0</v>
      </c>
      <c r="T119" s="1277">
        <f t="shared" si="94"/>
        <v>1831</v>
      </c>
      <c r="U119" s="1277">
        <f t="shared" si="95"/>
        <v>0</v>
      </c>
      <c r="V119" s="1277">
        <f t="shared" si="96"/>
        <v>0</v>
      </c>
      <c r="W119" s="1277">
        <f t="shared" si="104"/>
        <v>2993.9900000000007</v>
      </c>
      <c r="X119" s="1277">
        <f t="shared" si="105"/>
        <v>2962</v>
      </c>
      <c r="Y119" s="1277">
        <f t="shared" si="106"/>
        <v>0</v>
      </c>
      <c r="Z119" s="1277">
        <f t="shared" si="107"/>
        <v>0</v>
      </c>
    </row>
    <row r="120" spans="1:26" ht="13.5" thickBot="1">
      <c r="A120" s="1446" t="s">
        <v>2743</v>
      </c>
      <c r="B120" s="690">
        <v>25019</v>
      </c>
      <c r="C120" s="690">
        <v>25019</v>
      </c>
      <c r="D120" s="690">
        <v>22669</v>
      </c>
      <c r="E120" s="690">
        <v>26739.200000000001</v>
      </c>
      <c r="F120" s="690">
        <v>30424.2</v>
      </c>
      <c r="G120" s="690">
        <v>30424.2</v>
      </c>
      <c r="H120" s="690">
        <v>25855.200000000001</v>
      </c>
      <c r="I120" s="690">
        <v>25855.200000000001</v>
      </c>
      <c r="J120" s="690">
        <v>25855.200000000001</v>
      </c>
      <c r="K120" s="690">
        <v>24975.51</v>
      </c>
      <c r="L120" s="690">
        <v>24975.51</v>
      </c>
      <c r="M120" s="690">
        <v>24975.51</v>
      </c>
      <c r="N120" s="690">
        <v>24975.51</v>
      </c>
      <c r="O120" s="1277">
        <f t="shared" si="90"/>
        <v>0</v>
      </c>
      <c r="P120" s="1277">
        <f t="shared" si="91"/>
        <v>-2350</v>
      </c>
      <c r="Q120" s="1277">
        <f t="shared" si="103"/>
        <v>4070.2000000000007</v>
      </c>
      <c r="R120" s="1277">
        <f t="shared" si="92"/>
        <v>3685</v>
      </c>
      <c r="S120" s="1277">
        <f t="shared" si="93"/>
        <v>0</v>
      </c>
      <c r="T120" s="1277">
        <f t="shared" si="94"/>
        <v>-4569</v>
      </c>
      <c r="U120" s="1277">
        <f t="shared" si="95"/>
        <v>0</v>
      </c>
      <c r="V120" s="1277">
        <f t="shared" si="96"/>
        <v>0</v>
      </c>
      <c r="W120" s="1277">
        <f t="shared" si="104"/>
        <v>-879.69000000000233</v>
      </c>
      <c r="X120" s="1277">
        <f t="shared" si="105"/>
        <v>0</v>
      </c>
      <c r="Y120" s="1277">
        <f t="shared" si="106"/>
        <v>0</v>
      </c>
      <c r="Z120" s="1277">
        <f t="shared" si="107"/>
        <v>0</v>
      </c>
    </row>
    <row r="121" spans="1:26" ht="13.5" thickBot="1">
      <c r="A121" s="1446" t="s">
        <v>2744</v>
      </c>
      <c r="B121" s="690">
        <v>15123</v>
      </c>
      <c r="C121" s="690">
        <v>15123</v>
      </c>
      <c r="D121" s="690">
        <v>15126</v>
      </c>
      <c r="E121" s="690">
        <v>15630</v>
      </c>
      <c r="F121" s="690">
        <v>15645</v>
      </c>
      <c r="G121" s="690">
        <v>15645</v>
      </c>
      <c r="H121" s="690">
        <v>16095</v>
      </c>
      <c r="I121" s="690">
        <v>16095</v>
      </c>
      <c r="J121" s="690">
        <v>16095</v>
      </c>
      <c r="K121" s="690">
        <v>15154</v>
      </c>
      <c r="L121" s="690">
        <v>18817</v>
      </c>
      <c r="M121" s="690">
        <v>18817</v>
      </c>
      <c r="N121" s="690">
        <v>18817</v>
      </c>
      <c r="O121" s="1277">
        <f t="shared" si="90"/>
        <v>0</v>
      </c>
      <c r="P121" s="1277">
        <f t="shared" si="91"/>
        <v>3</v>
      </c>
      <c r="Q121" s="1277">
        <f t="shared" si="103"/>
        <v>504</v>
      </c>
      <c r="R121" s="1277">
        <f t="shared" si="92"/>
        <v>15</v>
      </c>
      <c r="S121" s="1277">
        <f t="shared" si="93"/>
        <v>0</v>
      </c>
      <c r="T121" s="1277">
        <f t="shared" si="94"/>
        <v>450</v>
      </c>
      <c r="U121" s="1277">
        <f t="shared" si="95"/>
        <v>0</v>
      </c>
      <c r="V121" s="1277">
        <f t="shared" si="96"/>
        <v>0</v>
      </c>
      <c r="W121" s="1277">
        <f t="shared" si="104"/>
        <v>-941</v>
      </c>
      <c r="X121" s="1277">
        <f t="shared" si="105"/>
        <v>3663</v>
      </c>
      <c r="Y121" s="1277">
        <f t="shared" si="106"/>
        <v>0</v>
      </c>
      <c r="Z121" s="1277">
        <f t="shared" si="107"/>
        <v>0</v>
      </c>
    </row>
    <row r="122" spans="1:26" ht="13.5" thickBot="1">
      <c r="A122" s="1446" t="s">
        <v>2745</v>
      </c>
      <c r="B122" s="690">
        <v>2000</v>
      </c>
      <c r="C122" s="690">
        <v>2000</v>
      </c>
      <c r="D122" s="690">
        <v>2000</v>
      </c>
      <c r="E122" s="690">
        <v>3000</v>
      </c>
      <c r="F122" s="690">
        <v>3000</v>
      </c>
      <c r="G122" s="690">
        <v>3000</v>
      </c>
      <c r="H122" s="690">
        <v>3000</v>
      </c>
      <c r="I122" s="690">
        <v>3000</v>
      </c>
      <c r="J122" s="690">
        <v>3000</v>
      </c>
      <c r="K122" s="690">
        <v>3000</v>
      </c>
      <c r="L122" s="690">
        <v>3000</v>
      </c>
      <c r="M122" s="690">
        <v>3000</v>
      </c>
      <c r="N122" s="690">
        <v>3000</v>
      </c>
      <c r="O122" s="1277">
        <f t="shared" si="90"/>
        <v>0</v>
      </c>
      <c r="P122" s="1277">
        <f t="shared" si="91"/>
        <v>0</v>
      </c>
      <c r="Q122" s="1277">
        <f t="shared" si="103"/>
        <v>1000</v>
      </c>
      <c r="R122" s="1277">
        <f t="shared" si="92"/>
        <v>0</v>
      </c>
      <c r="S122" s="1277">
        <f t="shared" si="93"/>
        <v>0</v>
      </c>
      <c r="T122" s="1277">
        <f t="shared" si="94"/>
        <v>0</v>
      </c>
      <c r="U122" s="1277">
        <f t="shared" si="95"/>
        <v>0</v>
      </c>
      <c r="V122" s="1277">
        <f t="shared" si="96"/>
        <v>0</v>
      </c>
      <c r="W122" s="1277">
        <f t="shared" si="104"/>
        <v>0</v>
      </c>
      <c r="X122" s="1277">
        <f t="shared" si="105"/>
        <v>0</v>
      </c>
      <c r="Y122" s="1277">
        <f t="shared" si="106"/>
        <v>0</v>
      </c>
      <c r="Z122" s="1277">
        <f t="shared" si="107"/>
        <v>0</v>
      </c>
    </row>
    <row r="123" spans="1:26" ht="15.75" thickBot="1">
      <c r="A123" s="1447" t="s">
        <v>2746</v>
      </c>
      <c r="B123" s="690">
        <v>0</v>
      </c>
      <c r="C123" s="690">
        <v>0</v>
      </c>
      <c r="D123" s="690">
        <v>0</v>
      </c>
      <c r="E123" s="690">
        <v>0</v>
      </c>
      <c r="F123" s="690">
        <v>0</v>
      </c>
      <c r="G123" s="690">
        <v>0</v>
      </c>
      <c r="H123" s="690">
        <v>0</v>
      </c>
      <c r="I123" s="690">
        <v>0</v>
      </c>
      <c r="J123" s="690">
        <v>0</v>
      </c>
      <c r="K123" s="1578">
        <v>0</v>
      </c>
      <c r="L123" s="690">
        <v>0</v>
      </c>
      <c r="M123" s="690">
        <v>0</v>
      </c>
      <c r="N123" s="690">
        <v>0</v>
      </c>
      <c r="O123" s="1277">
        <f t="shared" si="90"/>
        <v>0</v>
      </c>
      <c r="P123" s="1277">
        <f t="shared" si="91"/>
        <v>0</v>
      </c>
      <c r="Q123" s="1277">
        <f t="shared" si="103"/>
        <v>0</v>
      </c>
      <c r="R123" s="1277">
        <f t="shared" si="92"/>
        <v>0</v>
      </c>
      <c r="S123" s="1277">
        <f t="shared" si="93"/>
        <v>0</v>
      </c>
      <c r="T123" s="1277">
        <f t="shared" si="94"/>
        <v>0</v>
      </c>
      <c r="U123" s="1277">
        <f t="shared" si="95"/>
        <v>0</v>
      </c>
      <c r="V123" s="1277">
        <f t="shared" si="96"/>
        <v>0</v>
      </c>
      <c r="W123" s="1277">
        <f t="shared" si="104"/>
        <v>0</v>
      </c>
      <c r="X123" s="1277">
        <f t="shared" si="105"/>
        <v>0</v>
      </c>
      <c r="Y123" s="1277">
        <f t="shared" si="106"/>
        <v>0</v>
      </c>
      <c r="Z123" s="1277">
        <f t="shared" si="107"/>
        <v>0</v>
      </c>
    </row>
    <row r="124" spans="1:26" ht="13.5" thickBot="1">
      <c r="A124" s="1447" t="s">
        <v>2747</v>
      </c>
      <c r="B124" s="690">
        <v>9753.1</v>
      </c>
      <c r="C124" s="690">
        <v>9753.1</v>
      </c>
      <c r="D124" s="690">
        <v>9753.1</v>
      </c>
      <c r="E124" s="690">
        <v>10409.14</v>
      </c>
      <c r="F124" s="690">
        <v>9909.14</v>
      </c>
      <c r="G124" s="690">
        <v>9909.14</v>
      </c>
      <c r="H124" s="690">
        <v>8458.14</v>
      </c>
      <c r="I124" s="690">
        <v>8458.14</v>
      </c>
      <c r="J124" s="690">
        <v>8458.14</v>
      </c>
      <c r="K124" s="690">
        <v>8784.84</v>
      </c>
      <c r="L124" s="690">
        <v>9159.84</v>
      </c>
      <c r="M124" s="690">
        <v>9159.84</v>
      </c>
      <c r="N124" s="690">
        <v>9159.84</v>
      </c>
      <c r="O124" s="1277">
        <f t="shared" si="90"/>
        <v>0</v>
      </c>
      <c r="P124" s="1277">
        <f t="shared" si="91"/>
        <v>0</v>
      </c>
      <c r="Q124" s="1277">
        <f t="shared" si="103"/>
        <v>656.03999999999905</v>
      </c>
      <c r="R124" s="1277">
        <f t="shared" si="92"/>
        <v>-500</v>
      </c>
      <c r="S124" s="1277">
        <f t="shared" si="93"/>
        <v>0</v>
      </c>
      <c r="T124" s="1277">
        <f t="shared" si="94"/>
        <v>-1451</v>
      </c>
      <c r="U124" s="1277">
        <f t="shared" si="95"/>
        <v>0</v>
      </c>
      <c r="V124" s="1277">
        <f t="shared" si="96"/>
        <v>0</v>
      </c>
      <c r="W124" s="1277">
        <f t="shared" si="104"/>
        <v>326.70000000000073</v>
      </c>
      <c r="X124" s="1277">
        <f t="shared" si="105"/>
        <v>375</v>
      </c>
      <c r="Y124" s="1277">
        <f t="shared" si="106"/>
        <v>0</v>
      </c>
      <c r="Z124" s="1277">
        <f t="shared" si="107"/>
        <v>0</v>
      </c>
    </row>
    <row r="125" spans="1:26" ht="13.5" thickBot="1">
      <c r="A125" s="1447" t="s">
        <v>2991</v>
      </c>
      <c r="B125" s="690">
        <v>6</v>
      </c>
      <c r="C125" s="1366">
        <v>6</v>
      </c>
      <c r="D125" s="690">
        <v>6</v>
      </c>
      <c r="E125" s="690">
        <v>40</v>
      </c>
      <c r="F125" s="690">
        <v>40</v>
      </c>
      <c r="G125" s="690">
        <v>40</v>
      </c>
      <c r="H125" s="690">
        <v>40</v>
      </c>
      <c r="I125" s="690">
        <v>40</v>
      </c>
      <c r="J125" s="690">
        <v>40</v>
      </c>
      <c r="K125" s="690">
        <v>2040</v>
      </c>
      <c r="L125" s="690">
        <v>4040</v>
      </c>
      <c r="M125" s="690">
        <v>4040</v>
      </c>
      <c r="N125" s="690">
        <v>4040</v>
      </c>
      <c r="O125" s="1277">
        <f t="shared" ref="O125:Z125" si="109">C125-B125</f>
        <v>0</v>
      </c>
      <c r="P125" s="1277">
        <f t="shared" si="109"/>
        <v>0</v>
      </c>
      <c r="Q125" s="1277">
        <f t="shared" si="109"/>
        <v>34</v>
      </c>
      <c r="R125" s="1277">
        <f t="shared" si="109"/>
        <v>0</v>
      </c>
      <c r="S125" s="1277">
        <f t="shared" si="109"/>
        <v>0</v>
      </c>
      <c r="T125" s="1277">
        <f t="shared" si="109"/>
        <v>0</v>
      </c>
      <c r="U125" s="1277">
        <f t="shared" si="109"/>
        <v>0</v>
      </c>
      <c r="V125" s="1277">
        <f t="shared" si="109"/>
        <v>0</v>
      </c>
      <c r="W125" s="1277">
        <f t="shared" si="109"/>
        <v>2000</v>
      </c>
      <c r="X125" s="1277">
        <f t="shared" si="109"/>
        <v>2000</v>
      </c>
      <c r="Y125" s="1277">
        <f t="shared" si="109"/>
        <v>0</v>
      </c>
      <c r="Z125" s="1277">
        <f t="shared" si="109"/>
        <v>0</v>
      </c>
    </row>
    <row r="126" spans="1:26">
      <c r="A126" s="7"/>
      <c r="B126" s="690"/>
      <c r="C126" s="575"/>
      <c r="D126" s="690"/>
      <c r="E126" s="570"/>
      <c r="F126" s="570"/>
      <c r="G126" s="570"/>
      <c r="H126" s="570"/>
      <c r="I126" s="570"/>
      <c r="J126" s="570"/>
      <c r="K126" s="570"/>
      <c r="L126" s="570"/>
      <c r="M126" s="570"/>
      <c r="N126" s="570"/>
      <c r="O126" s="570">
        <f t="shared" ref="O126:Z127" si="110">C126-B126</f>
        <v>0</v>
      </c>
      <c r="P126" s="570">
        <f t="shared" si="110"/>
        <v>0</v>
      </c>
      <c r="Q126" s="570">
        <f t="shared" si="110"/>
        <v>0</v>
      </c>
      <c r="R126" s="570">
        <f t="shared" si="110"/>
        <v>0</v>
      </c>
      <c r="S126" s="570">
        <f t="shared" si="110"/>
        <v>0</v>
      </c>
      <c r="T126" s="570">
        <f t="shared" si="110"/>
        <v>0</v>
      </c>
      <c r="U126" s="570">
        <f t="shared" si="110"/>
        <v>0</v>
      </c>
      <c r="V126" s="570">
        <f t="shared" si="110"/>
        <v>0</v>
      </c>
      <c r="W126" s="570">
        <f t="shared" si="110"/>
        <v>0</v>
      </c>
      <c r="X126" s="570">
        <f t="shared" si="110"/>
        <v>0</v>
      </c>
      <c r="Y126" s="570">
        <f t="shared" si="110"/>
        <v>0</v>
      </c>
      <c r="Z126" s="570">
        <f t="shared" si="110"/>
        <v>0</v>
      </c>
    </row>
    <row r="127" spans="1:26">
      <c r="A127" s="1448" t="s">
        <v>1649</v>
      </c>
      <c r="B127" s="1558">
        <f>[34]PNT!B127</f>
        <v>29693.37816</v>
      </c>
      <c r="C127" s="1558">
        <f>[34]PNT!C127</f>
        <v>29323.952395</v>
      </c>
      <c r="D127" s="1558">
        <f>[34]PNT!D127</f>
        <v>29323.952395</v>
      </c>
      <c r="E127" s="1558">
        <f>[34]PNT!E127</f>
        <v>29323.952395</v>
      </c>
      <c r="F127" s="1558">
        <f>[34]PNT!F127</f>
        <v>29323.952395</v>
      </c>
      <c r="G127" s="1558">
        <f>[34]PNT!G127</f>
        <v>29323.952395</v>
      </c>
      <c r="H127" s="1558">
        <f>[34]PNT!H127</f>
        <v>28954.52663</v>
      </c>
      <c r="I127" s="1558">
        <f>[34]PNT!I127</f>
        <v>28954.52663</v>
      </c>
      <c r="J127" s="1558">
        <f>[34]PNT!J127</f>
        <v>28954.52663</v>
      </c>
      <c r="K127" s="1558">
        <f>[34]PNT!K127</f>
        <v>28954.52663</v>
      </c>
      <c r="L127" s="1558">
        <f>[34]PNT!L127</f>
        <v>28954.52663</v>
      </c>
      <c r="M127" s="1558">
        <f>[34]PNT!M127</f>
        <v>28777.002759999999</v>
      </c>
      <c r="N127" s="1558">
        <f>[34]PNT!N127</f>
        <v>28407.576994999999</v>
      </c>
      <c r="O127" s="570">
        <f>C127-B127</f>
        <v>-369.42576499999996</v>
      </c>
      <c r="P127" s="570">
        <f t="shared" si="110"/>
        <v>0</v>
      </c>
      <c r="Q127" s="570">
        <f t="shared" si="110"/>
        <v>0</v>
      </c>
      <c r="R127" s="570">
        <f t="shared" si="110"/>
        <v>0</v>
      </c>
      <c r="S127" s="570">
        <f t="shared" si="110"/>
        <v>0</v>
      </c>
      <c r="T127" s="570">
        <f t="shared" si="110"/>
        <v>-369.42576499999996</v>
      </c>
      <c r="U127" s="570">
        <f t="shared" si="110"/>
        <v>0</v>
      </c>
      <c r="V127" s="570">
        <f t="shared" si="110"/>
        <v>0</v>
      </c>
      <c r="W127" s="570">
        <f t="shared" si="110"/>
        <v>0</v>
      </c>
      <c r="X127" s="570">
        <f t="shared" si="110"/>
        <v>0</v>
      </c>
      <c r="Y127" s="570">
        <f t="shared" si="110"/>
        <v>-177.5238700000009</v>
      </c>
      <c r="Z127" s="570">
        <f t="shared" si="110"/>
        <v>-369.42576499999996</v>
      </c>
    </row>
    <row r="128" spans="1:26">
      <c r="A128" s="7" t="s">
        <v>1650</v>
      </c>
      <c r="B128" s="1535">
        <v>0</v>
      </c>
      <c r="C128" s="1535">
        <v>0</v>
      </c>
      <c r="D128" s="1535">
        <v>0</v>
      </c>
      <c r="E128" s="1535">
        <v>0</v>
      </c>
      <c r="F128" s="570">
        <v>0</v>
      </c>
      <c r="G128" s="570">
        <v>0</v>
      </c>
      <c r="H128" s="570">
        <v>0</v>
      </c>
      <c r="I128" s="570">
        <v>0</v>
      </c>
      <c r="J128" s="570">
        <v>0</v>
      </c>
      <c r="K128" s="570">
        <v>0</v>
      </c>
      <c r="L128" s="570">
        <v>0</v>
      </c>
      <c r="M128" s="570">
        <v>0</v>
      </c>
      <c r="N128" s="570">
        <v>0</v>
      </c>
      <c r="O128" s="570">
        <f t="shared" ref="O128:Q129" si="111">C128-B128</f>
        <v>0</v>
      </c>
      <c r="P128" s="570">
        <f t="shared" si="111"/>
        <v>0</v>
      </c>
      <c r="Q128" s="570">
        <f t="shared" si="111"/>
        <v>0</v>
      </c>
      <c r="R128" s="570">
        <f t="shared" ref="R128:U129" si="112">F128-E128</f>
        <v>0</v>
      </c>
      <c r="S128" s="570">
        <f t="shared" si="112"/>
        <v>0</v>
      </c>
      <c r="T128" s="570">
        <f t="shared" si="112"/>
        <v>0</v>
      </c>
      <c r="U128" s="570">
        <f t="shared" si="112"/>
        <v>0</v>
      </c>
      <c r="V128" s="570">
        <f t="shared" ref="V128:Z129" si="113">J128-I128</f>
        <v>0</v>
      </c>
      <c r="W128" s="570">
        <f t="shared" si="113"/>
        <v>0</v>
      </c>
      <c r="X128" s="570">
        <f t="shared" si="113"/>
        <v>0</v>
      </c>
      <c r="Y128" s="570">
        <f t="shared" si="113"/>
        <v>0</v>
      </c>
      <c r="Z128" s="570">
        <f t="shared" si="113"/>
        <v>0</v>
      </c>
    </row>
    <row r="129" spans="1:26" ht="13.5" thickBot="1">
      <c r="A129" s="7" t="s">
        <v>1398</v>
      </c>
      <c r="B129" s="1475">
        <v>0</v>
      </c>
      <c r="C129" s="1475">
        <v>0</v>
      </c>
      <c r="D129" s="1475">
        <v>0</v>
      </c>
      <c r="E129" s="1475">
        <v>0</v>
      </c>
      <c r="F129" s="570">
        <v>0</v>
      </c>
      <c r="G129" s="570">
        <v>0</v>
      </c>
      <c r="H129" s="570">
        <v>0</v>
      </c>
      <c r="I129" s="570">
        <v>0</v>
      </c>
      <c r="J129" s="570">
        <v>0</v>
      </c>
      <c r="K129" s="570">
        <v>0</v>
      </c>
      <c r="L129" s="570">
        <v>0</v>
      </c>
      <c r="M129" s="570">
        <v>0</v>
      </c>
      <c r="N129" s="570">
        <v>0</v>
      </c>
      <c r="O129" s="570">
        <f t="shared" si="111"/>
        <v>0</v>
      </c>
      <c r="P129" s="570">
        <f t="shared" si="111"/>
        <v>0</v>
      </c>
      <c r="Q129" s="570">
        <f t="shared" si="111"/>
        <v>0</v>
      </c>
      <c r="R129" s="570">
        <f t="shared" si="112"/>
        <v>0</v>
      </c>
      <c r="S129" s="570">
        <f t="shared" si="112"/>
        <v>0</v>
      </c>
      <c r="T129" s="570">
        <f t="shared" si="112"/>
        <v>0</v>
      </c>
      <c r="U129" s="570">
        <f t="shared" si="112"/>
        <v>0</v>
      </c>
      <c r="V129" s="570">
        <f t="shared" si="113"/>
        <v>0</v>
      </c>
      <c r="W129" s="570">
        <f t="shared" si="113"/>
        <v>0</v>
      </c>
      <c r="X129" s="570">
        <f t="shared" si="113"/>
        <v>0</v>
      </c>
      <c r="Y129" s="570">
        <f t="shared" si="113"/>
        <v>0</v>
      </c>
      <c r="Z129" s="570">
        <f t="shared" si="113"/>
        <v>0</v>
      </c>
    </row>
    <row r="130" spans="1:26" ht="13.5" thickBot="1">
      <c r="A130" s="1440" t="s">
        <v>1651</v>
      </c>
      <c r="B130" s="701">
        <f>SUM(B77+B82+B127)</f>
        <v>142723.89125700001</v>
      </c>
      <c r="C130" s="701">
        <f t="shared" ref="C130:N130" si="114">SUM(C80+C81+C82+C127)</f>
        <v>142236.33745699999</v>
      </c>
      <c r="D130" s="701">
        <f t="shared" si="114"/>
        <v>145606.67612600001</v>
      </c>
      <c r="E130" s="701">
        <f t="shared" si="114"/>
        <v>155338.33921999999</v>
      </c>
      <c r="F130" s="701">
        <f t="shared" si="114"/>
        <v>159540.26809100001</v>
      </c>
      <c r="G130" s="701">
        <f t="shared" si="114"/>
        <v>133993.59144600001</v>
      </c>
      <c r="H130" s="701">
        <f t="shared" si="114"/>
        <v>127125.415545</v>
      </c>
      <c r="I130" s="701">
        <f t="shared" si="114"/>
        <v>126246.07885200001</v>
      </c>
      <c r="J130" s="701">
        <f t="shared" si="114"/>
        <v>125563.53798299999</v>
      </c>
      <c r="K130" s="701">
        <f t="shared" si="114"/>
        <v>132702.02544</v>
      </c>
      <c r="L130" s="701">
        <f t="shared" si="114"/>
        <v>139016.68456699999</v>
      </c>
      <c r="M130" s="701">
        <f t="shared" si="114"/>
        <v>139903.32207599998</v>
      </c>
      <c r="N130" s="701">
        <f t="shared" si="114"/>
        <v>149376.119175</v>
      </c>
      <c r="O130" s="701">
        <f t="shared" ref="O130:Z130" si="115">SUM(O80:O128)</f>
        <v>-821.79458000001819</v>
      </c>
      <c r="P130" s="701">
        <f t="shared" si="115"/>
        <v>6423.0349130000213</v>
      </c>
      <c r="Q130" s="701">
        <f t="shared" si="115"/>
        <v>26834.579196999992</v>
      </c>
      <c r="R130" s="701">
        <f t="shared" si="115"/>
        <v>11874.654635000004</v>
      </c>
      <c r="S130" s="701">
        <f t="shared" si="115"/>
        <v>-76009.289776999998</v>
      </c>
      <c r="T130" s="701">
        <f t="shared" si="115"/>
        <v>-18395.509849000002</v>
      </c>
      <c r="U130" s="701">
        <f t="shared" si="115"/>
        <v>-1713.1535940000053</v>
      </c>
      <c r="V130" s="701">
        <f t="shared" si="115"/>
        <v>-1340.9449600000039</v>
      </c>
      <c r="W130" s="701">
        <f t="shared" si="115"/>
        <v>18893.559827999987</v>
      </c>
      <c r="X130" s="701">
        <f t="shared" si="115"/>
        <v>14750.090564999991</v>
      </c>
      <c r="Y130" s="701">
        <f t="shared" si="115"/>
        <v>1950.7988880000112</v>
      </c>
      <c r="Z130" s="701">
        <f t="shared" si="115"/>
        <v>19315.019962999995</v>
      </c>
    </row>
    <row r="131" spans="1:26" ht="13.5" thickBot="1">
      <c r="A131" s="1440" t="s">
        <v>1652</v>
      </c>
      <c r="B131" s="704">
        <f t="shared" ref="B131:K131" si="116">+B130-B75</f>
        <v>134709.79604000002</v>
      </c>
      <c r="C131" s="704">
        <f t="shared" si="116"/>
        <v>139799.42442299999</v>
      </c>
      <c r="D131" s="704">
        <f t="shared" si="116"/>
        <v>143607.382568</v>
      </c>
      <c r="E131" s="704">
        <f t="shared" si="116"/>
        <v>147569.81713499999</v>
      </c>
      <c r="F131" s="704">
        <f t="shared" si="116"/>
        <v>151892.271783</v>
      </c>
      <c r="G131" s="704">
        <f t="shared" si="116"/>
        <v>126021.04016400001</v>
      </c>
      <c r="H131" s="704">
        <f t="shared" si="116"/>
        <v>123092.38188999999</v>
      </c>
      <c r="I131" s="704">
        <f t="shared" si="116"/>
        <v>123248.78141900001</v>
      </c>
      <c r="J131" s="704">
        <f t="shared" si="116"/>
        <v>124257.38090499998</v>
      </c>
      <c r="K131" s="704">
        <f t="shared" si="116"/>
        <v>128239.885599</v>
      </c>
      <c r="L131" s="704">
        <f>L130-L75</f>
        <v>132180.02669499998</v>
      </c>
      <c r="M131" s="701">
        <f>M130-M75</f>
        <v>134485.33132199998</v>
      </c>
      <c r="N131" s="701">
        <f t="shared" ref="N131:Z131" si="117">+N130-N75</f>
        <v>144015.28110399999</v>
      </c>
      <c r="O131" s="701">
        <f t="shared" si="117"/>
        <v>4755.3876029999828</v>
      </c>
      <c r="P131" s="701">
        <f t="shared" si="117"/>
        <v>6860.6543890000212</v>
      </c>
      <c r="Q131" s="701">
        <f t="shared" si="117"/>
        <v>21065.350669999993</v>
      </c>
      <c r="R131" s="701">
        <f t="shared" si="117"/>
        <v>11995.180412000005</v>
      </c>
      <c r="S131" s="701">
        <f t="shared" si="117"/>
        <v>-76333.844750999997</v>
      </c>
      <c r="T131" s="701">
        <f t="shared" si="117"/>
        <v>-14455.992222000003</v>
      </c>
      <c r="U131" s="701">
        <f t="shared" si="117"/>
        <v>-677.41737200000534</v>
      </c>
      <c r="V131" s="701">
        <f t="shared" si="117"/>
        <v>350.19539499999678</v>
      </c>
      <c r="W131" s="701">
        <f t="shared" si="117"/>
        <v>15737.577064999987</v>
      </c>
      <c r="X131" s="701">
        <f t="shared" si="117"/>
        <v>12375.572533999992</v>
      </c>
      <c r="Y131" s="701">
        <f t="shared" si="117"/>
        <v>3369.4660060000115</v>
      </c>
      <c r="Z131" s="701">
        <f t="shared" si="117"/>
        <v>19372.172645999999</v>
      </c>
    </row>
    <row r="132" spans="1:26">
      <c r="A132" s="1567">
        <v>133142908.25000024</v>
      </c>
      <c r="B132" s="1616">
        <v>142723.89125700001</v>
      </c>
      <c r="C132" s="1616">
        <v>142236.33745699999</v>
      </c>
      <c r="D132" s="1616">
        <v>145606.67612600001</v>
      </c>
      <c r="E132" s="1616">
        <v>155338.33921999999</v>
      </c>
      <c r="F132" s="1616">
        <v>159540.26809100001</v>
      </c>
      <c r="G132" s="1617">
        <v>133993.59144600001</v>
      </c>
      <c r="H132" s="1617">
        <v>127125.415545</v>
      </c>
      <c r="I132" s="1616">
        <v>126246.07885200001</v>
      </c>
      <c r="J132" s="1616">
        <v>125563.53798299999</v>
      </c>
      <c r="K132" s="1479"/>
      <c r="L132" s="1536"/>
      <c r="M132" s="1479"/>
      <c r="N132" s="1479"/>
      <c r="O132" s="1480"/>
      <c r="P132" s="1480"/>
      <c r="Q132" s="1480"/>
      <c r="R132" s="1480"/>
      <c r="S132" s="1480"/>
      <c r="T132" s="1480"/>
      <c r="U132" s="1480"/>
      <c r="V132" s="1480"/>
      <c r="W132" s="1480"/>
      <c r="X132" s="1480"/>
      <c r="Y132" s="1480"/>
      <c r="Z132" s="1480"/>
    </row>
    <row r="133" spans="1:26">
      <c r="B133" s="1616">
        <v>134709.79604000002</v>
      </c>
      <c r="C133" s="1616">
        <v>139799.42442299999</v>
      </c>
      <c r="D133" s="1616">
        <v>143607.382568</v>
      </c>
      <c r="E133" s="1616">
        <v>147569.81713499999</v>
      </c>
      <c r="F133" s="1616">
        <v>151892.271783</v>
      </c>
      <c r="G133" s="1618">
        <v>126021.04016400001</v>
      </c>
      <c r="H133" s="1616">
        <v>123092.38188999999</v>
      </c>
      <c r="I133" s="1616">
        <v>123248.78141900001</v>
      </c>
      <c r="J133" s="1616">
        <v>124257.64862999998</v>
      </c>
      <c r="K133" s="575"/>
      <c r="L133" s="575"/>
      <c r="N133" s="575"/>
      <c r="O133" s="575"/>
      <c r="P133" s="1543"/>
    </row>
    <row r="134" spans="1:26" ht="15" customHeight="1">
      <c r="A134" s="1404" t="s">
        <v>2834</v>
      </c>
      <c r="B134" s="1405">
        <f t="shared" ref="B134:N134" si="118">B135-B139</f>
        <v>0</v>
      </c>
      <c r="C134" s="1405">
        <f t="shared" si="118"/>
        <v>139799.42442299999</v>
      </c>
      <c r="D134" s="1405">
        <f t="shared" si="118"/>
        <v>143607.382568</v>
      </c>
      <c r="E134" s="1405">
        <f t="shared" si="118"/>
        <v>147569.81713499999</v>
      </c>
      <c r="F134" s="1405">
        <f t="shared" si="118"/>
        <v>151892.271783</v>
      </c>
      <c r="G134" s="1405">
        <f t="shared" si="118"/>
        <v>126021.04016400001</v>
      </c>
      <c r="H134" s="1405">
        <f t="shared" si="118"/>
        <v>123092.38188999999</v>
      </c>
      <c r="I134" s="1405">
        <f t="shared" si="118"/>
        <v>123248.78141900001</v>
      </c>
      <c r="J134" s="1405">
        <f t="shared" si="118"/>
        <v>124257.38090499998</v>
      </c>
      <c r="K134" s="1405">
        <f t="shared" si="118"/>
        <v>128239.885599</v>
      </c>
      <c r="L134" s="1405">
        <f t="shared" si="118"/>
        <v>132180.02669499998</v>
      </c>
      <c r="M134" s="1405">
        <f t="shared" si="118"/>
        <v>134485.33132199998</v>
      </c>
      <c r="N134" s="1405">
        <f t="shared" si="118"/>
        <v>144015.28110399999</v>
      </c>
      <c r="O134" s="575"/>
      <c r="P134" t="s">
        <v>2872</v>
      </c>
      <c r="R134" s="575">
        <f>+M131-B131</f>
        <v>-224.46471800003201</v>
      </c>
    </row>
    <row r="135" spans="1:26" ht="15" customHeight="1">
      <c r="A135" s="1404" t="s">
        <v>2828</v>
      </c>
      <c r="B135" s="1405"/>
      <c r="C135" s="1405">
        <f t="shared" ref="C135:N135" si="119">C136+C137+C138</f>
        <v>142236.33745699999</v>
      </c>
      <c r="D135" s="1405">
        <f t="shared" si="119"/>
        <v>145606.67612600001</v>
      </c>
      <c r="E135" s="1405">
        <f t="shared" si="119"/>
        <v>155338.33921999999</v>
      </c>
      <c r="F135" s="1405">
        <f t="shared" si="119"/>
        <v>159540.26809100001</v>
      </c>
      <c r="G135" s="1405">
        <f t="shared" si="119"/>
        <v>133993.59144600001</v>
      </c>
      <c r="H135" s="1405">
        <f t="shared" si="119"/>
        <v>127125.415545</v>
      </c>
      <c r="I135" s="1405">
        <f t="shared" si="119"/>
        <v>126246.07885200001</v>
      </c>
      <c r="J135" s="1405">
        <f t="shared" si="119"/>
        <v>125563.53798299999</v>
      </c>
      <c r="K135" s="1405">
        <f t="shared" si="119"/>
        <v>132702.02544</v>
      </c>
      <c r="L135" s="1405">
        <f t="shared" si="119"/>
        <v>139016.68456699999</v>
      </c>
      <c r="M135" s="1405">
        <f t="shared" si="119"/>
        <v>139903.32207599998</v>
      </c>
      <c r="N135" s="1405">
        <f t="shared" si="119"/>
        <v>149376.119175</v>
      </c>
      <c r="O135" s="575"/>
      <c r="P135" s="1579"/>
      <c r="R135" s="575">
        <f>+B130-B132</f>
        <v>0</v>
      </c>
      <c r="S135" s="575">
        <f t="shared" ref="S135:Z135" si="120">+C130-C132</f>
        <v>0</v>
      </c>
      <c r="T135" s="575">
        <f t="shared" si="120"/>
        <v>0</v>
      </c>
      <c r="U135" s="575">
        <f t="shared" si="120"/>
        <v>0</v>
      </c>
      <c r="V135" s="575">
        <f t="shared" si="120"/>
        <v>0</v>
      </c>
      <c r="W135" s="575">
        <f t="shared" si="120"/>
        <v>0</v>
      </c>
      <c r="X135" s="575">
        <f t="shared" si="120"/>
        <v>0</v>
      </c>
      <c r="Y135" s="575">
        <f t="shared" si="120"/>
        <v>0</v>
      </c>
      <c r="Z135" s="575">
        <f t="shared" si="120"/>
        <v>0</v>
      </c>
    </row>
    <row r="136" spans="1:26" ht="15" customHeight="1">
      <c r="A136" s="1401" t="s">
        <v>2829</v>
      </c>
      <c r="B136" s="1402"/>
      <c r="C136" s="1402">
        <f t="shared" ref="C136:N136" si="121">C77</f>
        <v>6160.5</v>
      </c>
      <c r="D136" s="1402">
        <f t="shared" si="121"/>
        <v>6160.5</v>
      </c>
      <c r="E136" s="1402">
        <f t="shared" si="121"/>
        <v>6160.5</v>
      </c>
      <c r="F136" s="1402">
        <f t="shared" si="121"/>
        <v>6160.5</v>
      </c>
      <c r="G136" s="1402">
        <f t="shared" si="121"/>
        <v>6160.5</v>
      </c>
      <c r="H136" s="1402">
        <f t="shared" si="121"/>
        <v>6160.5</v>
      </c>
      <c r="I136" s="1402">
        <f t="shared" si="121"/>
        <v>6160.5</v>
      </c>
      <c r="J136" s="1402">
        <f t="shared" si="121"/>
        <v>6160.5</v>
      </c>
      <c r="K136" s="1402">
        <f t="shared" si="121"/>
        <v>6160.5</v>
      </c>
      <c r="L136" s="1402">
        <f t="shared" si="121"/>
        <v>6160.5</v>
      </c>
      <c r="M136" s="1402">
        <f t="shared" si="121"/>
        <v>6160.5</v>
      </c>
      <c r="N136" s="1402">
        <f t="shared" si="121"/>
        <v>6160.5</v>
      </c>
      <c r="O136" s="575"/>
      <c r="P136" s="1543"/>
      <c r="R136" s="575">
        <f>+B131-B133</f>
        <v>0</v>
      </c>
      <c r="S136" s="575">
        <f t="shared" ref="S136:X136" si="122">+C131-C133</f>
        <v>0</v>
      </c>
      <c r="T136" s="575">
        <f t="shared" si="122"/>
        <v>0</v>
      </c>
      <c r="U136" s="575">
        <f t="shared" si="122"/>
        <v>0</v>
      </c>
      <c r="V136" s="575">
        <f t="shared" si="122"/>
        <v>0</v>
      </c>
      <c r="W136" s="575">
        <f t="shared" si="122"/>
        <v>0</v>
      </c>
      <c r="X136" s="575">
        <f t="shared" si="122"/>
        <v>0</v>
      </c>
      <c r="Y136" s="575"/>
      <c r="Z136" s="575"/>
    </row>
    <row r="137" spans="1:26" ht="15" customHeight="1">
      <c r="A137" s="1401" t="s">
        <v>2830</v>
      </c>
      <c r="B137" s="1402"/>
      <c r="C137" s="1402">
        <f t="shared" ref="C137:N137" si="123">C82</f>
        <v>106751.88506199999</v>
      </c>
      <c r="D137" s="1402">
        <f t="shared" si="123"/>
        <v>110122.22373100001</v>
      </c>
      <c r="E137" s="1402">
        <f t="shared" si="123"/>
        <v>119853.88682499999</v>
      </c>
      <c r="F137" s="1402">
        <f t="shared" si="123"/>
        <v>124055.81569600001</v>
      </c>
      <c r="G137" s="1402">
        <f t="shared" si="123"/>
        <v>98509.139051000006</v>
      </c>
      <c r="H137" s="1402">
        <f t="shared" si="123"/>
        <v>92010.388915000003</v>
      </c>
      <c r="I137" s="1402">
        <f t="shared" si="123"/>
        <v>91131.052221999998</v>
      </c>
      <c r="J137" s="1402">
        <f t="shared" si="123"/>
        <v>90448.511352999994</v>
      </c>
      <c r="K137" s="1402">
        <f t="shared" si="123"/>
        <v>97586.99880999999</v>
      </c>
      <c r="L137" s="1402">
        <f t="shared" si="123"/>
        <v>103901.65793699998</v>
      </c>
      <c r="M137" s="1402">
        <f t="shared" si="123"/>
        <v>104965.81931599999</v>
      </c>
      <c r="N137" s="1402">
        <f t="shared" si="123"/>
        <v>114808.04217999999</v>
      </c>
      <c r="P137" s="888"/>
      <c r="R137">
        <v>1</v>
      </c>
      <c r="S137">
        <v>2</v>
      </c>
      <c r="T137">
        <v>3</v>
      </c>
      <c r="U137">
        <v>4</v>
      </c>
      <c r="V137">
        <v>5</v>
      </c>
      <c r="W137">
        <v>6</v>
      </c>
      <c r="X137">
        <v>7</v>
      </c>
    </row>
    <row r="138" spans="1:26" ht="15" customHeight="1">
      <c r="A138" s="1401" t="s">
        <v>2831</v>
      </c>
      <c r="B138" s="1402"/>
      <c r="C138" s="1402">
        <f>C127</f>
        <v>29323.952395</v>
      </c>
      <c r="D138" s="1402">
        <f>D127</f>
        <v>29323.952395</v>
      </c>
      <c r="E138" s="1402">
        <f>E127</f>
        <v>29323.952395</v>
      </c>
      <c r="F138" s="1402">
        <f>F127</f>
        <v>29323.952395</v>
      </c>
      <c r="G138" s="1402">
        <f t="shared" ref="G138:N138" si="124">G127</f>
        <v>29323.952395</v>
      </c>
      <c r="H138" s="1402">
        <f t="shared" si="124"/>
        <v>28954.52663</v>
      </c>
      <c r="I138" s="1402">
        <f t="shared" si="124"/>
        <v>28954.52663</v>
      </c>
      <c r="J138" s="1402">
        <f t="shared" si="124"/>
        <v>28954.52663</v>
      </c>
      <c r="K138" s="1402">
        <f t="shared" si="124"/>
        <v>28954.52663</v>
      </c>
      <c r="L138" s="1402">
        <f t="shared" si="124"/>
        <v>28954.52663</v>
      </c>
      <c r="M138" s="1402">
        <f t="shared" si="124"/>
        <v>28777.002759999999</v>
      </c>
      <c r="N138" s="1402">
        <f t="shared" si="124"/>
        <v>28407.576994999999</v>
      </c>
      <c r="O138" s="575">
        <f>+L138-M138</f>
        <v>177.5238700000009</v>
      </c>
    </row>
    <row r="139" spans="1:26" ht="15" customHeight="1">
      <c r="A139" s="1404" t="s">
        <v>2832</v>
      </c>
      <c r="B139" s="1405"/>
      <c r="C139" s="1405">
        <f t="shared" ref="C139:N139" si="125">C140+C141+C142</f>
        <v>2436.9130339999997</v>
      </c>
      <c r="D139" s="1405">
        <f t="shared" si="125"/>
        <v>1999.2935580000001</v>
      </c>
      <c r="E139" s="1405">
        <f t="shared" si="125"/>
        <v>7768.5220849999987</v>
      </c>
      <c r="F139" s="1405">
        <f t="shared" si="125"/>
        <v>7647.9963079999989</v>
      </c>
      <c r="G139" s="1405">
        <f t="shared" si="125"/>
        <v>7972.5512820000004</v>
      </c>
      <c r="H139" s="1405">
        <f t="shared" si="125"/>
        <v>4033.0336550000006</v>
      </c>
      <c r="I139" s="1405">
        <f t="shared" si="125"/>
        <v>2997.2974330000006</v>
      </c>
      <c r="J139" s="1405">
        <f t="shared" si="125"/>
        <v>1306.157078</v>
      </c>
      <c r="K139" s="1405">
        <f t="shared" si="125"/>
        <v>4462.1398410000002</v>
      </c>
      <c r="L139" s="1405">
        <f t="shared" si="125"/>
        <v>6836.6578720000007</v>
      </c>
      <c r="M139" s="1405">
        <f t="shared" si="125"/>
        <v>5417.9907540000004</v>
      </c>
      <c r="N139" s="1405">
        <f t="shared" si="125"/>
        <v>5360.8380709999983</v>
      </c>
    </row>
    <row r="140" spans="1:26" ht="15" customHeight="1">
      <c r="A140" s="1401" t="s">
        <v>2833</v>
      </c>
      <c r="B140" s="1402"/>
      <c r="C140" s="1402">
        <f>C5</f>
        <v>394.76149400000003</v>
      </c>
      <c r="D140" s="1402">
        <f>D5</f>
        <v>347.86444499999999</v>
      </c>
      <c r="E140" s="1402">
        <f>E5</f>
        <v>6748.4293879999996</v>
      </c>
      <c r="F140" s="1402">
        <f>F5</f>
        <v>7176.2693699999991</v>
      </c>
      <c r="G140" s="1402">
        <f t="shared" ref="G140:N140" si="126">G5</f>
        <v>6838.1554759999999</v>
      </c>
      <c r="H140" s="1402">
        <f t="shared" si="126"/>
        <v>1285.0841150000001</v>
      </c>
      <c r="I140" s="1402">
        <f t="shared" si="126"/>
        <v>800.34093800000005</v>
      </c>
      <c r="J140" s="1402">
        <f t="shared" si="126"/>
        <v>425.060317</v>
      </c>
      <c r="K140" s="1402">
        <f t="shared" si="126"/>
        <v>3842.1080619999998</v>
      </c>
      <c r="L140" s="1402">
        <f t="shared" si="126"/>
        <v>6223.9963920000009</v>
      </c>
      <c r="M140" s="1402">
        <f t="shared" si="126"/>
        <v>4874.4950470000003</v>
      </c>
      <c r="N140" s="1402">
        <f t="shared" si="126"/>
        <v>180.916606</v>
      </c>
      <c r="P140" s="706"/>
    </row>
    <row r="141" spans="1:26" ht="15" customHeight="1">
      <c r="A141" s="1410" t="s">
        <v>2855</v>
      </c>
      <c r="B141" s="1402">
        <f>B18</f>
        <v>7833.2575649999999</v>
      </c>
      <c r="C141" s="1402">
        <f>C18</f>
        <v>2033.085587</v>
      </c>
      <c r="D141" s="1402">
        <f>D18</f>
        <v>1645.3119710000001</v>
      </c>
      <c r="E141" s="1402">
        <f>E18</f>
        <v>1003.1503409999999</v>
      </c>
      <c r="F141" s="1402">
        <f>F18</f>
        <v>471.69273400000003</v>
      </c>
      <c r="G141" s="1402">
        <f t="shared" ref="G141:N141" si="127">G18</f>
        <v>1133.8255630000001</v>
      </c>
      <c r="H141" s="1402">
        <f t="shared" si="127"/>
        <v>2720.6671180000003</v>
      </c>
      <c r="I141" s="1402">
        <f t="shared" si="127"/>
        <v>2175.2644380000002</v>
      </c>
      <c r="J141" s="1402">
        <f t="shared" si="127"/>
        <v>855.16724199999999</v>
      </c>
      <c r="K141" s="1402">
        <f t="shared" si="127"/>
        <v>596.61619200000007</v>
      </c>
      <c r="L141" s="1402">
        <f t="shared" si="127"/>
        <v>574.44557999999995</v>
      </c>
      <c r="M141" s="1402">
        <f t="shared" si="127"/>
        <v>540.49296700000002</v>
      </c>
      <c r="N141" s="1402">
        <f t="shared" si="127"/>
        <v>5171.9350129999984</v>
      </c>
      <c r="P141" s="706"/>
    </row>
    <row r="142" spans="1:26" ht="15" customHeight="1">
      <c r="A142" s="1410" t="s">
        <v>2856</v>
      </c>
      <c r="B142" s="1402">
        <f>B4</f>
        <v>0.242787</v>
      </c>
      <c r="C142" s="1402">
        <f>C4</f>
        <v>9.0659530000000004</v>
      </c>
      <c r="D142" s="1402">
        <f>D4</f>
        <v>6.1171420000000003</v>
      </c>
      <c r="E142" s="1402">
        <f>E4</f>
        <v>16.942356</v>
      </c>
      <c r="F142" s="1402">
        <f>F4</f>
        <v>3.4203999999999998E-2</v>
      </c>
      <c r="G142" s="1402">
        <f t="shared" ref="G142:N142" si="128">G4</f>
        <v>0.57024300000000006</v>
      </c>
      <c r="H142" s="1402">
        <f t="shared" si="128"/>
        <v>27.282422</v>
      </c>
      <c r="I142" s="1402">
        <f t="shared" si="128"/>
        <v>21.692056999999998</v>
      </c>
      <c r="J142" s="1402">
        <f t="shared" si="128"/>
        <v>25.929518999999999</v>
      </c>
      <c r="K142" s="1402">
        <f t="shared" si="128"/>
        <v>23.415586999999999</v>
      </c>
      <c r="L142" s="1402">
        <f t="shared" si="128"/>
        <v>38.215899999999998</v>
      </c>
      <c r="M142" s="1402">
        <f t="shared" si="128"/>
        <v>3.0027400000000002</v>
      </c>
      <c r="N142" s="1402">
        <f t="shared" si="128"/>
        <v>7.9864519999999999</v>
      </c>
    </row>
    <row r="143" spans="1:26">
      <c r="A143" s="1401"/>
      <c r="B143" s="1401"/>
      <c r="C143" s="1401"/>
      <c r="D143" s="1401"/>
      <c r="E143" s="1401"/>
      <c r="F143" s="1403"/>
      <c r="G143" s="1403"/>
      <c r="H143" s="1401"/>
      <c r="I143" s="1401"/>
      <c r="J143" s="1401"/>
      <c r="K143" s="1401"/>
      <c r="L143" s="1401"/>
      <c r="M143" s="1401"/>
      <c r="N143" s="1401"/>
    </row>
    <row r="144" spans="1:26">
      <c r="F144" s="10"/>
      <c r="G144" s="10"/>
    </row>
    <row r="145" spans="2:14">
      <c r="F145" s="575"/>
    </row>
    <row r="146" spans="2:14">
      <c r="B146" s="575">
        <f>-B73</f>
        <v>0</v>
      </c>
      <c r="C146" s="575">
        <f t="shared" ref="C146:K146" si="129">-C73</f>
        <v>0</v>
      </c>
      <c r="D146" s="575">
        <f t="shared" si="129"/>
        <v>0</v>
      </c>
      <c r="E146" s="575">
        <f t="shared" si="129"/>
        <v>0</v>
      </c>
      <c r="F146" s="575">
        <f t="shared" si="129"/>
        <v>0</v>
      </c>
      <c r="G146" s="575">
        <f t="shared" si="129"/>
        <v>0</v>
      </c>
      <c r="H146" s="575">
        <f t="shared" si="129"/>
        <v>0</v>
      </c>
      <c r="I146" s="575">
        <f t="shared" si="129"/>
        <v>0</v>
      </c>
      <c r="J146" s="575">
        <f t="shared" si="129"/>
        <v>0</v>
      </c>
      <c r="K146" s="575">
        <f t="shared" si="129"/>
        <v>0</v>
      </c>
      <c r="L146" s="575">
        <f>-L73</f>
        <v>0</v>
      </c>
    </row>
    <row r="147" spans="2:14">
      <c r="B147" s="575">
        <f>-B74</f>
        <v>0</v>
      </c>
      <c r="C147" s="575">
        <f>-C74</f>
        <v>0</v>
      </c>
      <c r="D147" s="575">
        <f t="shared" ref="D147:K147" si="130">-D74</f>
        <v>0</v>
      </c>
      <c r="E147" s="575">
        <f t="shared" si="130"/>
        <v>0</v>
      </c>
      <c r="F147" s="575">
        <f t="shared" si="130"/>
        <v>0</v>
      </c>
      <c r="G147" s="575">
        <f t="shared" si="130"/>
        <v>0</v>
      </c>
      <c r="H147" s="575">
        <f t="shared" si="130"/>
        <v>0</v>
      </c>
      <c r="I147" s="575">
        <f t="shared" si="130"/>
        <v>0</v>
      </c>
      <c r="J147" s="575">
        <f t="shared" si="130"/>
        <v>0</v>
      </c>
      <c r="K147" s="575">
        <f t="shared" si="130"/>
        <v>0</v>
      </c>
      <c r="L147" s="575">
        <f>-L74</f>
        <v>0</v>
      </c>
    </row>
    <row r="148" spans="2:14">
      <c r="B148" s="1402">
        <f>+B146+B147</f>
        <v>0</v>
      </c>
      <c r="C148" s="1402">
        <f t="shared" ref="C148:K148" si="131">+C146+C147</f>
        <v>0</v>
      </c>
      <c r="D148" s="1402">
        <f t="shared" si="131"/>
        <v>0</v>
      </c>
      <c r="E148" s="1402">
        <f t="shared" si="131"/>
        <v>0</v>
      </c>
      <c r="F148" s="1402">
        <f t="shared" si="131"/>
        <v>0</v>
      </c>
      <c r="G148" s="1402">
        <f t="shared" si="131"/>
        <v>0</v>
      </c>
      <c r="H148" s="1402">
        <f t="shared" si="131"/>
        <v>0</v>
      </c>
      <c r="I148" s="1402">
        <f t="shared" si="131"/>
        <v>0</v>
      </c>
      <c r="J148" s="1402">
        <f t="shared" si="131"/>
        <v>0</v>
      </c>
      <c r="K148" s="1402">
        <f t="shared" si="131"/>
        <v>0</v>
      </c>
    </row>
    <row r="150" spans="2:14">
      <c r="C150" s="575"/>
      <c r="D150" s="1582">
        <f>-D148+C148</f>
        <v>0</v>
      </c>
      <c r="E150" s="1582">
        <f t="shared" ref="E150:K150" si="132">-E148+D148</f>
        <v>0</v>
      </c>
      <c r="F150" s="1582">
        <f t="shared" si="132"/>
        <v>0</v>
      </c>
      <c r="G150" s="1582">
        <f t="shared" si="132"/>
        <v>0</v>
      </c>
      <c r="H150" s="1582">
        <f t="shared" si="132"/>
        <v>0</v>
      </c>
      <c r="I150" s="1582">
        <f t="shared" si="132"/>
        <v>0</v>
      </c>
      <c r="J150" s="1582">
        <f t="shared" si="132"/>
        <v>0</v>
      </c>
      <c r="K150" s="1582">
        <f t="shared" si="132"/>
        <v>0</v>
      </c>
    </row>
    <row r="151" spans="2:14">
      <c r="C151" s="575"/>
      <c r="D151" s="1582">
        <f>+D146-C146</f>
        <v>0</v>
      </c>
      <c r="E151" s="1582">
        <f t="shared" ref="E151:K151" si="133">+E146-D146</f>
        <v>0</v>
      </c>
      <c r="F151" s="1582">
        <f t="shared" si="133"/>
        <v>0</v>
      </c>
      <c r="G151" s="1582">
        <f t="shared" si="133"/>
        <v>0</v>
      </c>
      <c r="H151" s="1582">
        <f t="shared" si="133"/>
        <v>0</v>
      </c>
      <c r="I151" s="1582">
        <f t="shared" si="133"/>
        <v>0</v>
      </c>
      <c r="J151" s="1582">
        <f t="shared" si="133"/>
        <v>0</v>
      </c>
      <c r="K151" s="1582">
        <f t="shared" si="133"/>
        <v>0</v>
      </c>
    </row>
    <row r="152" spans="2:14">
      <c r="C152" s="575"/>
      <c r="D152" s="1582">
        <f t="shared" ref="D152:K152" si="134">+D147-C147</f>
        <v>0</v>
      </c>
      <c r="E152" s="1582">
        <f t="shared" si="134"/>
        <v>0</v>
      </c>
      <c r="F152" s="1582">
        <f t="shared" si="134"/>
        <v>0</v>
      </c>
      <c r="G152" s="1582">
        <f t="shared" si="134"/>
        <v>0</v>
      </c>
      <c r="H152" s="1582">
        <f t="shared" si="134"/>
        <v>0</v>
      </c>
      <c r="I152" s="1582">
        <f t="shared" si="134"/>
        <v>0</v>
      </c>
      <c r="J152" s="1582">
        <f t="shared" si="134"/>
        <v>0</v>
      </c>
      <c r="K152" s="1582">
        <f t="shared" si="134"/>
        <v>0</v>
      </c>
    </row>
    <row r="153" spans="2:14">
      <c r="D153" s="1375"/>
      <c r="E153" s="1375"/>
      <c r="F153" s="1375"/>
      <c r="G153" s="1375"/>
      <c r="H153" s="1375"/>
      <c r="I153" s="1375"/>
      <c r="J153" s="1375"/>
      <c r="K153" s="1375"/>
    </row>
    <row r="154" spans="2:14">
      <c r="D154" s="1375"/>
      <c r="E154" s="1375"/>
      <c r="F154" s="1375"/>
      <c r="G154" s="1375"/>
      <c r="H154" s="1375"/>
      <c r="I154" s="1375"/>
      <c r="J154" s="1375"/>
      <c r="K154" s="1375"/>
    </row>
    <row r="155" spans="2:14">
      <c r="D155" s="1582">
        <f>100+D150</f>
        <v>100</v>
      </c>
      <c r="E155" s="1582">
        <f t="shared" ref="E155:K155" si="135">100+E150</f>
        <v>100</v>
      </c>
      <c r="F155" s="1582">
        <f t="shared" si="135"/>
        <v>100</v>
      </c>
      <c r="G155" s="1582">
        <f t="shared" si="135"/>
        <v>100</v>
      </c>
      <c r="H155" s="1582">
        <f t="shared" si="135"/>
        <v>100</v>
      </c>
      <c r="I155" s="1582">
        <f t="shared" si="135"/>
        <v>100</v>
      </c>
      <c r="J155" s="1582">
        <f t="shared" si="135"/>
        <v>100</v>
      </c>
      <c r="K155" s="1582">
        <f t="shared" si="135"/>
        <v>100</v>
      </c>
    </row>
    <row r="156" spans="2:14">
      <c r="D156" s="1375"/>
      <c r="E156" s="1375"/>
      <c r="F156" s="1126">
        <f>F158-C158</f>
        <v>7673.3725990000021</v>
      </c>
      <c r="G156" s="1375"/>
      <c r="H156" s="1375"/>
      <c r="I156" s="1375"/>
      <c r="J156" s="1375"/>
      <c r="K156" s="1375"/>
    </row>
    <row r="157" spans="2:14">
      <c r="D157" s="10">
        <f>D158-C158</f>
        <v>3594.2106340000028</v>
      </c>
      <c r="E157" s="10">
        <f>E158-D158</f>
        <v>3165.2330939999883</v>
      </c>
      <c r="F157" s="10">
        <f>F158-E158</f>
        <v>913.92887100001099</v>
      </c>
      <c r="G157" s="10">
        <f>G158-F158</f>
        <v>-25546.676645</v>
      </c>
    </row>
    <row r="158" spans="2:14">
      <c r="C158" s="10">
        <f>B82-B113-B118</f>
        <v>46945.233097000004</v>
      </c>
      <c r="D158" s="10">
        <f t="shared" ref="D158:N158" si="136">D82-D113-D118</f>
        <v>50539.443731000007</v>
      </c>
      <c r="E158" s="10">
        <f t="shared" si="136"/>
        <v>53704.676824999995</v>
      </c>
      <c r="F158" s="10">
        <f t="shared" si="136"/>
        <v>54618.605696000006</v>
      </c>
      <c r="G158" s="10">
        <f t="shared" si="136"/>
        <v>29071.929051000006</v>
      </c>
      <c r="H158" s="10">
        <f t="shared" si="136"/>
        <v>27812.178915000004</v>
      </c>
      <c r="I158" s="10">
        <f t="shared" si="136"/>
        <v>26932.842221999999</v>
      </c>
      <c r="J158" s="10">
        <f t="shared" si="136"/>
        <v>26250.301352999995</v>
      </c>
      <c r="K158" s="10">
        <f t="shared" si="136"/>
        <v>27888.788809999998</v>
      </c>
      <c r="L158" s="10">
        <f t="shared" si="136"/>
        <v>17703.44793699999</v>
      </c>
      <c r="M158" s="10">
        <f t="shared" si="136"/>
        <v>18767.609316000002</v>
      </c>
      <c r="N158" s="10">
        <f t="shared" si="136"/>
        <v>28609.832179999998</v>
      </c>
    </row>
    <row r="159" spans="2:14">
      <c r="C159" s="10">
        <f>C113+C118</f>
        <v>59924.78</v>
      </c>
      <c r="D159" s="10">
        <f t="shared" ref="D159:M159" si="137">D113+D118</f>
        <v>59582.78</v>
      </c>
      <c r="E159" s="10">
        <f t="shared" si="137"/>
        <v>66149.209999999992</v>
      </c>
      <c r="F159" s="10">
        <f t="shared" si="137"/>
        <v>69437.209999999992</v>
      </c>
      <c r="G159" s="10">
        <f t="shared" si="137"/>
        <v>69437.209999999992</v>
      </c>
      <c r="H159" s="10">
        <f t="shared" si="137"/>
        <v>64198.21</v>
      </c>
      <c r="I159" s="10">
        <f t="shared" si="137"/>
        <v>64198.21</v>
      </c>
      <c r="J159" s="10">
        <f t="shared" si="137"/>
        <v>64198.21</v>
      </c>
      <c r="K159" s="10">
        <f t="shared" si="137"/>
        <v>69698.209999999992</v>
      </c>
      <c r="L159" s="10">
        <f t="shared" si="137"/>
        <v>86198.209999999992</v>
      </c>
      <c r="M159" s="10">
        <f t="shared" si="137"/>
        <v>86198.209999999992</v>
      </c>
      <c r="N159" s="10">
        <f>N113+N118</f>
        <v>86198.209999999992</v>
      </c>
    </row>
    <row r="161" spans="2:19">
      <c r="D161" s="10">
        <f>N158-C158</f>
        <v>-18335.400917000006</v>
      </c>
    </row>
    <row r="162" spans="2:19">
      <c r="D162" s="10">
        <f>N159-C159</f>
        <v>26273.429999999993</v>
      </c>
    </row>
    <row r="163" spans="2:19">
      <c r="D163" s="10">
        <f>D162+D161</f>
        <v>7938.0290829999867</v>
      </c>
    </row>
    <row r="165" spans="2:19">
      <c r="C165" s="1401" t="s">
        <v>3047</v>
      </c>
      <c r="D165" s="1653">
        <v>57874430000</v>
      </c>
      <c r="E165" s="706"/>
    </row>
    <row r="166" spans="2:19">
      <c r="C166" s="1401"/>
      <c r="D166" s="1653"/>
      <c r="E166" s="706"/>
      <c r="H166" s="575"/>
    </row>
    <row r="167" spans="2:19">
      <c r="C167" s="1401" t="s">
        <v>3048</v>
      </c>
      <c r="D167" s="1653">
        <v>31601000000</v>
      </c>
      <c r="E167" s="706"/>
    </row>
    <row r="168" spans="2:19">
      <c r="C168" s="1401"/>
      <c r="D168" s="1653"/>
      <c r="E168" s="706"/>
    </row>
    <row r="169" spans="2:19">
      <c r="C169" s="1401" t="s">
        <v>1757</v>
      </c>
      <c r="D169" s="1653">
        <v>26273430000</v>
      </c>
      <c r="E169" s="706"/>
    </row>
    <row r="175" spans="2:19">
      <c r="B175" s="706">
        <f>B82-B113-B118</f>
        <v>46945.233097000004</v>
      </c>
      <c r="C175" s="706">
        <f>C82-C113-C118</f>
        <v>46827.105061999988</v>
      </c>
      <c r="D175" s="706">
        <f t="shared" ref="D175:N175" si="138">D82-D113-D118</f>
        <v>50539.443731000007</v>
      </c>
      <c r="E175" s="706">
        <f t="shared" si="138"/>
        <v>53704.676824999995</v>
      </c>
      <c r="F175" s="706">
        <f t="shared" si="138"/>
        <v>54618.605696000006</v>
      </c>
      <c r="G175" s="706">
        <f t="shared" si="138"/>
        <v>29071.929051000006</v>
      </c>
      <c r="H175" s="706">
        <f t="shared" si="138"/>
        <v>27812.178915000004</v>
      </c>
      <c r="I175" s="706">
        <f t="shared" si="138"/>
        <v>26932.842221999999</v>
      </c>
      <c r="J175" s="706">
        <f t="shared" si="138"/>
        <v>26250.301352999995</v>
      </c>
      <c r="K175" s="706">
        <f t="shared" si="138"/>
        <v>27888.788809999998</v>
      </c>
      <c r="L175" s="706">
        <f t="shared" si="138"/>
        <v>17703.44793699999</v>
      </c>
      <c r="M175" s="706">
        <f t="shared" si="138"/>
        <v>18767.609316000002</v>
      </c>
      <c r="N175" s="706">
        <f t="shared" si="138"/>
        <v>28609.832179999998</v>
      </c>
      <c r="O175" s="575"/>
      <c r="P175" s="575"/>
      <c r="Q175" s="575"/>
      <c r="R175" s="575"/>
      <c r="S175" s="575"/>
    </row>
    <row r="176" spans="2:19">
      <c r="C176" s="861">
        <f>C175-B175</f>
        <v>-118.1280350000161</v>
      </c>
    </row>
  </sheetData>
  <phoneticPr fontId="0" type="noConversion"/>
  <pageMargins left="0.83" right="0.15748031496062992" top="0.13" bottom="0.16" header="0.13" footer="0.16"/>
  <pageSetup scale="80" orientation="landscape" r:id="rId1"/>
  <headerFooter alignWithMargins="0">
    <oddHeader>&amp;L&amp;"Arial,Gras"&amp;14PNT 2012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0"/>
  <dimension ref="A1:U85"/>
  <sheetViews>
    <sheetView zoomScale="80" zoomScaleNormal="80" workbookViewId="0">
      <pane xSplit="2" ySplit="3" topLeftCell="C7" activePane="bottomRight" state="frozen"/>
      <selection pane="topRight" activeCell="C1" sqref="C1"/>
      <selection pane="bottomLeft" activeCell="A4" sqref="A4"/>
      <selection pane="bottomRight"/>
    </sheetView>
  </sheetViews>
  <sheetFormatPr defaultRowHeight="12.75"/>
  <cols>
    <col min="1" max="1" width="2.85546875" customWidth="1"/>
    <col min="2" max="2" width="35.140625" customWidth="1"/>
    <col min="3" max="5" width="12.7109375" customWidth="1"/>
    <col min="6" max="6" width="13.140625" customWidth="1"/>
    <col min="7" max="10" width="12.7109375" customWidth="1"/>
    <col min="11" max="11" width="12.7109375" style="605" customWidth="1"/>
    <col min="12" max="17" width="12.7109375" customWidth="1"/>
    <col min="18" max="18" width="10.85546875" bestFit="1" customWidth="1"/>
    <col min="19" max="19" width="14.140625" customWidth="1"/>
    <col min="20" max="20" width="11.7109375" customWidth="1"/>
  </cols>
  <sheetData>
    <row r="1" spans="1:21" ht="20.25">
      <c r="A1" s="6"/>
      <c r="B1" s="752" t="s">
        <v>219</v>
      </c>
      <c r="C1" s="753" t="s">
        <v>220</v>
      </c>
      <c r="D1" s="753" t="s">
        <v>207</v>
      </c>
      <c r="E1" s="754"/>
      <c r="F1" s="755"/>
      <c r="G1" s="756"/>
      <c r="H1" s="755"/>
      <c r="I1" s="755"/>
      <c r="J1" s="1199" t="s">
        <v>2931</v>
      </c>
      <c r="K1" s="1200"/>
      <c r="L1" s="757"/>
      <c r="M1" s="755"/>
      <c r="N1" s="757"/>
      <c r="O1" s="757"/>
      <c r="P1" s="757"/>
      <c r="Q1" s="758"/>
    </row>
    <row r="2" spans="1:21">
      <c r="A2" s="7"/>
      <c r="B2" s="759"/>
      <c r="C2" s="760">
        <v>2014</v>
      </c>
      <c r="D2" s="760">
        <v>2016</v>
      </c>
      <c r="E2" s="763" t="s">
        <v>2249</v>
      </c>
      <c r="F2" s="763" t="s">
        <v>2250</v>
      </c>
      <c r="G2" s="763" t="s">
        <v>2251</v>
      </c>
      <c r="H2" s="763" t="s">
        <v>2252</v>
      </c>
      <c r="I2" s="763" t="s">
        <v>2253</v>
      </c>
      <c r="J2" s="763" t="s">
        <v>2254</v>
      </c>
      <c r="K2" s="764" t="s">
        <v>2255</v>
      </c>
      <c r="L2" s="762" t="s">
        <v>2256</v>
      </c>
      <c r="M2" s="762" t="s">
        <v>2257</v>
      </c>
      <c r="N2" s="762" t="s">
        <v>2260</v>
      </c>
      <c r="O2" s="762" t="s">
        <v>2258</v>
      </c>
      <c r="P2" s="762" t="s">
        <v>2259</v>
      </c>
      <c r="Q2" s="761" t="s">
        <v>322</v>
      </c>
      <c r="R2" s="10"/>
    </row>
    <row r="3" spans="1:21">
      <c r="A3" s="2"/>
      <c r="B3" s="568" t="s">
        <v>211</v>
      </c>
      <c r="C3" s="124">
        <f>+C4+C5</f>
        <v>0</v>
      </c>
      <c r="D3" s="124">
        <f>+D4+D5</f>
        <v>0</v>
      </c>
      <c r="E3" s="124">
        <f>SUM(E4:E5)</f>
        <v>242252.08201967998</v>
      </c>
      <c r="F3" s="124">
        <f t="shared" ref="F3:K3" si="0">SUM(F4:F5)</f>
        <v>330538.99131265003</v>
      </c>
      <c r="G3" s="124">
        <f t="shared" si="0"/>
        <v>207313.16995648976</v>
      </c>
      <c r="H3" s="124">
        <f t="shared" si="0"/>
        <v>2359092.9443738847</v>
      </c>
      <c r="I3" s="124">
        <f t="shared" si="0"/>
        <v>52372.900665000001</v>
      </c>
      <c r="J3" s="124">
        <f t="shared" si="0"/>
        <v>761733.40408442006</v>
      </c>
      <c r="K3" s="602">
        <f t="shared" si="0"/>
        <v>942839.57404800004</v>
      </c>
      <c r="L3" s="124">
        <f>SUM(L4:L5)</f>
        <v>550573.88899999997</v>
      </c>
      <c r="M3" s="124">
        <f>SUM(M4:M5)</f>
        <v>502892.32208510005</v>
      </c>
      <c r="N3" s="124">
        <f>SUM(N4:N5)</f>
        <v>1083713.5366149999</v>
      </c>
      <c r="O3" s="124">
        <f>SUM(O4:O5)</f>
        <v>302280.15352519997</v>
      </c>
      <c r="P3" s="172">
        <f>SUM(P4:P5)</f>
        <v>483264.08895194007</v>
      </c>
      <c r="Q3" s="30">
        <f>SUM(E3:P3)</f>
        <v>7818867.0566373654</v>
      </c>
    </row>
    <row r="4" spans="1:21">
      <c r="A4" s="3"/>
      <c r="B4" s="3" t="s">
        <v>212</v>
      </c>
      <c r="C4" s="120"/>
      <c r="D4" s="120"/>
      <c r="E4" s="120">
        <f>+'Fin-Int'!C45</f>
        <v>0</v>
      </c>
      <c r="F4" s="120">
        <f>+'Fin-Int'!D45</f>
        <v>272601.23100000003</v>
      </c>
      <c r="G4" s="120">
        <f>+'Fin-Int'!E45</f>
        <v>114056.64144510006</v>
      </c>
      <c r="H4" s="120">
        <f>+'Fin-Int'!F45</f>
        <v>1807599.4179999998</v>
      </c>
      <c r="I4" s="120">
        <f>+'Fin-Int'!G45</f>
        <v>29465.332999999999</v>
      </c>
      <c r="J4" s="120">
        <f>+'Fin-Int'!H45</f>
        <v>240837.20144510007</v>
      </c>
      <c r="K4" s="120">
        <f>+'Fin-Int'!I45</f>
        <v>663019.76</v>
      </c>
      <c r="L4" s="120">
        <f>+'Fin-Int'!J45</f>
        <v>454655.94400000002</v>
      </c>
      <c r="M4" s="120">
        <f>+'Fin-Int'!K45</f>
        <v>372215.97044510004</v>
      </c>
      <c r="N4" s="120">
        <f>+'Fin-Int'!L45</f>
        <v>359923.44199999998</v>
      </c>
      <c r="O4" s="120">
        <f>+'Fin-Int'!M45</f>
        <v>251353.427</v>
      </c>
      <c r="P4" s="120">
        <f>+'Fin-Int'!N45</f>
        <v>110779.46044510006</v>
      </c>
      <c r="Q4" s="583">
        <f>SUM(E4:P4)</f>
        <v>4676507.8287804006</v>
      </c>
    </row>
    <row r="5" spans="1:21">
      <c r="A5" s="3"/>
      <c r="B5" s="3" t="s">
        <v>213</v>
      </c>
      <c r="C5" s="120"/>
      <c r="D5" s="120"/>
      <c r="E5" s="120">
        <f>+Dettes!C123</f>
        <v>242252.08201967998</v>
      </c>
      <c r="F5" s="120">
        <f>+Dettes!D123</f>
        <v>57937.760312650003</v>
      </c>
      <c r="G5" s="120">
        <f>+Dettes!E123</f>
        <v>93256.528511389697</v>
      </c>
      <c r="H5" s="120">
        <f>+Dettes!F123</f>
        <v>551493.52637388499</v>
      </c>
      <c r="I5" s="120">
        <f>+Dettes!G123</f>
        <v>22907.567665000002</v>
      </c>
      <c r="J5" s="120">
        <f>+Dettes!H123</f>
        <v>520896.20263931999</v>
      </c>
      <c r="K5" s="120">
        <f>+Dettes!I123</f>
        <v>279819.81404800003</v>
      </c>
      <c r="L5" s="120">
        <f>+Dettes!J123</f>
        <v>95917.945000000007</v>
      </c>
      <c r="M5" s="120">
        <f>+Dettes!K123</f>
        <v>130676.35164000001</v>
      </c>
      <c r="N5" s="120">
        <f>+Dettes!L123</f>
        <v>723790.09461499983</v>
      </c>
      <c r="O5" s="120">
        <f>+Dettes!M123</f>
        <v>50926.7265252</v>
      </c>
      <c r="P5" s="120">
        <f>+Dettes!N123</f>
        <v>372484.62850683997</v>
      </c>
      <c r="Q5" s="583">
        <f>SUM(E5:P5)</f>
        <v>3142359.2278569639</v>
      </c>
      <c r="R5" s="1406"/>
      <c r="S5" s="10"/>
      <c r="T5" s="10"/>
      <c r="U5" s="10"/>
    </row>
    <row r="6" spans="1:21">
      <c r="A6" s="3"/>
      <c r="B6" s="3"/>
      <c r="C6" s="120"/>
      <c r="D6" s="120"/>
      <c r="E6" s="120"/>
      <c r="F6" s="120"/>
      <c r="G6" s="120"/>
      <c r="H6" s="120"/>
      <c r="I6" s="120"/>
      <c r="J6" s="120"/>
      <c r="K6" s="603"/>
      <c r="L6" s="120"/>
      <c r="M6" s="120"/>
      <c r="N6" s="120"/>
      <c r="O6" s="120"/>
      <c r="P6" s="36"/>
      <c r="Q6" s="10"/>
      <c r="R6" s="876"/>
      <c r="S6" s="10"/>
      <c r="T6" s="10"/>
      <c r="U6" s="10"/>
    </row>
    <row r="7" spans="1:21">
      <c r="A7" s="3"/>
      <c r="B7" s="568" t="s">
        <v>214</v>
      </c>
      <c r="C7" s="124">
        <f>+C8+C9+C11</f>
        <v>0</v>
      </c>
      <c r="D7" s="124">
        <f>+D8+D9+D11</f>
        <v>0</v>
      </c>
      <c r="E7" s="124">
        <f>SUM(E8:E11)</f>
        <v>3546706</v>
      </c>
      <c r="F7" s="124">
        <f t="shared" ref="F7:O7" si="1">SUM(F8:F11)</f>
        <v>4497594</v>
      </c>
      <c r="G7" s="124">
        <f t="shared" si="1"/>
        <v>3461803</v>
      </c>
      <c r="H7" s="124">
        <f t="shared" si="1"/>
        <v>3775373</v>
      </c>
      <c r="I7" s="124">
        <f t="shared" si="1"/>
        <v>3247611</v>
      </c>
      <c r="J7" s="124">
        <f t="shared" si="1"/>
        <v>4400221</v>
      </c>
      <c r="K7" s="124">
        <f t="shared" si="1"/>
        <v>3523960</v>
      </c>
      <c r="L7" s="124">
        <f t="shared" si="1"/>
        <v>3674820</v>
      </c>
      <c r="M7" s="124">
        <f t="shared" si="1"/>
        <v>3557583</v>
      </c>
      <c r="N7" s="124">
        <f t="shared" si="1"/>
        <v>3639094</v>
      </c>
      <c r="O7" s="124">
        <f t="shared" si="1"/>
        <v>3722947</v>
      </c>
      <c r="P7" s="172">
        <f>SUM(P8:P11)</f>
        <v>4427291</v>
      </c>
      <c r="Q7" s="30">
        <f>+Q8</f>
        <v>45475003</v>
      </c>
      <c r="R7" s="876"/>
      <c r="S7" s="10"/>
      <c r="T7" s="10"/>
      <c r="U7" s="10"/>
    </row>
    <row r="8" spans="1:21">
      <c r="A8" s="3"/>
      <c r="B8" s="577" t="s">
        <v>1621</v>
      </c>
      <c r="C8" s="120"/>
      <c r="D8" s="120"/>
      <c r="E8" s="36">
        <v>3546706</v>
      </c>
      <c r="F8" s="1528">
        <v>4497594</v>
      </c>
      <c r="G8" s="1528">
        <v>3461803</v>
      </c>
      <c r="H8" s="606">
        <v>3775373</v>
      </c>
      <c r="I8" s="606">
        <v>3247611</v>
      </c>
      <c r="J8" s="120">
        <v>4400221</v>
      </c>
      <c r="K8" s="606">
        <v>3523960</v>
      </c>
      <c r="L8" s="606">
        <v>3674820</v>
      </c>
      <c r="M8" s="120">
        <v>3557583</v>
      </c>
      <c r="N8" s="120">
        <v>3639094</v>
      </c>
      <c r="O8" s="120">
        <v>3722947</v>
      </c>
      <c r="P8" s="36">
        <v>4427291</v>
      </c>
      <c r="Q8" s="10">
        <f>SUM(E8:P8)</f>
        <v>45475003</v>
      </c>
      <c r="R8" s="876"/>
      <c r="S8" s="10"/>
      <c r="T8" s="10"/>
      <c r="U8" s="10"/>
    </row>
    <row r="9" spans="1:21">
      <c r="A9" s="3"/>
      <c r="B9" s="578" t="s">
        <v>1622</v>
      </c>
      <c r="C9" s="120"/>
      <c r="D9" s="120"/>
      <c r="E9" s="36"/>
      <c r="F9" s="120"/>
      <c r="G9" s="120"/>
      <c r="H9" s="120"/>
      <c r="I9" s="120"/>
      <c r="J9" s="120"/>
      <c r="K9" s="603"/>
      <c r="L9" s="120"/>
      <c r="M9" s="120"/>
      <c r="N9" s="120"/>
      <c r="O9" s="120"/>
      <c r="P9" s="36"/>
      <c r="Q9" s="10">
        <f>SUM(E9:P9)</f>
        <v>0</v>
      </c>
      <c r="R9" s="876"/>
      <c r="S9" s="10"/>
      <c r="T9" s="10"/>
      <c r="U9" s="10"/>
    </row>
    <row r="10" spans="1:21">
      <c r="A10" s="3"/>
      <c r="B10" s="859" t="s">
        <v>1721</v>
      </c>
      <c r="C10" s="603"/>
      <c r="D10" s="603"/>
      <c r="E10" s="120">
        <f>0.5*E25</f>
        <v>0</v>
      </c>
      <c r="F10" s="120">
        <f t="shared" ref="F10:P10" si="2">0.5*F25</f>
        <v>0</v>
      </c>
      <c r="G10" s="120">
        <f t="shared" si="2"/>
        <v>0</v>
      </c>
      <c r="H10" s="120">
        <f t="shared" si="2"/>
        <v>0</v>
      </c>
      <c r="I10" s="120">
        <f t="shared" si="2"/>
        <v>0</v>
      </c>
      <c r="J10" s="120">
        <f t="shared" si="2"/>
        <v>0</v>
      </c>
      <c r="K10" s="120">
        <f t="shared" si="2"/>
        <v>0</v>
      </c>
      <c r="L10" s="120">
        <f t="shared" si="2"/>
        <v>0</v>
      </c>
      <c r="M10" s="120">
        <f>0.5*M25</f>
        <v>0</v>
      </c>
      <c r="N10" s="120">
        <f t="shared" si="2"/>
        <v>0</v>
      </c>
      <c r="O10" s="120">
        <f t="shared" si="2"/>
        <v>0</v>
      </c>
      <c r="P10" s="36">
        <f t="shared" si="2"/>
        <v>0</v>
      </c>
      <c r="Q10" s="10">
        <f>SUM(E10:P10)</f>
        <v>0</v>
      </c>
      <c r="S10" s="10"/>
      <c r="T10" s="10"/>
    </row>
    <row r="11" spans="1:21">
      <c r="A11" s="3"/>
      <c r="B11" s="859" t="s">
        <v>1719</v>
      </c>
      <c r="C11" s="120"/>
      <c r="D11" s="120"/>
      <c r="E11" s="10"/>
      <c r="F11" s="10" t="s">
        <v>1735</v>
      </c>
      <c r="G11" s="10"/>
      <c r="H11" s="10"/>
      <c r="I11" s="10"/>
      <c r="J11" s="10"/>
      <c r="K11" s="607"/>
      <c r="L11" s="10"/>
      <c r="M11" s="10"/>
      <c r="N11" s="120"/>
      <c r="O11" s="120"/>
      <c r="P11" s="36"/>
      <c r="Q11" s="10">
        <f>SUM(E11:P11)</f>
        <v>0</v>
      </c>
      <c r="S11" s="10"/>
      <c r="T11" s="10"/>
    </row>
    <row r="12" spans="1:21">
      <c r="A12" s="3"/>
      <c r="B12" s="9"/>
      <c r="C12" s="120"/>
      <c r="D12" s="120" t="s">
        <v>319</v>
      </c>
      <c r="E12" s="120"/>
      <c r="F12" s="120"/>
      <c r="G12" s="120"/>
      <c r="H12" s="120"/>
      <c r="I12" s="120"/>
      <c r="J12" s="120"/>
      <c r="K12" s="603"/>
      <c r="L12" s="120"/>
      <c r="M12" s="120"/>
      <c r="N12" s="120"/>
      <c r="O12" s="120"/>
      <c r="P12" s="36"/>
      <c r="Q12" s="10"/>
      <c r="T12" s="10"/>
    </row>
    <row r="13" spans="1:21">
      <c r="A13" s="3"/>
      <c r="B13" s="568" t="s">
        <v>1632</v>
      </c>
      <c r="C13" s="602">
        <f>+C14+C15</f>
        <v>0</v>
      </c>
      <c r="D13" s="124">
        <f>SUM(D14:D14)</f>
        <v>0</v>
      </c>
      <c r="E13" s="124">
        <f>SUM(E14:E16)</f>
        <v>686473</v>
      </c>
      <c r="F13" s="124">
        <f t="shared" ref="F13:O13" si="3">SUM(F14:F16)</f>
        <v>2537129</v>
      </c>
      <c r="G13" s="124">
        <f>SUM(G14:G16)</f>
        <v>1049924.6640000001</v>
      </c>
      <c r="H13" s="124">
        <f t="shared" si="3"/>
        <v>1405939</v>
      </c>
      <c r="I13" s="124">
        <f t="shared" si="3"/>
        <v>293793</v>
      </c>
      <c r="J13" s="124">
        <f t="shared" si="3"/>
        <v>2369321</v>
      </c>
      <c r="K13" s="124">
        <f t="shared" si="3"/>
        <v>1457666</v>
      </c>
      <c r="L13" s="124">
        <f t="shared" si="3"/>
        <v>1486964</v>
      </c>
      <c r="M13" s="124">
        <f t="shared" si="3"/>
        <v>1421689</v>
      </c>
      <c r="N13" s="124">
        <f t="shared" si="3"/>
        <v>1367113</v>
      </c>
      <c r="O13" s="124">
        <f t="shared" si="3"/>
        <v>1681653</v>
      </c>
      <c r="P13" s="124">
        <f>SUM(P14:P16)</f>
        <v>1629753</v>
      </c>
      <c r="Q13" s="30">
        <f>SUM(Q14:Q15)</f>
        <v>17232203</v>
      </c>
      <c r="S13" s="10"/>
    </row>
    <row r="14" spans="1:21">
      <c r="A14" s="3"/>
      <c r="B14" s="577" t="s">
        <v>1633</v>
      </c>
      <c r="C14" s="603"/>
      <c r="D14" s="603"/>
      <c r="E14" s="120">
        <v>686473</v>
      </c>
      <c r="F14" s="36">
        <f>2537129</f>
        <v>2537129</v>
      </c>
      <c r="G14" s="36">
        <f>894710</f>
        <v>894710</v>
      </c>
      <c r="H14" s="1513">
        <v>1405939</v>
      </c>
      <c r="I14" s="120">
        <v>293793</v>
      </c>
      <c r="J14" s="120">
        <v>2369321</v>
      </c>
      <c r="K14" s="603">
        <v>1457666</v>
      </c>
      <c r="L14" s="603">
        <v>1486964</v>
      </c>
      <c r="M14" s="120">
        <v>1421689</v>
      </c>
      <c r="N14" s="120">
        <v>1367113</v>
      </c>
      <c r="O14" s="120">
        <v>1681653</v>
      </c>
      <c r="P14" s="36">
        <v>1629753</v>
      </c>
      <c r="Q14" s="583">
        <f>SUM(E14:P14)</f>
        <v>17232203</v>
      </c>
      <c r="S14" s="10"/>
    </row>
    <row r="15" spans="1:21">
      <c r="A15" s="3"/>
      <c r="B15" s="578" t="s">
        <v>1624</v>
      </c>
      <c r="C15" s="603"/>
      <c r="D15" s="603"/>
      <c r="E15" s="120"/>
      <c r="F15" s="120"/>
      <c r="G15" s="120"/>
      <c r="H15" s="120"/>
      <c r="I15" s="120"/>
      <c r="J15" s="120"/>
      <c r="K15" s="120"/>
      <c r="L15" s="120"/>
      <c r="M15" s="120"/>
      <c r="N15" s="120">
        <f>0.5*N25</f>
        <v>0</v>
      </c>
      <c r="O15" s="120"/>
      <c r="P15" s="36">
        <f>0.5*P25</f>
        <v>0</v>
      </c>
      <c r="Q15" s="583">
        <f>SUM(E15:P15)</f>
        <v>0</v>
      </c>
    </row>
    <row r="16" spans="1:21">
      <c r="A16" s="3"/>
      <c r="B16" s="578" t="s">
        <v>3046</v>
      </c>
      <c r="C16" s="603"/>
      <c r="D16" s="603"/>
      <c r="E16" s="120"/>
      <c r="F16" s="120"/>
      <c r="G16" s="120">
        <f>3391.346+121963.202+29860.116</f>
        <v>155214.66400000002</v>
      </c>
      <c r="H16" s="120"/>
      <c r="I16" s="120"/>
      <c r="J16" s="120"/>
      <c r="K16" s="120"/>
      <c r="L16" s="120"/>
      <c r="M16" s="120"/>
      <c r="N16" s="120"/>
      <c r="O16" s="120"/>
      <c r="P16" s="36"/>
      <c r="Q16" s="583"/>
    </row>
    <row r="17" spans="1:19">
      <c r="A17" s="3"/>
      <c r="B17" s="1556" t="s">
        <v>363</v>
      </c>
      <c r="C17" s="603"/>
      <c r="D17" s="608"/>
      <c r="E17" s="1193">
        <f>'Fin-Int'!C73</f>
        <v>0</v>
      </c>
      <c r="F17" s="1193">
        <f>'Fin-Int'!D73</f>
        <v>0</v>
      </c>
      <c r="G17" s="1193">
        <f>'Fin-Int'!E73</f>
        <v>0</v>
      </c>
      <c r="H17" s="1193">
        <f>'Fin-Int'!F73</f>
        <v>0</v>
      </c>
      <c r="I17" s="1193">
        <f>'Fin-Int'!G73</f>
        <v>0</v>
      </c>
      <c r="J17" s="1193">
        <f>'Fin-Int'!H73</f>
        <v>0</v>
      </c>
      <c r="K17" s="1193">
        <f>'Fin-Int'!I73</f>
        <v>0</v>
      </c>
      <c r="L17" s="1193">
        <f>'Fin-Int'!J73</f>
        <v>0</v>
      </c>
      <c r="M17" s="1193">
        <f>'Fin-Int'!K73</f>
        <v>0</v>
      </c>
      <c r="N17" s="1193">
        <f>'Fin-Int'!L73</f>
        <v>0</v>
      </c>
      <c r="O17" s="1193">
        <f>'Fin-Int'!M73</f>
        <v>0</v>
      </c>
      <c r="P17" s="1193">
        <f>'Fin-Int'!N73</f>
        <v>0</v>
      </c>
      <c r="Q17" s="583">
        <f>SUM(E17:P17)</f>
        <v>0</v>
      </c>
      <c r="R17" s="10"/>
      <c r="S17" s="10"/>
    </row>
    <row r="18" spans="1:19">
      <c r="A18" s="3"/>
      <c r="B18" s="3"/>
      <c r="C18" s="120"/>
      <c r="D18" s="120"/>
      <c r="E18" s="120"/>
      <c r="F18" s="120"/>
      <c r="G18" s="120"/>
      <c r="H18" s="120"/>
      <c r="I18" s="120"/>
      <c r="J18" s="120"/>
      <c r="K18" s="603"/>
      <c r="L18" s="120"/>
      <c r="M18" s="120"/>
      <c r="N18" s="120"/>
      <c r="O18" s="120"/>
      <c r="P18" s="36"/>
      <c r="Q18" s="10"/>
      <c r="S18" s="10"/>
    </row>
    <row r="19" spans="1:19">
      <c r="A19" s="3"/>
      <c r="B19" s="3"/>
      <c r="C19" s="120"/>
      <c r="D19" s="120"/>
      <c r="E19" s="120"/>
      <c r="F19" s="120"/>
      <c r="G19" s="120"/>
      <c r="H19" s="120"/>
      <c r="I19" s="120"/>
      <c r="J19" s="120"/>
      <c r="K19" s="603"/>
      <c r="L19" s="120"/>
      <c r="M19" s="120"/>
      <c r="N19" s="120"/>
      <c r="O19" s="120"/>
      <c r="P19" s="36"/>
      <c r="Q19" s="10"/>
      <c r="S19" s="10"/>
    </row>
    <row r="20" spans="1:19">
      <c r="A20" s="3"/>
      <c r="B20" s="568" t="s">
        <v>210</v>
      </c>
      <c r="C20" s="124">
        <f>+C21+C22-C25-C26</f>
        <v>0</v>
      </c>
      <c r="D20" s="124">
        <f>+D21+D22-D25-D26</f>
        <v>0</v>
      </c>
      <c r="E20" s="124">
        <f>E21+E22+E23-E25</f>
        <v>1469521</v>
      </c>
      <c r="F20" s="124">
        <f>F21+F22+F23-F25</f>
        <v>2020007</v>
      </c>
      <c r="G20" s="124">
        <f>G21+G22+G23-G25+G24</f>
        <v>11064332.579</v>
      </c>
      <c r="H20" s="124">
        <f t="shared" ref="H20:P20" si="4">H21+H22+H23-H25</f>
        <v>1783931</v>
      </c>
      <c r="I20" s="124">
        <f t="shared" si="4"/>
        <v>1756088</v>
      </c>
      <c r="J20" s="124">
        <f t="shared" si="4"/>
        <v>1974717</v>
      </c>
      <c r="K20" s="124">
        <f t="shared" si="4"/>
        <v>1909814</v>
      </c>
      <c r="L20" s="124">
        <f t="shared" si="4"/>
        <v>2464753</v>
      </c>
      <c r="M20" s="124">
        <f t="shared" si="4"/>
        <v>2183563</v>
      </c>
      <c r="N20" s="124">
        <f t="shared" si="4"/>
        <v>2916130</v>
      </c>
      <c r="O20" s="124">
        <f t="shared" si="4"/>
        <v>2061379</v>
      </c>
      <c r="P20" s="124">
        <f t="shared" si="4"/>
        <v>1919839</v>
      </c>
      <c r="Q20" s="30">
        <f>+Q21+Q22+Q23+Q24-Q25</f>
        <v>33524074.579</v>
      </c>
      <c r="S20" s="10"/>
    </row>
    <row r="21" spans="1:19">
      <c r="A21" s="3"/>
      <c r="B21" s="859" t="s">
        <v>602</v>
      </c>
      <c r="C21" s="120"/>
      <c r="D21" s="120"/>
      <c r="E21" s="120"/>
      <c r="F21" s="120"/>
      <c r="G21" s="36"/>
      <c r="H21" s="120"/>
      <c r="I21" s="120"/>
      <c r="J21" s="36"/>
      <c r="K21" s="603"/>
      <c r="L21" s="120"/>
      <c r="M21" s="120"/>
      <c r="N21" s="120"/>
      <c r="O21" s="120"/>
      <c r="P21" s="36"/>
      <c r="Q21" s="10">
        <f t="shared" ref="Q21:Q48" si="5">SUM(E21:P21)</f>
        <v>0</v>
      </c>
    </row>
    <row r="22" spans="1:19">
      <c r="A22" s="3"/>
      <c r="B22" s="578" t="s">
        <v>286</v>
      </c>
      <c r="C22" s="120"/>
      <c r="D22" s="120"/>
      <c r="E22" s="120">
        <v>1469521</v>
      </c>
      <c r="F22" s="36">
        <v>2020007</v>
      </c>
      <c r="G22" s="1193">
        <f>1631578</f>
        <v>1631578</v>
      </c>
      <c r="H22" s="1193">
        <f>1783931</f>
        <v>1783931</v>
      </c>
      <c r="I22" s="36">
        <v>1756088</v>
      </c>
      <c r="J22" s="1193">
        <v>1974717</v>
      </c>
      <c r="K22" s="603">
        <v>1909814</v>
      </c>
      <c r="L22" s="603">
        <v>2464753</v>
      </c>
      <c r="M22" s="120">
        <v>2183563</v>
      </c>
      <c r="N22" s="120">
        <v>2916130</v>
      </c>
      <c r="O22" s="36">
        <v>2061379</v>
      </c>
      <c r="P22" s="36">
        <v>1919839</v>
      </c>
      <c r="Q22" s="10">
        <f t="shared" si="5"/>
        <v>24091320</v>
      </c>
      <c r="R22" s="1126" t="s">
        <v>319</v>
      </c>
      <c r="S22" s="583"/>
    </row>
    <row r="23" spans="1:19">
      <c r="A23" s="3"/>
      <c r="B23" s="578" t="s">
        <v>3045</v>
      </c>
      <c r="C23" s="120"/>
      <c r="D23" s="120"/>
      <c r="E23" s="120"/>
      <c r="F23" s="36"/>
      <c r="G23" s="1193">
        <f>62500+785000+400000+28761.524+1875000+381493.055</f>
        <v>3532754.5790000004</v>
      </c>
      <c r="H23" s="1193"/>
      <c r="I23" s="36"/>
      <c r="J23" s="1193"/>
      <c r="K23" s="603"/>
      <c r="L23" s="603"/>
      <c r="M23" s="120"/>
      <c r="N23" s="120"/>
      <c r="O23" s="36"/>
      <c r="P23" s="36"/>
      <c r="Q23" s="10">
        <f t="shared" si="5"/>
        <v>3532754.5790000004</v>
      </c>
      <c r="R23" s="1126"/>
      <c r="S23" s="583"/>
    </row>
    <row r="24" spans="1:19">
      <c r="A24" s="3"/>
      <c r="B24" s="2021" t="s">
        <v>3243</v>
      </c>
      <c r="C24" s="120"/>
      <c r="D24" s="120"/>
      <c r="E24" s="120"/>
      <c r="F24" s="36"/>
      <c r="G24" s="1193">
        <v>5900000</v>
      </c>
      <c r="H24" s="1193"/>
      <c r="I24" s="36"/>
      <c r="J24" s="1193"/>
      <c r="K24" s="603"/>
      <c r="L24" s="603"/>
      <c r="M24" s="120"/>
      <c r="N24" s="120"/>
      <c r="O24" s="36"/>
      <c r="P24" s="36"/>
      <c r="Q24" s="10">
        <f t="shared" si="5"/>
        <v>5900000</v>
      </c>
      <c r="R24" s="1126"/>
      <c r="S24" s="583"/>
    </row>
    <row r="25" spans="1:19">
      <c r="A25" s="3"/>
      <c r="B25" s="577" t="s">
        <v>1625</v>
      </c>
      <c r="C25" s="599"/>
      <c r="D25" s="599"/>
      <c r="E25" s="120"/>
      <c r="F25" s="120"/>
      <c r="G25" s="120"/>
      <c r="H25" s="120"/>
      <c r="I25" s="120"/>
      <c r="J25" s="120"/>
      <c r="K25" s="603"/>
      <c r="L25" s="120"/>
      <c r="M25" s="120"/>
      <c r="N25" s="120"/>
      <c r="O25" s="120"/>
      <c r="P25" s="36"/>
      <c r="Q25" s="10">
        <f t="shared" si="5"/>
        <v>0</v>
      </c>
      <c r="S25" s="10"/>
    </row>
    <row r="26" spans="1:19">
      <c r="A26" s="3"/>
      <c r="B26" s="578" t="s">
        <v>191</v>
      </c>
      <c r="C26" s="599"/>
      <c r="D26" s="599"/>
      <c r="E26" s="120"/>
      <c r="F26" s="120"/>
      <c r="G26" s="120"/>
      <c r="H26" s="120"/>
      <c r="I26" s="120"/>
      <c r="J26" s="120"/>
      <c r="K26" s="603"/>
      <c r="L26" s="1602"/>
      <c r="M26" s="120"/>
      <c r="N26" s="120"/>
      <c r="O26" s="120"/>
      <c r="P26" s="36"/>
      <c r="Q26" s="10">
        <f t="shared" si="5"/>
        <v>0</v>
      </c>
      <c r="S26" s="10"/>
    </row>
    <row r="27" spans="1:19">
      <c r="A27" s="3"/>
      <c r="B27" s="568" t="s">
        <v>503</v>
      </c>
      <c r="C27" s="172">
        <f>SUM(C28:C30)</f>
        <v>0</v>
      </c>
      <c r="D27" s="172">
        <f>+D28+D29+D30</f>
        <v>0</v>
      </c>
      <c r="E27" s="172">
        <f>SUM(E28:E30)</f>
        <v>933286</v>
      </c>
      <c r="F27" s="172">
        <f>SUM(F28:F30)</f>
        <v>2178171</v>
      </c>
      <c r="G27" s="172">
        <f>SUM(G28:G30)</f>
        <v>1520408</v>
      </c>
      <c r="H27" s="172">
        <f t="shared" ref="H27:P27" si="6">SUM(H28:H30)</f>
        <v>1277669</v>
      </c>
      <c r="I27" s="172">
        <f t="shared" si="6"/>
        <v>592367</v>
      </c>
      <c r="J27" s="172">
        <f t="shared" si="6"/>
        <v>1614294</v>
      </c>
      <c r="K27" s="172">
        <f t="shared" si="6"/>
        <v>1548512</v>
      </c>
      <c r="L27" s="172">
        <f t="shared" si="6"/>
        <v>2678239</v>
      </c>
      <c r="M27" s="172">
        <f t="shared" si="6"/>
        <v>2377898</v>
      </c>
      <c r="N27" s="172">
        <f t="shared" si="6"/>
        <v>1930219</v>
      </c>
      <c r="O27" s="172">
        <f t="shared" si="6"/>
        <v>986077</v>
      </c>
      <c r="P27" s="172">
        <f t="shared" si="6"/>
        <v>1680988</v>
      </c>
      <c r="Q27" s="860">
        <f>+Q28+Q29+Q30</f>
        <v>19318128</v>
      </c>
      <c r="R27" s="871"/>
      <c r="S27" s="10"/>
    </row>
    <row r="28" spans="1:19" ht="15.75">
      <c r="A28" s="3"/>
      <c r="B28" s="38" t="s">
        <v>2989</v>
      </c>
      <c r="C28" s="120"/>
      <c r="D28" s="120"/>
      <c r="E28" s="36">
        <v>933286</v>
      </c>
      <c r="F28" s="10">
        <v>2178171</v>
      </c>
      <c r="G28" s="120">
        <v>1520408</v>
      </c>
      <c r="H28" s="120">
        <v>1277669</v>
      </c>
      <c r="I28" s="120">
        <v>592367</v>
      </c>
      <c r="J28" s="120">
        <v>1614294</v>
      </c>
      <c r="K28" s="603">
        <v>1548512</v>
      </c>
      <c r="L28" s="603">
        <v>2678239</v>
      </c>
      <c r="M28" s="120">
        <v>2377898</v>
      </c>
      <c r="N28" s="120">
        <v>1930219</v>
      </c>
      <c r="O28" s="120">
        <v>986077</v>
      </c>
      <c r="P28" s="36">
        <v>1033347</v>
      </c>
      <c r="Q28" s="10">
        <f>SUM(E28:P28)</f>
        <v>18670487</v>
      </c>
      <c r="R28" s="10"/>
      <c r="S28" s="10"/>
    </row>
    <row r="29" spans="1:19" ht="15.75">
      <c r="A29" s="3"/>
      <c r="B29" s="38" t="s">
        <v>1626</v>
      </c>
      <c r="C29" s="120"/>
      <c r="D29" s="120"/>
      <c r="E29" s="36"/>
      <c r="F29" s="36"/>
      <c r="G29" s="36"/>
      <c r="H29" s="570"/>
      <c r="I29" s="570"/>
      <c r="J29" s="570"/>
      <c r="K29" s="603"/>
      <c r="L29" s="570"/>
      <c r="M29" s="570"/>
      <c r="N29" s="120"/>
      <c r="O29" s="120"/>
      <c r="P29" s="36">
        <v>63313</v>
      </c>
      <c r="Q29" s="10">
        <f>SUM(E29:P29)</f>
        <v>63313</v>
      </c>
      <c r="S29" s="10"/>
    </row>
    <row r="30" spans="1:19" ht="15.75">
      <c r="A30" s="3"/>
      <c r="B30" s="38" t="s">
        <v>1628</v>
      </c>
      <c r="C30" s="120"/>
      <c r="D30" s="120"/>
      <c r="E30" s="36"/>
      <c r="F30" s="36"/>
      <c r="G30" s="36"/>
      <c r="H30" s="36"/>
      <c r="I30" s="36"/>
      <c r="J30" s="36"/>
      <c r="K30" s="36"/>
      <c r="L30" s="120"/>
      <c r="M30" s="36"/>
      <c r="N30" s="120"/>
      <c r="O30" s="120"/>
      <c r="P30" s="36">
        <v>584328</v>
      </c>
      <c r="Q30" s="10">
        <f>SUM(E30:P30)</f>
        <v>584328</v>
      </c>
      <c r="S30" s="10"/>
    </row>
    <row r="31" spans="1:19" ht="15.75">
      <c r="A31" s="3"/>
      <c r="B31" s="1557"/>
      <c r="C31" s="120"/>
      <c r="D31" s="120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10">
        <f t="shared" si="5"/>
        <v>0</v>
      </c>
      <c r="S31" s="10"/>
    </row>
    <row r="32" spans="1:19">
      <c r="A32" s="3"/>
      <c r="B32" s="1435"/>
      <c r="C32" s="120"/>
      <c r="D32" s="120"/>
      <c r="E32" s="36"/>
      <c r="F32" s="120"/>
      <c r="G32" s="120"/>
      <c r="H32" s="120"/>
      <c r="I32" s="120"/>
      <c r="J32" s="120"/>
      <c r="K32" s="603"/>
      <c r="L32" s="120"/>
      <c r="M32" s="120"/>
      <c r="N32" s="120"/>
      <c r="O32" s="120"/>
      <c r="P32" s="36"/>
      <c r="Q32" s="10">
        <f t="shared" si="5"/>
        <v>0</v>
      </c>
    </row>
    <row r="33" spans="1:19">
      <c r="A33" s="3"/>
      <c r="B33" s="1435"/>
      <c r="C33" s="673"/>
      <c r="D33" s="120"/>
      <c r="E33" s="36"/>
      <c r="F33" s="120"/>
      <c r="G33" s="120"/>
      <c r="H33" s="120"/>
      <c r="I33" s="120"/>
      <c r="J33" s="120"/>
      <c r="K33" s="603"/>
      <c r="L33" s="120"/>
      <c r="M33" s="120"/>
      <c r="N33" s="120"/>
      <c r="O33" s="120"/>
      <c r="P33" s="36"/>
      <c r="Q33" s="10">
        <f>SUM(E33:P33)</f>
        <v>0</v>
      </c>
    </row>
    <row r="34" spans="1:19">
      <c r="A34" s="3"/>
      <c r="B34" s="568" t="s">
        <v>1634</v>
      </c>
      <c r="C34" s="672">
        <f>SUM(C35:C36)</f>
        <v>0</v>
      </c>
      <c r="D34" s="672">
        <f>SUM(D35:D36)</f>
        <v>0</v>
      </c>
      <c r="E34" s="172">
        <f>SUM(E35:E36)</f>
        <v>166758.93841249999</v>
      </c>
      <c r="F34" s="124">
        <f t="shared" ref="F34:P34" si="7">SUM(F35:F36)</f>
        <v>161668.26415025</v>
      </c>
      <c r="G34" s="172">
        <f t="shared" si="7"/>
        <v>208992.39620359999</v>
      </c>
      <c r="H34" s="124">
        <f t="shared" si="7"/>
        <v>341244.28076133004</v>
      </c>
      <c r="I34" s="124">
        <f t="shared" si="7"/>
        <v>146734.5</v>
      </c>
      <c r="J34" s="124">
        <f t="shared" si="7"/>
        <v>211025.24588551998</v>
      </c>
      <c r="K34" s="602">
        <f t="shared" si="7"/>
        <v>446954.85599999997</v>
      </c>
      <c r="L34" s="124">
        <f t="shared" si="7"/>
        <v>159878.886</v>
      </c>
      <c r="M34" s="124">
        <f t="shared" si="7"/>
        <v>273286.26199999999</v>
      </c>
      <c r="N34" s="124">
        <f t="shared" si="7"/>
        <v>509501.68685250002</v>
      </c>
      <c r="O34" s="124">
        <f t="shared" si="7"/>
        <v>149487.76217</v>
      </c>
      <c r="P34" s="172">
        <f t="shared" si="7"/>
        <v>922841.45</v>
      </c>
      <c r="Q34" s="30">
        <f t="shared" si="5"/>
        <v>3698374.5284356996</v>
      </c>
      <c r="S34" s="10"/>
    </row>
    <row r="35" spans="1:19">
      <c r="A35" s="3"/>
      <c r="B35" s="3" t="s">
        <v>215</v>
      </c>
      <c r="C35" s="673"/>
      <c r="D35" s="673"/>
      <c r="E35" s="36">
        <f>+'Fin-Int'!C11</f>
        <v>0</v>
      </c>
      <c r="F35" s="120">
        <f>+'Fin-Int'!D11</f>
        <v>0</v>
      </c>
      <c r="G35" s="120">
        <f>+'Fin-Int'!E11</f>
        <v>0</v>
      </c>
      <c r="H35" s="120">
        <f>+'Fin-Int'!F11</f>
        <v>0</v>
      </c>
      <c r="I35" s="120">
        <f>+'Fin-Int'!G11</f>
        <v>0</v>
      </c>
      <c r="J35" s="120">
        <f>+'Fin-Int'!H11</f>
        <v>0</v>
      </c>
      <c r="K35" s="120">
        <f>+'Fin-Int'!I11</f>
        <v>0</v>
      </c>
      <c r="L35" s="120">
        <f>+'Fin-Int'!J11</f>
        <v>0</v>
      </c>
      <c r="M35" s="120">
        <f>+'Fin-Int'!K11</f>
        <v>0</v>
      </c>
      <c r="N35" s="120">
        <f>+'Fin-Int'!L11</f>
        <v>0</v>
      </c>
      <c r="O35" s="120">
        <f>+'Fin-Int'!M11</f>
        <v>0</v>
      </c>
      <c r="P35" s="120">
        <f>+'Fin-Int'!N11</f>
        <v>0</v>
      </c>
      <c r="Q35" s="10">
        <f t="shared" si="5"/>
        <v>0</v>
      </c>
      <c r="S35" s="10"/>
    </row>
    <row r="36" spans="1:19">
      <c r="A36" s="3"/>
      <c r="B36" s="3" t="s">
        <v>216</v>
      </c>
      <c r="C36" s="673"/>
      <c r="D36" s="673"/>
      <c r="E36" s="172">
        <f>+Dettes!C124</f>
        <v>166758.93841249999</v>
      </c>
      <c r="F36" s="172">
        <f>+Dettes!D124</f>
        <v>161668.26415025</v>
      </c>
      <c r="G36" s="172">
        <f>+Dettes!E124</f>
        <v>208992.39620359999</v>
      </c>
      <c r="H36" s="172">
        <f>+Dettes!F124</f>
        <v>341244.28076133004</v>
      </c>
      <c r="I36" s="172">
        <f>+Dettes!G124</f>
        <v>146734.5</v>
      </c>
      <c r="J36" s="172">
        <f>+Dettes!H124</f>
        <v>211025.24588551998</v>
      </c>
      <c r="K36" s="172">
        <f>+Dettes!I124</f>
        <v>446954.85599999997</v>
      </c>
      <c r="L36" s="172">
        <f>+Dettes!J124</f>
        <v>159878.886</v>
      </c>
      <c r="M36" s="172">
        <f>+Dettes!K124</f>
        <v>273286.26199999999</v>
      </c>
      <c r="N36" s="172">
        <f>+Dettes!L124</f>
        <v>509501.68685250002</v>
      </c>
      <c r="O36" s="172">
        <f>+Dettes!M124</f>
        <v>149487.76217</v>
      </c>
      <c r="P36" s="172">
        <f>+Dettes!N124</f>
        <v>922841.45</v>
      </c>
      <c r="Q36" s="10">
        <f t="shared" si="5"/>
        <v>3698374.5284356996</v>
      </c>
      <c r="R36" s="10"/>
      <c r="S36" s="10"/>
    </row>
    <row r="37" spans="1:19">
      <c r="A37" s="3"/>
      <c r="B37" s="3"/>
      <c r="C37" s="120"/>
      <c r="D37" s="120"/>
      <c r="E37" s="36"/>
      <c r="F37" s="120"/>
      <c r="G37" s="120"/>
      <c r="H37" s="120"/>
      <c r="I37" s="120"/>
      <c r="J37" s="120"/>
      <c r="K37" s="603"/>
      <c r="L37" s="120"/>
      <c r="M37" s="120"/>
      <c r="N37" s="120"/>
      <c r="O37" s="120"/>
      <c r="P37" s="36"/>
      <c r="Q37" s="10">
        <f t="shared" si="5"/>
        <v>0</v>
      </c>
      <c r="S37" s="10"/>
    </row>
    <row r="38" spans="1:19">
      <c r="A38" s="3"/>
      <c r="B38" s="568" t="s">
        <v>217</v>
      </c>
      <c r="C38" s="124">
        <f>+C39+C44</f>
        <v>0</v>
      </c>
      <c r="D38" s="124">
        <f>+D39+D44</f>
        <v>0</v>
      </c>
      <c r="E38" s="172">
        <f>E39+E44</f>
        <v>30000</v>
      </c>
      <c r="F38" s="124">
        <f t="shared" ref="F38:P38" si="8">F39+F44</f>
        <v>764241</v>
      </c>
      <c r="G38" s="172">
        <f t="shared" si="8"/>
        <v>9900828.675999999</v>
      </c>
      <c r="H38" s="124">
        <f>H39+H44</f>
        <v>41626</v>
      </c>
      <c r="I38" s="124">
        <f t="shared" si="8"/>
        <v>0</v>
      </c>
      <c r="J38" s="124">
        <f t="shared" si="8"/>
        <v>8737519.2275599986</v>
      </c>
      <c r="K38" s="124">
        <f t="shared" si="8"/>
        <v>0</v>
      </c>
      <c r="L38" s="124">
        <f t="shared" si="8"/>
        <v>316966</v>
      </c>
      <c r="M38" s="124">
        <f t="shared" si="8"/>
        <v>14746764.695</v>
      </c>
      <c r="N38" s="124">
        <f t="shared" si="8"/>
        <v>129000</v>
      </c>
      <c r="O38" s="124">
        <f t="shared" si="8"/>
        <v>0</v>
      </c>
      <c r="P38" s="172">
        <f t="shared" si="8"/>
        <v>4209491.22</v>
      </c>
      <c r="Q38" s="30">
        <f t="shared" si="5"/>
        <v>38876436.818559997</v>
      </c>
    </row>
    <row r="39" spans="1:19" ht="15.75">
      <c r="A39" s="3"/>
      <c r="B39" s="123" t="s">
        <v>185</v>
      </c>
      <c r="C39" s="36">
        <f t="shared" ref="C39:P39" si="9">SUM(C40:C42)</f>
        <v>0</v>
      </c>
      <c r="D39" s="36">
        <f t="shared" si="9"/>
        <v>0</v>
      </c>
      <c r="E39" s="36">
        <f t="shared" si="9"/>
        <v>30000</v>
      </c>
      <c r="F39" s="120">
        <f>SUM(F40:F42)</f>
        <v>764241</v>
      </c>
      <c r="G39" s="120">
        <f>SUM(G40:G42)</f>
        <v>0</v>
      </c>
      <c r="H39" s="120">
        <f t="shared" si="9"/>
        <v>41626</v>
      </c>
      <c r="I39" s="120">
        <f>SUM(I40:I42)</f>
        <v>0</v>
      </c>
      <c r="J39" s="120">
        <f t="shared" si="9"/>
        <v>0</v>
      </c>
      <c r="K39" s="603">
        <f t="shared" si="9"/>
        <v>0</v>
      </c>
      <c r="L39" s="120">
        <f t="shared" si="9"/>
        <v>316966</v>
      </c>
      <c r="M39" s="120">
        <f t="shared" si="9"/>
        <v>491375</v>
      </c>
      <c r="N39" s="120">
        <f t="shared" si="9"/>
        <v>129000</v>
      </c>
      <c r="O39" s="120">
        <f t="shared" si="9"/>
        <v>0</v>
      </c>
      <c r="P39" s="36">
        <f t="shared" si="9"/>
        <v>20000</v>
      </c>
      <c r="Q39" s="10">
        <f t="shared" si="5"/>
        <v>1793208</v>
      </c>
    </row>
    <row r="40" spans="1:19">
      <c r="A40" s="3"/>
      <c r="B40" s="650"/>
      <c r="C40" s="120"/>
      <c r="D40" s="120"/>
      <c r="E40" s="36"/>
      <c r="F40" s="120"/>
      <c r="G40" s="120"/>
      <c r="H40" s="120"/>
      <c r="I40" s="120"/>
      <c r="J40" s="120"/>
      <c r="K40" s="603"/>
      <c r="L40" s="120"/>
      <c r="M40" s="120"/>
      <c r="N40" s="120"/>
      <c r="O40" s="120"/>
      <c r="P40" s="36"/>
      <c r="Q40" s="10">
        <f t="shared" si="5"/>
        <v>0</v>
      </c>
      <c r="S40" s="1376"/>
    </row>
    <row r="41" spans="1:19" ht="15.75">
      <c r="A41" s="3"/>
      <c r="B41" s="566" t="s">
        <v>1629</v>
      </c>
      <c r="C41" s="120"/>
      <c r="D41" s="120"/>
      <c r="E41" s="36">
        <v>30000</v>
      </c>
      <c r="F41" s="120">
        <v>764241</v>
      </c>
      <c r="G41" s="120"/>
      <c r="H41" s="120">
        <f>32783+5448</f>
        <v>38231</v>
      </c>
      <c r="I41" s="36"/>
      <c r="J41" s="36"/>
      <c r="K41" s="36"/>
      <c r="L41" s="120">
        <v>316966</v>
      </c>
      <c r="M41" s="120">
        <v>49334</v>
      </c>
      <c r="N41" s="120">
        <v>50000</v>
      </c>
      <c r="O41" s="120"/>
      <c r="P41" s="36">
        <v>20000</v>
      </c>
      <c r="Q41" s="10">
        <f t="shared" si="5"/>
        <v>1268772</v>
      </c>
      <c r="R41" s="1126"/>
      <c r="S41" s="1376"/>
    </row>
    <row r="42" spans="1:19" ht="15.75">
      <c r="A42" s="3" t="s">
        <v>319</v>
      </c>
      <c r="B42" s="566" t="s">
        <v>1635</v>
      </c>
      <c r="C42" s="120"/>
      <c r="D42" s="120"/>
      <c r="E42" s="36"/>
      <c r="F42" s="120"/>
      <c r="G42" s="36"/>
      <c r="H42" s="36">
        <v>3395</v>
      </c>
      <c r="I42" s="36"/>
      <c r="J42" s="36"/>
      <c r="K42" s="36"/>
      <c r="L42" s="120"/>
      <c r="M42" s="120">
        <f>10000+432041</f>
        <v>442041</v>
      </c>
      <c r="N42" s="120">
        <v>79000</v>
      </c>
      <c r="O42" s="120"/>
      <c r="P42" s="36"/>
      <c r="Q42" s="10">
        <f t="shared" si="5"/>
        <v>524436</v>
      </c>
      <c r="S42" s="1376"/>
    </row>
    <row r="43" spans="1:19">
      <c r="A43" s="3"/>
      <c r="B43" s="568"/>
      <c r="C43" s="172"/>
      <c r="D43" s="172"/>
      <c r="E43" s="172">
        <v>0</v>
      </c>
      <c r="F43" s="172">
        <v>0</v>
      </c>
      <c r="G43" s="172">
        <v>0</v>
      </c>
      <c r="H43" s="172"/>
      <c r="I43" s="172">
        <v>0</v>
      </c>
      <c r="J43" s="172">
        <v>0</v>
      </c>
      <c r="K43" s="172"/>
      <c r="L43" s="172"/>
      <c r="M43" s="172"/>
      <c r="N43" s="172">
        <v>0</v>
      </c>
      <c r="O43" s="172">
        <v>0</v>
      </c>
      <c r="P43" s="172"/>
      <c r="Q43" s="860"/>
      <c r="S43" s="1376"/>
    </row>
    <row r="44" spans="1:19" ht="15.75">
      <c r="A44" s="3"/>
      <c r="B44" s="123" t="s">
        <v>1630</v>
      </c>
      <c r="C44" s="120">
        <f>+C45+C46</f>
        <v>0</v>
      </c>
      <c r="D44" s="120">
        <f>+D45+D46</f>
        <v>0</v>
      </c>
      <c r="E44" s="36">
        <f>E45+E46</f>
        <v>0</v>
      </c>
      <c r="F44" s="120">
        <f t="shared" ref="F44:P44" si="10">F45+F46</f>
        <v>0</v>
      </c>
      <c r="G44" s="120">
        <f t="shared" si="10"/>
        <v>9900828.675999999</v>
      </c>
      <c r="H44" s="120">
        <f t="shared" si="10"/>
        <v>0</v>
      </c>
      <c r="I44" s="120">
        <f t="shared" si="10"/>
        <v>0</v>
      </c>
      <c r="J44" s="120">
        <f t="shared" si="10"/>
        <v>8737519.2275599986</v>
      </c>
      <c r="K44" s="120">
        <f t="shared" si="10"/>
        <v>0</v>
      </c>
      <c r="L44" s="120">
        <f t="shared" si="10"/>
        <v>0</v>
      </c>
      <c r="M44" s="120">
        <f t="shared" si="10"/>
        <v>14255389.695</v>
      </c>
      <c r="N44" s="120">
        <f t="shared" si="10"/>
        <v>0</v>
      </c>
      <c r="O44" s="120">
        <f t="shared" si="10"/>
        <v>0</v>
      </c>
      <c r="P44" s="36">
        <f t="shared" si="10"/>
        <v>4189491.2199999997</v>
      </c>
      <c r="Q44" s="10">
        <f t="shared" si="5"/>
        <v>37083228.818559997</v>
      </c>
      <c r="S44" s="10"/>
    </row>
    <row r="45" spans="1:19">
      <c r="A45" s="3"/>
      <c r="B45" s="567" t="s">
        <v>187</v>
      </c>
      <c r="C45" s="120"/>
      <c r="D45" s="120"/>
      <c r="E45" s="36">
        <f>'Appui-Projets'!J32</f>
        <v>0</v>
      </c>
      <c r="F45" s="120">
        <f>'Appui-Projets'!K32</f>
        <v>0</v>
      </c>
      <c r="G45" s="120">
        <f>'Appui-Projets'!L32</f>
        <v>6351667.6349999998</v>
      </c>
      <c r="H45" s="120">
        <f>'Appui-Projets'!M32</f>
        <v>0</v>
      </c>
      <c r="I45" s="120">
        <f>'Appui-Projets'!N32</f>
        <v>0</v>
      </c>
      <c r="J45" s="120">
        <f>'Appui-Projets'!O32</f>
        <v>6116982.7189999996</v>
      </c>
      <c r="K45" s="120">
        <f>'Appui-Projets'!P32</f>
        <v>0</v>
      </c>
      <c r="L45" s="120">
        <f>'Appui-Projets'!Q32</f>
        <v>0</v>
      </c>
      <c r="M45" s="120">
        <f>'Appui-Projets'!R32</f>
        <v>5832614.3799999999</v>
      </c>
      <c r="N45" s="120">
        <f>'Appui-Projets'!S32</f>
        <v>0</v>
      </c>
      <c r="O45" s="120">
        <f>'Appui-Projets'!T32</f>
        <v>0</v>
      </c>
      <c r="P45" s="120">
        <f>'Appui-Projets'!U32</f>
        <v>4189325.5199999996</v>
      </c>
      <c r="Q45" s="10">
        <f t="shared" si="5"/>
        <v>22490590.253999997</v>
      </c>
      <c r="S45" s="10"/>
    </row>
    <row r="46" spans="1:19">
      <c r="A46" s="3"/>
      <c r="B46" s="567" t="s">
        <v>1631</v>
      </c>
      <c r="C46" s="120"/>
      <c r="D46" s="120"/>
      <c r="E46" s="36">
        <f>'Appui-Projets'!J6</f>
        <v>0</v>
      </c>
      <c r="F46" s="120">
        <f>'Appui-Projets'!K6</f>
        <v>0</v>
      </c>
      <c r="G46" s="120">
        <f>'Appui-Projets'!L6</f>
        <v>3549161.0410000002</v>
      </c>
      <c r="H46" s="120">
        <f>'Appui-Projets'!M6</f>
        <v>0</v>
      </c>
      <c r="I46" s="120">
        <f>'Appui-Projets'!N6</f>
        <v>0</v>
      </c>
      <c r="J46" s="120">
        <f>'Appui-Projets'!O6</f>
        <v>2620536.50856</v>
      </c>
      <c r="K46" s="120">
        <f>'Appui-Projets'!P6</f>
        <v>0</v>
      </c>
      <c r="L46" s="120">
        <f>'Appui-Projets'!Q6</f>
        <v>0</v>
      </c>
      <c r="M46" s="120">
        <f>'Appui-Projets'!R6</f>
        <v>8422775.3149999995</v>
      </c>
      <c r="N46" s="120">
        <f>'Appui-Projets'!S6</f>
        <v>0</v>
      </c>
      <c r="O46" s="120">
        <f>'Appui-Projets'!T6</f>
        <v>0</v>
      </c>
      <c r="P46" s="36">
        <f>'Appui-Projets'!U6</f>
        <v>165.7</v>
      </c>
      <c r="Q46" s="10">
        <f t="shared" si="5"/>
        <v>14592638.56456</v>
      </c>
      <c r="S46" s="10"/>
    </row>
    <row r="47" spans="1:19">
      <c r="A47" s="3"/>
      <c r="B47" s="711" t="s">
        <v>1307</v>
      </c>
      <c r="C47" s="36"/>
      <c r="D47" s="36"/>
      <c r="E47" s="36">
        <f>+'LICENCA PESCA'!D47</f>
        <v>160559.723</v>
      </c>
      <c r="F47" s="36">
        <f>+'LICENCA PESCA'!E47</f>
        <v>145342.81599999999</v>
      </c>
      <c r="G47" s="36">
        <f>+'LICENCA PESCA'!F47</f>
        <v>41383.207999999999</v>
      </c>
      <c r="H47" s="36">
        <f>+'LICENCA PESCA'!G47</f>
        <v>140200.81075</v>
      </c>
      <c r="I47" s="36">
        <f>+'LICENCA PESCA'!H47</f>
        <v>74011.236499999999</v>
      </c>
      <c r="J47" s="36">
        <f>+'LICENCA PESCA'!I47</f>
        <v>153303.53700000001</v>
      </c>
      <c r="K47" s="36">
        <f>+'LICENCA PESCA'!J47</f>
        <v>309049.25599999999</v>
      </c>
      <c r="L47" s="36">
        <f>+'LICENCA PESCA'!K47</f>
        <v>129925.83600000001</v>
      </c>
      <c r="M47" s="36">
        <f>+'LICENCA PESCA'!L47</f>
        <v>109702.216</v>
      </c>
      <c r="N47" s="36">
        <f>+'LICENCA PESCA'!M47</f>
        <v>20707.684000000001</v>
      </c>
      <c r="O47" s="36">
        <f>+'LICENCA PESCA'!N47</f>
        <v>1502783.2919999999</v>
      </c>
      <c r="P47" s="36">
        <f>+'LICENCA PESCA'!O47</f>
        <v>595781.15399999998</v>
      </c>
      <c r="Q47" s="10">
        <f t="shared" si="5"/>
        <v>3382750.7692499999</v>
      </c>
      <c r="R47" s="10">
        <f>Q47+Q27</f>
        <v>22700878.769249998</v>
      </c>
      <c r="S47" s="10"/>
    </row>
    <row r="48" spans="1:19">
      <c r="A48" s="4"/>
      <c r="B48" s="4"/>
      <c r="C48" s="120"/>
      <c r="D48" s="120"/>
      <c r="E48" s="1193"/>
      <c r="F48" s="120"/>
      <c r="G48" s="120"/>
      <c r="H48" s="120"/>
      <c r="I48" s="120"/>
      <c r="J48" s="120"/>
      <c r="K48" s="603"/>
      <c r="L48" s="120"/>
      <c r="M48" s="120"/>
      <c r="N48" s="120"/>
      <c r="O48" s="120"/>
      <c r="P48" s="36"/>
      <c r="Q48" s="10">
        <f t="shared" si="5"/>
        <v>0</v>
      </c>
      <c r="S48" s="10"/>
    </row>
    <row r="49" spans="2:19">
      <c r="B49" s="5" t="s">
        <v>208</v>
      </c>
      <c r="C49" s="122">
        <f>C3+C7+C13+C20+C27+C34+C38</f>
        <v>0</v>
      </c>
      <c r="D49" s="122">
        <f>D3+D7+D13+D20+D27+D34+D38</f>
        <v>0</v>
      </c>
      <c r="E49" s="122">
        <f>+E3+E7+E13+E20+E27+E34+E38+E47</f>
        <v>7235556.74343218</v>
      </c>
      <c r="F49" s="122">
        <f t="shared" ref="F49:M49" si="11">F3+F7+F13+F20+F27+F34+F38+F47</f>
        <v>12634692.071462899</v>
      </c>
      <c r="G49" s="122">
        <f>+G3+G7+G13+G20+G27+G34+G38+G47</f>
        <v>27454985.693160091</v>
      </c>
      <c r="H49" s="122">
        <f t="shared" si="11"/>
        <v>11125076.035885215</v>
      </c>
      <c r="I49" s="122">
        <f t="shared" si="11"/>
        <v>6162977.6371649997</v>
      </c>
      <c r="J49" s="122">
        <f t="shared" si="11"/>
        <v>20222134.414529938</v>
      </c>
      <c r="K49" s="122">
        <f t="shared" si="11"/>
        <v>10138795.686048001</v>
      </c>
      <c r="L49" s="122">
        <f t="shared" si="11"/>
        <v>11462120.611</v>
      </c>
      <c r="M49" s="122">
        <f t="shared" si="11"/>
        <v>25173378.495085098</v>
      </c>
      <c r="N49" s="122">
        <f>N3+N7+N13+N20+N27+N34+N38+N47</f>
        <v>11595478.907467499</v>
      </c>
      <c r="O49" s="122">
        <f>O3+O7+O13+O20+O27+O34+O38+O47</f>
        <v>10406607.207695199</v>
      </c>
      <c r="P49" s="1194">
        <f>+P3+P7+P13+P20+P27+P34+P38+P47</f>
        <v>15869248.912951939</v>
      </c>
      <c r="Q49" s="122">
        <f>SUM(E49:P49)</f>
        <v>169481052.41588306</v>
      </c>
      <c r="R49" s="10"/>
      <c r="S49" s="10"/>
    </row>
    <row r="50" spans="2:19">
      <c r="B50" s="5" t="s">
        <v>218</v>
      </c>
      <c r="C50" s="37">
        <f>C3+C7+C13+C20+C27+C34+C38+C47</f>
        <v>0</v>
      </c>
      <c r="D50" s="37">
        <f>+D3+D7+D13+D20+D27+D34+D38+D47</f>
        <v>0</v>
      </c>
      <c r="E50" s="122">
        <f>+E49-E44</f>
        <v>7235556.74343218</v>
      </c>
      <c r="F50" s="122">
        <f t="shared" ref="F50:O50" si="12">F49-F44</f>
        <v>12634692.071462899</v>
      </c>
      <c r="G50" s="122">
        <f>+G49-G44</f>
        <v>17554157.017160092</v>
      </c>
      <c r="H50" s="122">
        <f t="shared" si="12"/>
        <v>11125076.035885215</v>
      </c>
      <c r="I50" s="122">
        <f t="shared" si="12"/>
        <v>6162977.6371649997</v>
      </c>
      <c r="J50" s="122">
        <f t="shared" si="12"/>
        <v>11484615.18696994</v>
      </c>
      <c r="K50" s="604">
        <f t="shared" si="12"/>
        <v>10138795.686048001</v>
      </c>
      <c r="L50" s="604">
        <f>+L49-L44</f>
        <v>11462120.611</v>
      </c>
      <c r="M50" s="122">
        <f t="shared" si="12"/>
        <v>10917988.800085098</v>
      </c>
      <c r="N50" s="122">
        <f t="shared" si="12"/>
        <v>11595478.907467499</v>
      </c>
      <c r="O50" s="122">
        <f t="shared" si="12"/>
        <v>10406607.207695199</v>
      </c>
      <c r="P50" s="1194">
        <f>+P49-P44</f>
        <v>11679757.69295194</v>
      </c>
      <c r="Q50" s="122">
        <f>+Q49-Q44</f>
        <v>132397823.59732306</v>
      </c>
      <c r="S50" s="10"/>
    </row>
    <row r="51" spans="2:19">
      <c r="B51" s="1603" t="s">
        <v>3022</v>
      </c>
      <c r="E51" s="10">
        <f t="shared" ref="E51:J51" si="13">E52</f>
        <v>6635986</v>
      </c>
      <c r="F51" s="10">
        <f t="shared" si="13"/>
        <v>12001511</v>
      </c>
      <c r="G51" s="10">
        <f t="shared" si="13"/>
        <v>17096468.243000001</v>
      </c>
      <c r="H51" s="10">
        <f t="shared" si="13"/>
        <v>8242912</v>
      </c>
      <c r="I51" s="10">
        <f t="shared" si="13"/>
        <v>5889859</v>
      </c>
      <c r="J51" s="10">
        <f t="shared" si="13"/>
        <v>10358553</v>
      </c>
      <c r="K51" s="10">
        <f>K52</f>
        <v>8439952</v>
      </c>
      <c r="L51" s="10">
        <f>L52</f>
        <v>10304776</v>
      </c>
      <c r="M51" s="10">
        <f>M52</f>
        <v>9540733</v>
      </c>
      <c r="N51" s="10">
        <f>N52</f>
        <v>9852556</v>
      </c>
      <c r="O51" s="10"/>
      <c r="P51" s="10"/>
      <c r="Q51" s="10">
        <f>SUM(E51:P51)</f>
        <v>98363306.243000001</v>
      </c>
      <c r="R51" s="10"/>
      <c r="S51" s="10"/>
    </row>
    <row r="52" spans="2:19">
      <c r="B52" s="1604">
        <f>+'[35]GLOBAL FINANÇAS 2019'!$G$32+'[35]GLOBAL FINANÇAS 2019'!$G$89+'[35]GLOBAL FINANÇAS 2019'!$G$119</f>
        <v>794241.10499999998</v>
      </c>
      <c r="C52" s="860" t="s">
        <v>2208</v>
      </c>
      <c r="D52" s="860"/>
      <c r="E52" s="1126">
        <f>E7+E13+E20+E27+E35</f>
        <v>6635986</v>
      </c>
      <c r="F52" s="1126">
        <f>F7+F13+F20+F27+F35+F41+4369</f>
        <v>12001511</v>
      </c>
      <c r="G52" s="1126">
        <f>G7+G13+G20+G27+G35+G42</f>
        <v>17096468.243000001</v>
      </c>
      <c r="H52" s="1126">
        <f>H7+H13+H20+H27+H35</f>
        <v>8242912</v>
      </c>
      <c r="I52" s="1126">
        <f>I7+I13+I20+I27+I35</f>
        <v>5889859</v>
      </c>
      <c r="J52" s="1126">
        <f>J7+J13+J20+J27</f>
        <v>10358553</v>
      </c>
      <c r="K52" s="1126">
        <f t="shared" ref="K52:P52" si="14">K7+K13+K20+K27+K35</f>
        <v>8439952</v>
      </c>
      <c r="L52" s="1126">
        <f t="shared" si="14"/>
        <v>10304776</v>
      </c>
      <c r="M52" s="1126">
        <f t="shared" si="14"/>
        <v>9540733</v>
      </c>
      <c r="N52" s="1126">
        <f t="shared" si="14"/>
        <v>9852556</v>
      </c>
      <c r="O52" s="1126">
        <f t="shared" si="14"/>
        <v>8452056</v>
      </c>
      <c r="P52" s="1126">
        <f t="shared" si="14"/>
        <v>9657871</v>
      </c>
      <c r="Q52" s="10">
        <f>SUM(E52:P52)</f>
        <v>116473233.243</v>
      </c>
      <c r="R52" s="10"/>
    </row>
    <row r="53" spans="2:19">
      <c r="B53" s="1605" t="s">
        <v>3023</v>
      </c>
      <c r="C53" s="860"/>
      <c r="D53" s="860" t="s">
        <v>1723</v>
      </c>
      <c r="E53" s="10">
        <f>+E52</f>
        <v>6635986</v>
      </c>
      <c r="F53" s="10">
        <f t="shared" ref="F53:O53" si="15">+F52</f>
        <v>12001511</v>
      </c>
      <c r="G53" s="10">
        <f>+G52</f>
        <v>17096468.243000001</v>
      </c>
      <c r="H53" s="10">
        <f t="shared" si="15"/>
        <v>8242912</v>
      </c>
      <c r="I53" s="10">
        <f t="shared" si="15"/>
        <v>5889859</v>
      </c>
      <c r="J53" s="10">
        <f>+J52</f>
        <v>10358553</v>
      </c>
      <c r="K53" s="10">
        <f t="shared" si="15"/>
        <v>8439952</v>
      </c>
      <c r="L53" s="10">
        <f t="shared" si="15"/>
        <v>10304776</v>
      </c>
      <c r="M53" s="10">
        <f t="shared" si="15"/>
        <v>9540733</v>
      </c>
      <c r="N53" s="10">
        <f t="shared" si="15"/>
        <v>9852556</v>
      </c>
      <c r="O53" s="10">
        <f t="shared" si="15"/>
        <v>8452056</v>
      </c>
      <c r="P53" s="10">
        <f>+P52</f>
        <v>9657871</v>
      </c>
      <c r="Q53" s="10">
        <f>SUM(E53:P53)</f>
        <v>116473233.243</v>
      </c>
    </row>
    <row r="54" spans="2:19">
      <c r="B54" s="1604">
        <f>+'[35]GLOBAL FINANÇAS 2019'!$M$168+'[35]GLOBAL FINANÇAS 2019'!$M$185</f>
        <v>41626.6</v>
      </c>
      <c r="C54" s="10"/>
      <c r="E54" s="10"/>
      <c r="F54" s="10"/>
      <c r="G54" s="10"/>
      <c r="H54" s="10"/>
      <c r="I54" s="10"/>
      <c r="J54" s="10"/>
      <c r="K54" s="607"/>
      <c r="L54" s="607"/>
      <c r="M54" s="607"/>
      <c r="N54" s="10"/>
      <c r="O54" s="10"/>
      <c r="Q54" s="10">
        <f>SUM(E54:P54)</f>
        <v>0</v>
      </c>
      <c r="S54" s="10"/>
    </row>
    <row r="55" spans="2:19">
      <c r="E55" s="10"/>
      <c r="F55" s="10"/>
      <c r="G55" s="10"/>
      <c r="H55" s="10"/>
      <c r="I55" s="10"/>
      <c r="J55" s="10"/>
      <c r="K55" s="607"/>
      <c r="L55" s="607"/>
      <c r="M55" s="607"/>
      <c r="N55" s="10"/>
      <c r="Q55" s="10">
        <f>SUM(E55:P55)</f>
        <v>0</v>
      </c>
    </row>
    <row r="56" spans="2:19" s="1375" customFormat="1">
      <c r="D56" s="1126"/>
      <c r="E56" s="1126"/>
      <c r="F56" s="1126"/>
      <c r="G56" s="1126"/>
      <c r="K56" s="1474"/>
      <c r="O56" s="1126"/>
      <c r="P56" s="1126"/>
      <c r="Q56" s="1126"/>
    </row>
    <row r="57" spans="2:19">
      <c r="E57" s="1126"/>
      <c r="F57" s="1126"/>
      <c r="G57" s="1126"/>
      <c r="I57" s="10"/>
      <c r="K57" s="607"/>
      <c r="L57" s="10"/>
      <c r="O57" s="10"/>
    </row>
    <row r="58" spans="2:19">
      <c r="B58" s="627"/>
      <c r="E58" s="629"/>
      <c r="F58" s="629"/>
      <c r="G58" s="654"/>
      <c r="Q58" s="10"/>
    </row>
    <row r="59" spans="2:19">
      <c r="E59" s="706"/>
      <c r="F59" s="706"/>
      <c r="G59" s="1494"/>
      <c r="P59" s="10"/>
      <c r="Q59" s="583"/>
    </row>
    <row r="60" spans="2:19">
      <c r="E60" s="706"/>
      <c r="F60" s="706"/>
      <c r="G60" s="1495"/>
      <c r="P60" s="706"/>
      <c r="Q60" s="10"/>
      <c r="R60" s="10"/>
    </row>
    <row r="61" spans="2:19">
      <c r="E61" s="706"/>
      <c r="F61" s="706"/>
      <c r="G61" s="1495"/>
      <c r="P61" s="706"/>
    </row>
    <row r="62" spans="2:19">
      <c r="E62" s="706"/>
      <c r="F62" s="706"/>
      <c r="G62" s="706"/>
      <c r="P62" s="706"/>
    </row>
    <row r="63" spans="2:19">
      <c r="E63" s="706"/>
      <c r="F63" s="706"/>
      <c r="G63" s="706"/>
      <c r="P63" s="706"/>
    </row>
    <row r="64" spans="2:19">
      <c r="E64" s="706"/>
      <c r="F64" s="706"/>
      <c r="G64" s="706"/>
      <c r="P64" s="706"/>
      <c r="Q64" s="706"/>
    </row>
    <row r="65" spans="5:17">
      <c r="E65" s="706"/>
      <c r="F65" s="706"/>
      <c r="G65" s="706"/>
      <c r="P65" s="861"/>
      <c r="Q65" s="861"/>
    </row>
    <row r="66" spans="5:17">
      <c r="F66" s="861"/>
      <c r="G66" s="861"/>
      <c r="P66" s="861"/>
    </row>
    <row r="67" spans="5:17">
      <c r="P67" s="861"/>
    </row>
    <row r="68" spans="5:17">
      <c r="P68" s="861"/>
    </row>
    <row r="69" spans="5:17">
      <c r="P69" s="861"/>
      <c r="Q69" s="706"/>
    </row>
    <row r="70" spans="5:17">
      <c r="K70" s="706"/>
      <c r="P70" s="861"/>
      <c r="Q70" s="706"/>
    </row>
    <row r="71" spans="5:17">
      <c r="K71" s="706"/>
      <c r="Q71" s="706"/>
    </row>
    <row r="72" spans="5:17">
      <c r="K72" s="738"/>
    </row>
    <row r="73" spans="5:17">
      <c r="J73" s="740"/>
      <c r="K73" s="739"/>
    </row>
    <row r="74" spans="5:17">
      <c r="K74" s="738"/>
    </row>
    <row r="75" spans="5:17">
      <c r="K75" s="738"/>
    </row>
    <row r="76" spans="5:17">
      <c r="K76" s="706"/>
    </row>
    <row r="77" spans="5:17">
      <c r="K77" s="738"/>
    </row>
    <row r="78" spans="5:17">
      <c r="J78" s="558"/>
      <c r="K78" s="739"/>
    </row>
    <row r="79" spans="5:17">
      <c r="I79" s="706"/>
      <c r="K79" s="738"/>
    </row>
    <row r="80" spans="5:17">
      <c r="K80" s="738"/>
    </row>
    <row r="81" spans="10:11">
      <c r="K81" s="738"/>
    </row>
    <row r="82" spans="10:11">
      <c r="K82" s="738"/>
    </row>
    <row r="83" spans="10:11">
      <c r="K83" s="738"/>
    </row>
    <row r="84" spans="10:11">
      <c r="K84" s="738"/>
    </row>
    <row r="85" spans="10:11">
      <c r="J85" s="558"/>
      <c r="K85" s="739"/>
    </row>
  </sheetData>
  <phoneticPr fontId="0" type="noConversion"/>
  <pageMargins left="0.27559055118110237" right="0.23622047244094491" top="0.51181102362204722" bottom="0.55118110236220474" header="0.35433070866141736" footer="0.35433070866141736"/>
  <pageSetup paperSize="9" scale="85" orientation="landscape" r:id="rId1"/>
  <headerFooter alignWithMargins="0"/>
  <rowBreaks count="1" manualBreakCount="1">
    <brk id="50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1"/>
  <dimension ref="A1:AC102"/>
  <sheetViews>
    <sheetView showZeros="0" zoomScale="80" zoomScaleNormal="80" workbookViewId="0">
      <pane xSplit="4" ySplit="5" topLeftCell="T18" activePane="bottomRight" state="frozen"/>
      <selection pane="topRight" activeCell="E1" sqref="E1"/>
      <selection pane="bottomLeft" activeCell="A12" sqref="A12"/>
      <selection pane="bottomRight" activeCell="P7" sqref="P7"/>
    </sheetView>
  </sheetViews>
  <sheetFormatPr defaultColWidth="9.140625" defaultRowHeight="12.75"/>
  <cols>
    <col min="1" max="1" width="4.140625" style="91" customWidth="1"/>
    <col min="2" max="2" width="7.5703125" style="91" customWidth="1"/>
    <col min="3" max="3" width="13.140625" style="91" customWidth="1"/>
    <col min="4" max="4" width="23.28515625" style="91" customWidth="1"/>
    <col min="5" max="9" width="17.5703125" style="91" hidden="1" customWidth="1"/>
    <col min="10" max="11" width="17.5703125" style="91" customWidth="1"/>
    <col min="12" max="12" width="18.140625" style="1408" customWidth="1"/>
    <col min="13" max="14" width="17.5703125" style="91" customWidth="1"/>
    <col min="15" max="15" width="23.85546875" style="1408" customWidth="1"/>
    <col min="16" max="17" width="17.5703125" style="91" customWidth="1"/>
    <col min="18" max="18" width="24.28515625" style="91" customWidth="1"/>
    <col min="19" max="19" width="19.28515625" style="91" customWidth="1"/>
    <col min="20" max="20" width="17.5703125" style="91" customWidth="1"/>
    <col min="21" max="21" width="23.140625" style="91" bestFit="1" customWidth="1"/>
    <col min="22" max="22" width="21.5703125" style="91" bestFit="1" customWidth="1"/>
    <col min="23" max="23" width="12.140625" style="91" hidden="1" customWidth="1"/>
    <col min="24" max="24" width="13.42578125" style="91" bestFit="1" customWidth="1"/>
    <col min="25" max="25" width="16.140625" style="91" bestFit="1" customWidth="1"/>
    <col min="26" max="26" width="17.140625" style="91" customWidth="1"/>
    <col min="27" max="27" width="17.7109375" style="91" customWidth="1"/>
    <col min="28" max="28" width="9.140625" style="91"/>
    <col min="29" max="29" width="18.140625" style="91" customWidth="1"/>
    <col min="30" max="16384" width="9.140625" style="91"/>
  </cols>
  <sheetData>
    <row r="1" spans="1:27" ht="13.5" thickBot="1">
      <c r="C1" s="91" t="s">
        <v>81</v>
      </c>
      <c r="E1" s="93"/>
      <c r="F1" s="92"/>
      <c r="G1" s="92"/>
      <c r="H1" s="94"/>
      <c r="I1" s="92"/>
      <c r="J1" s="92"/>
      <c r="K1" s="92"/>
      <c r="M1" s="92"/>
      <c r="N1" s="92"/>
      <c r="P1" s="92"/>
      <c r="Q1" s="92"/>
      <c r="R1" s="92"/>
      <c r="S1" s="92"/>
      <c r="T1" s="92"/>
      <c r="U1" s="92"/>
      <c r="V1" s="92"/>
    </row>
    <row r="2" spans="1:27" ht="25.5" thickBot="1">
      <c r="D2" s="92"/>
      <c r="E2" s="1202" t="s">
        <v>2868</v>
      </c>
      <c r="K2" s="1408"/>
      <c r="L2" s="1619" t="s">
        <v>2865</v>
      </c>
      <c r="M2" s="1450" t="s">
        <v>2880</v>
      </c>
      <c r="N2" s="1450"/>
      <c r="O2" s="1619" t="s">
        <v>2867</v>
      </c>
      <c r="P2" s="1450"/>
      <c r="Q2" s="1450"/>
      <c r="R2" s="1451" t="s">
        <v>2866</v>
      </c>
      <c r="S2" s="1452"/>
      <c r="T2" s="1452"/>
      <c r="U2" s="1453">
        <f>+L6+O6+R6</f>
        <v>14592472.864560001</v>
      </c>
      <c r="V2" s="1452"/>
    </row>
    <row r="3" spans="1:27">
      <c r="B3" s="95"/>
      <c r="C3" s="96" t="s">
        <v>82</v>
      </c>
      <c r="D3" s="97"/>
      <c r="E3" s="98"/>
      <c r="F3" s="98"/>
      <c r="G3" s="98"/>
      <c r="H3" s="98"/>
      <c r="I3" s="98"/>
      <c r="J3" s="98"/>
      <c r="K3" s="98"/>
      <c r="L3" s="1620">
        <f>L32-631667.83</f>
        <v>5719999.8049999997</v>
      </c>
      <c r="M3" s="1449"/>
      <c r="N3" s="1449"/>
      <c r="O3" s="1620"/>
      <c r="P3" s="1449"/>
      <c r="Q3" s="1449"/>
      <c r="R3" s="1449"/>
      <c r="S3" s="1449"/>
      <c r="T3" s="1449"/>
      <c r="U3" s="1449"/>
      <c r="V3" s="1455"/>
    </row>
    <row r="4" spans="1:27" ht="38.25" customHeight="1">
      <c r="A4" s="769"/>
      <c r="B4" s="770" t="s">
        <v>83</v>
      </c>
      <c r="C4" s="771" t="s">
        <v>84</v>
      </c>
      <c r="D4" s="772" t="s">
        <v>85</v>
      </c>
      <c r="E4" s="771" t="s">
        <v>2878</v>
      </c>
      <c r="F4" s="771" t="s">
        <v>86</v>
      </c>
      <c r="G4" s="771" t="s">
        <v>207</v>
      </c>
      <c r="H4" s="773" t="s">
        <v>2879</v>
      </c>
      <c r="I4" s="774" t="s">
        <v>207</v>
      </c>
      <c r="J4" s="775">
        <v>43466</v>
      </c>
      <c r="K4" s="775">
        <v>43497</v>
      </c>
      <c r="L4" s="775">
        <v>43525</v>
      </c>
      <c r="M4" s="775">
        <v>43556</v>
      </c>
      <c r="N4" s="775">
        <v>43586</v>
      </c>
      <c r="O4" s="775">
        <v>43617</v>
      </c>
      <c r="P4" s="775">
        <v>43647</v>
      </c>
      <c r="Q4" s="775">
        <v>43678</v>
      </c>
      <c r="R4" s="775">
        <v>43709</v>
      </c>
      <c r="S4" s="775">
        <v>43739</v>
      </c>
      <c r="T4" s="775">
        <v>43770</v>
      </c>
      <c r="U4" s="775">
        <v>43800</v>
      </c>
      <c r="V4" s="1456" t="s">
        <v>87</v>
      </c>
      <c r="W4" s="1454" t="s">
        <v>88</v>
      </c>
    </row>
    <row r="5" spans="1:27" ht="33.75" customHeight="1">
      <c r="A5" s="769"/>
      <c r="B5" s="765"/>
      <c r="C5" s="766"/>
      <c r="D5" s="767" t="s">
        <v>322</v>
      </c>
      <c r="E5" s="768">
        <f t="shared" ref="E5:U5" si="0">E6+E32</f>
        <v>0</v>
      </c>
      <c r="F5" s="768">
        <f t="shared" si="0"/>
        <v>0</v>
      </c>
      <c r="G5" s="768">
        <f t="shared" si="0"/>
        <v>0</v>
      </c>
      <c r="H5" s="768">
        <f t="shared" si="0"/>
        <v>0</v>
      </c>
      <c r="I5" s="768">
        <f t="shared" si="0"/>
        <v>0</v>
      </c>
      <c r="J5" s="768">
        <f t="shared" si="0"/>
        <v>0</v>
      </c>
      <c r="K5" s="768">
        <f t="shared" si="0"/>
        <v>0</v>
      </c>
      <c r="L5" s="1621">
        <f t="shared" si="0"/>
        <v>9900828.675999999</v>
      </c>
      <c r="M5" s="1387">
        <f t="shared" si="0"/>
        <v>0</v>
      </c>
      <c r="N5" s="1387">
        <f t="shared" si="0"/>
        <v>0</v>
      </c>
      <c r="O5" s="1621">
        <f t="shared" si="0"/>
        <v>8737519.2275599986</v>
      </c>
      <c r="P5" s="1387">
        <f t="shared" si="0"/>
        <v>0</v>
      </c>
      <c r="Q5" s="1387">
        <f t="shared" si="0"/>
        <v>0</v>
      </c>
      <c r="R5" s="1387">
        <f t="shared" si="0"/>
        <v>14255389.695</v>
      </c>
      <c r="S5" s="1387">
        <f t="shared" si="0"/>
        <v>0</v>
      </c>
      <c r="T5" s="1387">
        <f t="shared" si="0"/>
        <v>0</v>
      </c>
      <c r="U5" s="1387">
        <f t="shared" si="0"/>
        <v>4189491.2199999997</v>
      </c>
      <c r="V5" s="1457">
        <f t="shared" ref="V5:V31" si="1">SUM(J5:U5)</f>
        <v>37083228.818559997</v>
      </c>
      <c r="W5" s="102" t="e">
        <f t="shared" ref="W5:W26" si="2">V5/G5</f>
        <v>#DIV/0!</v>
      </c>
      <c r="Y5" s="1409">
        <f>+R5+O5+L5</f>
        <v>32893737.598559998</v>
      </c>
    </row>
    <row r="6" spans="1:27" ht="22.5" customHeight="1">
      <c r="B6" s="99"/>
      <c r="C6" s="100" t="s">
        <v>58</v>
      </c>
      <c r="D6" s="100" t="s">
        <v>168</v>
      </c>
      <c r="E6" s="101">
        <f>SUM(E8:E30)</f>
        <v>0</v>
      </c>
      <c r="F6" s="101">
        <f>SUM(F8:F30)</f>
        <v>0</v>
      </c>
      <c r="G6" s="101">
        <f>SUM(G8:G30)</f>
        <v>0</v>
      </c>
      <c r="H6" s="101">
        <f>H7+H23</f>
        <v>0</v>
      </c>
      <c r="I6" s="101">
        <f t="shared" ref="I6:N6" si="3">I7+I23</f>
        <v>0</v>
      </c>
      <c r="J6" s="101">
        <f t="shared" si="3"/>
        <v>0</v>
      </c>
      <c r="K6" s="101">
        <f t="shared" si="3"/>
        <v>0</v>
      </c>
      <c r="L6" s="1389">
        <f t="shared" si="3"/>
        <v>3549161.0410000002</v>
      </c>
      <c r="M6" s="101">
        <f t="shared" si="3"/>
        <v>0</v>
      </c>
      <c r="N6" s="101">
        <f t="shared" si="3"/>
        <v>0</v>
      </c>
      <c r="O6" s="1389">
        <f t="shared" ref="O6:U6" si="4">O7+O23</f>
        <v>2620536.50856</v>
      </c>
      <c r="P6" s="101">
        <f t="shared" si="4"/>
        <v>0</v>
      </c>
      <c r="Q6" s="101">
        <f t="shared" si="4"/>
        <v>0</v>
      </c>
      <c r="R6" s="101">
        <f t="shared" si="4"/>
        <v>8422775.3149999995</v>
      </c>
      <c r="S6" s="101">
        <f t="shared" si="4"/>
        <v>0</v>
      </c>
      <c r="T6" s="101">
        <f t="shared" si="4"/>
        <v>0</v>
      </c>
      <c r="U6" s="101">
        <f t="shared" si="4"/>
        <v>165.7</v>
      </c>
      <c r="V6" s="1458">
        <f t="shared" si="1"/>
        <v>14592638.56456</v>
      </c>
      <c r="W6" s="102" t="e">
        <f t="shared" si="2"/>
        <v>#DIV/0!</v>
      </c>
      <c r="Y6" s="92"/>
    </row>
    <row r="7" spans="1:27" ht="18" customHeight="1">
      <c r="B7" s="110"/>
      <c r="C7" s="111"/>
      <c r="D7" s="1269" t="s">
        <v>2270</v>
      </c>
      <c r="E7" s="112"/>
      <c r="F7" s="112"/>
      <c r="G7" s="112"/>
      <c r="H7" s="112">
        <f>SUM(H8:H21)</f>
        <v>0</v>
      </c>
      <c r="I7" s="112">
        <f>SUM(I8:I21)</f>
        <v>0</v>
      </c>
      <c r="J7" s="112">
        <f>SUM(J8:J21)</f>
        <v>0</v>
      </c>
      <c r="K7" s="112">
        <f t="shared" ref="K7:U7" si="5">SUM(K8:K21)</f>
        <v>0</v>
      </c>
      <c r="L7" s="112">
        <f t="shared" si="5"/>
        <v>3549161.0410000002</v>
      </c>
      <c r="M7" s="112">
        <f t="shared" si="5"/>
        <v>0</v>
      </c>
      <c r="N7" s="112">
        <f t="shared" si="5"/>
        <v>0</v>
      </c>
      <c r="O7" s="112">
        <f t="shared" si="5"/>
        <v>2620536.50856</v>
      </c>
      <c r="P7" s="112">
        <f t="shared" si="5"/>
        <v>0</v>
      </c>
      <c r="Q7" s="112">
        <f t="shared" si="5"/>
        <v>0</v>
      </c>
      <c r="R7" s="112">
        <f t="shared" si="5"/>
        <v>8422775.3149999995</v>
      </c>
      <c r="S7" s="112">
        <f t="shared" si="5"/>
        <v>0</v>
      </c>
      <c r="T7" s="112">
        <f t="shared" si="5"/>
        <v>0</v>
      </c>
      <c r="U7" s="112">
        <f t="shared" si="5"/>
        <v>165.7</v>
      </c>
      <c r="V7" s="1458">
        <f t="shared" si="1"/>
        <v>14592638.56456</v>
      </c>
      <c r="W7" s="113"/>
      <c r="Y7" s="92"/>
    </row>
    <row r="8" spans="1:27" ht="15.75">
      <c r="A8" s="91">
        <v>1</v>
      </c>
      <c r="B8" s="103">
        <v>1</v>
      </c>
      <c r="C8" s="104" t="s">
        <v>242</v>
      </c>
      <c r="D8" s="858" t="s">
        <v>2219</v>
      </c>
      <c r="E8" s="105"/>
      <c r="F8" s="105"/>
      <c r="G8" s="105"/>
      <c r="H8" s="105"/>
      <c r="I8" s="105"/>
      <c r="J8" s="105"/>
      <c r="K8" s="105"/>
      <c r="L8" s="1388"/>
      <c r="M8" s="105"/>
      <c r="N8" s="105"/>
      <c r="O8" s="1388"/>
      <c r="P8" s="105"/>
      <c r="Q8" s="105"/>
      <c r="R8" s="108">
        <v>937502.56900000002</v>
      </c>
      <c r="S8" s="105"/>
      <c r="T8" s="105"/>
      <c r="U8" s="105"/>
      <c r="V8" s="1459">
        <f t="shared" si="1"/>
        <v>937502.56900000002</v>
      </c>
      <c r="W8" s="107" t="e">
        <f t="shared" si="2"/>
        <v>#DIV/0!</v>
      </c>
      <c r="Z8" s="109" t="s">
        <v>2858</v>
      </c>
      <c r="AA8" s="1437"/>
    </row>
    <row r="9" spans="1:27" ht="15.75">
      <c r="A9" s="91">
        <v>3</v>
      </c>
      <c r="B9" s="103">
        <v>3</v>
      </c>
      <c r="C9" s="104" t="s">
        <v>241</v>
      </c>
      <c r="D9" s="119" t="s">
        <v>1049</v>
      </c>
      <c r="E9" s="105"/>
      <c r="F9" s="105"/>
      <c r="G9" s="105"/>
      <c r="H9" s="105"/>
      <c r="I9" s="105"/>
      <c r="J9" s="105"/>
      <c r="K9" s="105"/>
      <c r="L9" s="1426">
        <v>51920.281000000003</v>
      </c>
      <c r="M9" s="105"/>
      <c r="N9" s="105"/>
      <c r="O9" s="1388">
        <v>55453.357560000004</v>
      </c>
      <c r="P9" s="106"/>
      <c r="Q9" s="105"/>
      <c r="R9" s="105"/>
      <c r="S9" s="105"/>
      <c r="T9" s="105"/>
      <c r="U9" s="105"/>
      <c r="V9" s="1459">
        <f t="shared" si="1"/>
        <v>107373.63856000001</v>
      </c>
      <c r="W9" s="107" t="e">
        <f t="shared" si="2"/>
        <v>#DIV/0!</v>
      </c>
      <c r="Z9" s="109" t="s">
        <v>122</v>
      </c>
      <c r="AA9" s="1437"/>
    </row>
    <row r="10" spans="1:27" ht="15.75">
      <c r="A10" s="91">
        <v>4</v>
      </c>
      <c r="B10" s="103">
        <v>4</v>
      </c>
      <c r="C10" s="104" t="s">
        <v>229</v>
      </c>
      <c r="D10" s="858" t="s">
        <v>2779</v>
      </c>
      <c r="E10" s="105"/>
      <c r="F10" s="105"/>
      <c r="G10" s="105"/>
      <c r="H10" s="105"/>
      <c r="I10" s="105"/>
      <c r="J10" s="105"/>
      <c r="K10" s="105"/>
      <c r="L10" s="1388">
        <v>2234770.65</v>
      </c>
      <c r="M10" s="105"/>
      <c r="N10" s="105"/>
      <c r="O10" s="1388"/>
      <c r="P10" s="105"/>
      <c r="Q10" s="105"/>
      <c r="R10" s="1481">
        <v>6388562.96</v>
      </c>
      <c r="S10" s="105"/>
      <c r="T10" s="105"/>
      <c r="U10" s="105">
        <v>165.7</v>
      </c>
      <c r="V10" s="1459">
        <f t="shared" si="1"/>
        <v>8623499.3099999987</v>
      </c>
      <c r="W10" s="107" t="e">
        <f t="shared" si="2"/>
        <v>#DIV/0!</v>
      </c>
      <c r="Z10" s="109" t="s">
        <v>2859</v>
      </c>
      <c r="AA10" s="1437"/>
    </row>
    <row r="11" spans="1:27" ht="15.75">
      <c r="A11" s="91">
        <v>5</v>
      </c>
      <c r="B11" s="103">
        <v>5</v>
      </c>
      <c r="C11" s="104"/>
      <c r="D11" s="858" t="s">
        <v>234</v>
      </c>
      <c r="E11" s="105"/>
      <c r="F11" s="105"/>
      <c r="G11" s="105"/>
      <c r="H11" s="105"/>
      <c r="I11" s="105"/>
      <c r="J11" s="105"/>
      <c r="K11" s="105"/>
      <c r="L11" s="1388"/>
      <c r="M11" s="105"/>
      <c r="N11" s="105"/>
      <c r="O11" s="1388"/>
      <c r="P11" s="105"/>
      <c r="Q11" s="105"/>
      <c r="R11" s="1481"/>
      <c r="S11" s="105"/>
      <c r="T11" s="105"/>
      <c r="U11" s="2007"/>
      <c r="V11" s="1459">
        <f t="shared" si="1"/>
        <v>0</v>
      </c>
      <c r="W11" s="107" t="e">
        <f t="shared" si="2"/>
        <v>#DIV/0!</v>
      </c>
      <c r="Z11" s="109" t="s">
        <v>604</v>
      </c>
      <c r="AA11" s="1437"/>
    </row>
    <row r="12" spans="1:27" ht="15.75">
      <c r="A12" s="91">
        <v>6</v>
      </c>
      <c r="B12" s="103">
        <v>6</v>
      </c>
      <c r="C12" s="104" t="s">
        <v>233</v>
      </c>
      <c r="D12" s="104" t="s">
        <v>233</v>
      </c>
      <c r="E12" s="105"/>
      <c r="F12" s="105"/>
      <c r="G12" s="105"/>
      <c r="H12" s="105"/>
      <c r="I12" s="105"/>
      <c r="J12" s="105"/>
      <c r="K12" s="105"/>
      <c r="L12" s="1388"/>
      <c r="M12" s="105"/>
      <c r="N12" s="105"/>
      <c r="O12" s="1388"/>
      <c r="P12" s="105"/>
      <c r="Q12" s="105"/>
      <c r="R12" s="105"/>
      <c r="S12" s="105"/>
      <c r="T12" s="105"/>
      <c r="U12" s="105"/>
      <c r="V12" s="1459">
        <f t="shared" si="1"/>
        <v>0</v>
      </c>
      <c r="W12" s="107" t="e">
        <f t="shared" si="2"/>
        <v>#DIV/0!</v>
      </c>
      <c r="Z12" s="109" t="s">
        <v>2860</v>
      </c>
      <c r="AA12" s="1437"/>
    </row>
    <row r="13" spans="1:27" ht="15.75">
      <c r="A13" s="91">
        <v>20</v>
      </c>
      <c r="B13" s="103">
        <v>20</v>
      </c>
      <c r="C13" s="104" t="s">
        <v>230</v>
      </c>
      <c r="D13" s="104" t="s">
        <v>230</v>
      </c>
      <c r="E13" s="105"/>
      <c r="F13" s="105"/>
      <c r="G13" s="105"/>
      <c r="H13" s="105"/>
      <c r="I13" s="105"/>
      <c r="J13" s="105"/>
      <c r="K13" s="105"/>
      <c r="L13" s="1388"/>
      <c r="M13" s="105"/>
      <c r="N13" s="105"/>
      <c r="O13" s="1388"/>
      <c r="P13" s="105"/>
      <c r="Q13" s="106"/>
      <c r="R13" s="105"/>
      <c r="S13" s="105"/>
      <c r="T13" s="105"/>
      <c r="U13" s="105"/>
      <c r="V13" s="1459">
        <f t="shared" si="1"/>
        <v>0</v>
      </c>
      <c r="W13" s="107" t="e">
        <f t="shared" si="2"/>
        <v>#DIV/0!</v>
      </c>
      <c r="Y13" s="92"/>
      <c r="Z13" s="109" t="s">
        <v>124</v>
      </c>
      <c r="AA13" s="1437"/>
    </row>
    <row r="14" spans="1:27" ht="15.75">
      <c r="B14" s="103">
        <v>21</v>
      </c>
      <c r="C14" s="104"/>
      <c r="D14" s="858" t="s">
        <v>604</v>
      </c>
      <c r="E14" s="105"/>
      <c r="F14" s="105"/>
      <c r="G14" s="105"/>
      <c r="H14" s="105"/>
      <c r="I14" s="105"/>
      <c r="J14" s="105"/>
      <c r="K14" s="105"/>
      <c r="L14" s="1388"/>
      <c r="M14" s="105"/>
      <c r="N14" s="105"/>
      <c r="O14" s="1388"/>
      <c r="P14" s="105"/>
      <c r="Q14" s="106"/>
      <c r="R14" s="105"/>
      <c r="S14" s="105"/>
      <c r="T14" s="105"/>
      <c r="U14" s="105"/>
      <c r="V14" s="1459">
        <f t="shared" si="1"/>
        <v>0</v>
      </c>
      <c r="W14" s="107"/>
      <c r="Y14" s="92"/>
      <c r="Z14" s="109"/>
      <c r="AA14" s="1437"/>
    </row>
    <row r="15" spans="1:27" ht="15.75">
      <c r="B15" s="103"/>
      <c r="C15" s="104"/>
      <c r="D15" s="858" t="s">
        <v>2859</v>
      </c>
      <c r="E15" s="105"/>
      <c r="F15" s="105"/>
      <c r="G15" s="105"/>
      <c r="H15" s="105"/>
      <c r="I15" s="105"/>
      <c r="J15" s="105"/>
      <c r="K15" s="105"/>
      <c r="L15" s="1388"/>
      <c r="M15" s="105"/>
      <c r="N15" s="105"/>
      <c r="O15" s="1388"/>
      <c r="P15" s="105"/>
      <c r="Q15" s="106"/>
      <c r="R15" s="105"/>
      <c r="S15" s="105"/>
      <c r="T15" s="105"/>
      <c r="U15" s="105"/>
      <c r="V15" s="1459">
        <f t="shared" si="1"/>
        <v>0</v>
      </c>
      <c r="W15" s="107"/>
      <c r="Y15" s="92"/>
      <c r="Z15" s="109"/>
      <c r="AA15" s="1437"/>
    </row>
    <row r="16" spans="1:27" ht="15.75">
      <c r="A16" s="91">
        <v>22</v>
      </c>
      <c r="B16" s="103">
        <v>22</v>
      </c>
      <c r="C16" s="104" t="s">
        <v>232</v>
      </c>
      <c r="D16" s="104" t="s">
        <v>232</v>
      </c>
      <c r="E16" s="105"/>
      <c r="F16" s="105"/>
      <c r="G16" s="105"/>
      <c r="H16" s="105"/>
      <c r="I16" s="105"/>
      <c r="J16" s="108"/>
      <c r="K16" s="105"/>
      <c r="L16" s="1427"/>
      <c r="M16" s="105"/>
      <c r="N16" s="105"/>
      <c r="O16" s="1388"/>
      <c r="P16" s="105"/>
      <c r="Q16" s="105"/>
      <c r="R16" s="105"/>
      <c r="S16" s="105"/>
      <c r="T16" s="105"/>
      <c r="U16" s="105"/>
      <c r="V16" s="1459">
        <f t="shared" si="1"/>
        <v>0</v>
      </c>
      <c r="W16" s="107" t="e">
        <f t="shared" si="2"/>
        <v>#DIV/0!</v>
      </c>
      <c r="Z16" s="109" t="s">
        <v>2861</v>
      </c>
      <c r="AA16" s="1437"/>
    </row>
    <row r="17" spans="1:29" ht="15.75">
      <c r="A17" s="91">
        <v>23</v>
      </c>
      <c r="B17" s="103">
        <v>23</v>
      </c>
      <c r="C17" s="104" t="s">
        <v>231</v>
      </c>
      <c r="D17" s="104" t="s">
        <v>231</v>
      </c>
      <c r="E17" s="105"/>
      <c r="F17" s="105"/>
      <c r="G17" s="105"/>
      <c r="H17" s="105"/>
      <c r="I17" s="105"/>
      <c r="J17" s="105"/>
      <c r="K17" s="105"/>
      <c r="L17" s="1388"/>
      <c r="M17" s="105"/>
      <c r="N17" s="105"/>
      <c r="O17" s="1388"/>
      <c r="P17" s="105"/>
      <c r="Q17" s="105"/>
      <c r="R17" s="105"/>
      <c r="S17" s="105"/>
      <c r="T17" s="105"/>
      <c r="U17" s="105"/>
      <c r="V17" s="1459">
        <f t="shared" si="1"/>
        <v>0</v>
      </c>
      <c r="W17" s="107" t="e">
        <f t="shared" si="2"/>
        <v>#DIV/0!</v>
      </c>
      <c r="Z17" s="109" t="s">
        <v>2846</v>
      </c>
      <c r="AA17" s="1437"/>
    </row>
    <row r="18" spans="1:29" ht="15.75">
      <c r="A18" s="91">
        <v>52</v>
      </c>
      <c r="B18" s="103">
        <v>52</v>
      </c>
      <c r="C18" s="104" t="s">
        <v>243</v>
      </c>
      <c r="D18" s="104" t="s">
        <v>93</v>
      </c>
      <c r="E18" s="105"/>
      <c r="F18" s="105"/>
      <c r="G18" s="105"/>
      <c r="H18" s="105"/>
      <c r="I18" s="105"/>
      <c r="J18" s="105"/>
      <c r="K18" s="105"/>
      <c r="L18" s="1388"/>
      <c r="M18" s="105"/>
      <c r="N18" s="105"/>
      <c r="O18" s="1388"/>
      <c r="P18" s="105"/>
      <c r="Q18" s="105"/>
      <c r="R18" s="105"/>
      <c r="S18" s="105"/>
      <c r="T18" s="105"/>
      <c r="U18" s="105"/>
      <c r="V18" s="1459">
        <f t="shared" si="1"/>
        <v>0</v>
      </c>
      <c r="W18" s="107"/>
      <c r="Z18" s="109" t="s">
        <v>2844</v>
      </c>
      <c r="AA18" s="1437"/>
    </row>
    <row r="19" spans="1:29" ht="15.75">
      <c r="A19" s="91">
        <v>80</v>
      </c>
      <c r="B19" s="103">
        <v>80</v>
      </c>
      <c r="C19" s="104" t="s">
        <v>227</v>
      </c>
      <c r="D19" s="119" t="s">
        <v>97</v>
      </c>
      <c r="E19" s="105"/>
      <c r="F19" s="105"/>
      <c r="G19" s="108"/>
      <c r="H19" s="108"/>
      <c r="I19" s="108"/>
      <c r="J19" s="105"/>
      <c r="K19" s="105"/>
      <c r="L19" s="1388"/>
      <c r="M19" s="105"/>
      <c r="N19" s="105"/>
      <c r="O19" s="1388"/>
      <c r="P19" s="106"/>
      <c r="Q19" s="105"/>
      <c r="R19" s="105"/>
      <c r="S19" s="593"/>
      <c r="T19" s="593"/>
      <c r="U19" s="105"/>
      <c r="V19" s="1459">
        <f t="shared" si="1"/>
        <v>0</v>
      </c>
      <c r="W19" s="107"/>
      <c r="Z19" s="109" t="s">
        <v>2862</v>
      </c>
      <c r="AA19" s="1437"/>
    </row>
    <row r="20" spans="1:29" ht="15.75">
      <c r="A20" s="91">
        <v>82</v>
      </c>
      <c r="B20" s="103">
        <v>82</v>
      </c>
      <c r="C20" s="104" t="s">
        <v>228</v>
      </c>
      <c r="D20" s="104" t="s">
        <v>228</v>
      </c>
      <c r="E20" s="105"/>
      <c r="F20" s="105"/>
      <c r="G20" s="105"/>
      <c r="H20" s="105"/>
      <c r="I20" s="105"/>
      <c r="J20" s="105"/>
      <c r="K20" s="105"/>
      <c r="L20" s="1388">
        <v>95470.31</v>
      </c>
      <c r="M20" s="105"/>
      <c r="N20" s="105"/>
      <c r="O20" s="1388">
        <v>64420.321000000004</v>
      </c>
      <c r="P20" s="105"/>
      <c r="Q20" s="105"/>
      <c r="R20" s="105">
        <v>157159.75</v>
      </c>
      <c r="S20" s="105"/>
      <c r="T20" s="105"/>
      <c r="U20" s="105"/>
      <c r="V20" s="1459">
        <f t="shared" si="1"/>
        <v>317050.38099999999</v>
      </c>
      <c r="W20" s="107"/>
      <c r="AA20" s="1437"/>
    </row>
    <row r="21" spans="1:29" ht="15.75">
      <c r="A21" s="91">
        <v>83</v>
      </c>
      <c r="B21" s="103"/>
      <c r="C21" s="104"/>
      <c r="D21" s="858" t="s">
        <v>609</v>
      </c>
      <c r="E21" s="105"/>
      <c r="F21" s="105"/>
      <c r="G21" s="105"/>
      <c r="H21" s="105"/>
      <c r="I21" s="105"/>
      <c r="J21" s="106"/>
      <c r="K21" s="105"/>
      <c r="L21" s="1388">
        <v>1166999.8</v>
      </c>
      <c r="M21" s="105"/>
      <c r="N21" s="105"/>
      <c r="O21" s="1388">
        <v>2500662.83</v>
      </c>
      <c r="P21" s="105"/>
      <c r="Q21" s="105"/>
      <c r="R21" s="105">
        <v>939550.03599999985</v>
      </c>
      <c r="S21" s="105"/>
      <c r="T21" s="105"/>
      <c r="U21" s="105"/>
      <c r="V21" s="1459">
        <f t="shared" si="1"/>
        <v>4607212.6659999993</v>
      </c>
      <c r="W21" s="107"/>
      <c r="AA21" s="1437"/>
    </row>
    <row r="22" spans="1:29" ht="15.75">
      <c r="B22" s="103"/>
      <c r="C22" s="104"/>
      <c r="D22" s="858"/>
      <c r="E22" s="105"/>
      <c r="F22" s="105"/>
      <c r="G22" s="105"/>
      <c r="H22" s="105"/>
      <c r="I22" s="105"/>
      <c r="J22" s="106"/>
      <c r="K22" s="105"/>
      <c r="L22" s="1426"/>
      <c r="M22" s="105"/>
      <c r="N22" s="105"/>
      <c r="O22" s="1388"/>
      <c r="P22" s="105"/>
      <c r="Q22" s="105"/>
      <c r="R22" s="105"/>
      <c r="S22" s="105"/>
      <c r="T22" s="105"/>
      <c r="U22" s="105"/>
      <c r="V22" s="1459">
        <f t="shared" si="1"/>
        <v>0</v>
      </c>
      <c r="W22" s="107"/>
      <c r="AA22" s="1437"/>
      <c r="AC22" s="1408"/>
    </row>
    <row r="23" spans="1:29" ht="15.75">
      <c r="B23" s="103"/>
      <c r="C23" s="104"/>
      <c r="D23" s="1268" t="s">
        <v>2271</v>
      </c>
      <c r="E23" s="1270">
        <f t="shared" ref="E23:K23" si="6">SUM(E24:E30)</f>
        <v>0</v>
      </c>
      <c r="F23" s="1270">
        <f t="shared" si="6"/>
        <v>0</v>
      </c>
      <c r="G23" s="1270">
        <f t="shared" si="6"/>
        <v>0</v>
      </c>
      <c r="H23" s="1270">
        <f t="shared" si="6"/>
        <v>0</v>
      </c>
      <c r="I23" s="1270">
        <f t="shared" si="6"/>
        <v>0</v>
      </c>
      <c r="J23" s="1270">
        <f t="shared" si="6"/>
        <v>0</v>
      </c>
      <c r="K23" s="1270">
        <f t="shared" si="6"/>
        <v>0</v>
      </c>
      <c r="L23" s="1622">
        <f>SUM(L24:L31)</f>
        <v>0</v>
      </c>
      <c r="M23" s="1270">
        <f t="shared" ref="M23:U23" si="7">SUM(M24:M31)</f>
        <v>0</v>
      </c>
      <c r="N23" s="1270">
        <f t="shared" si="7"/>
        <v>0</v>
      </c>
      <c r="O23" s="1622">
        <f t="shared" si="7"/>
        <v>0</v>
      </c>
      <c r="P23" s="1270">
        <f t="shared" si="7"/>
        <v>0</v>
      </c>
      <c r="Q23" s="1270">
        <f t="shared" si="7"/>
        <v>0</v>
      </c>
      <c r="R23" s="1270">
        <f t="shared" si="7"/>
        <v>0</v>
      </c>
      <c r="S23" s="1270">
        <f t="shared" si="7"/>
        <v>0</v>
      </c>
      <c r="T23" s="1270">
        <f t="shared" si="7"/>
        <v>0</v>
      </c>
      <c r="U23" s="105">
        <f t="shared" si="7"/>
        <v>0</v>
      </c>
      <c r="V23" s="1459">
        <f t="shared" si="1"/>
        <v>0</v>
      </c>
      <c r="W23" s="107"/>
      <c r="AC23" s="1437"/>
    </row>
    <row r="24" spans="1:29">
      <c r="A24" s="91">
        <v>25</v>
      </c>
      <c r="B24" s="103">
        <v>25</v>
      </c>
      <c r="C24" s="104" t="s">
        <v>89</v>
      </c>
      <c r="D24" s="104" t="s">
        <v>90</v>
      </c>
      <c r="E24" s="105"/>
      <c r="F24" s="105"/>
      <c r="G24" s="105"/>
      <c r="H24" s="105"/>
      <c r="I24" s="105"/>
      <c r="J24" s="105"/>
      <c r="K24" s="105"/>
      <c r="L24" s="1426"/>
      <c r="M24" s="105"/>
      <c r="N24" s="105"/>
      <c r="O24" s="1388"/>
      <c r="P24" s="105"/>
      <c r="Q24" s="105"/>
      <c r="R24" s="105"/>
      <c r="S24" s="105"/>
      <c r="T24" s="105"/>
      <c r="U24" s="105"/>
      <c r="V24" s="1459">
        <f t="shared" si="1"/>
        <v>0</v>
      </c>
      <c r="W24" s="107" t="e">
        <f t="shared" si="2"/>
        <v>#DIV/0!</v>
      </c>
      <c r="Y24" s="1514">
        <f>+V5+1000</f>
        <v>37084228.818559997</v>
      </c>
    </row>
    <row r="25" spans="1:29">
      <c r="B25" s="103"/>
      <c r="C25" s="104"/>
      <c r="D25" s="858" t="s">
        <v>2906</v>
      </c>
      <c r="E25" s="105"/>
      <c r="F25" s="105"/>
      <c r="G25" s="105"/>
      <c r="H25" s="105"/>
      <c r="I25" s="105"/>
      <c r="J25" s="105"/>
      <c r="K25" s="105"/>
      <c r="L25" s="1426"/>
      <c r="M25" s="105"/>
      <c r="N25" s="105"/>
      <c r="O25" s="1388"/>
      <c r="P25" s="105"/>
      <c r="Q25" s="105"/>
      <c r="R25" s="105"/>
      <c r="S25" s="105"/>
      <c r="T25" s="105"/>
      <c r="U25" s="105"/>
      <c r="V25" s="1459">
        <f t="shared" si="1"/>
        <v>0</v>
      </c>
      <c r="W25" s="107"/>
      <c r="Y25" s="92">
        <f>+Y24+Tofe!R141</f>
        <v>38877436.818559997</v>
      </c>
    </row>
    <row r="26" spans="1:29">
      <c r="A26" s="91">
        <v>26</v>
      </c>
      <c r="B26" s="103">
        <v>26</v>
      </c>
      <c r="C26" s="104" t="s">
        <v>91</v>
      </c>
      <c r="D26" s="104" t="s">
        <v>91</v>
      </c>
      <c r="E26" s="105"/>
      <c r="F26" s="105"/>
      <c r="G26" s="105"/>
      <c r="H26" s="105"/>
      <c r="I26" s="105"/>
      <c r="J26" s="105"/>
      <c r="K26" s="105"/>
      <c r="L26" s="1426"/>
      <c r="M26" s="105"/>
      <c r="N26" s="105"/>
      <c r="O26" s="1388"/>
      <c r="P26" s="105"/>
      <c r="Q26" s="105"/>
      <c r="R26" s="105"/>
      <c r="S26" s="105"/>
      <c r="T26" s="105"/>
      <c r="U26" s="105"/>
      <c r="V26" s="1459">
        <f t="shared" si="1"/>
        <v>0</v>
      </c>
      <c r="W26" s="107" t="e">
        <f t="shared" si="2"/>
        <v>#DIV/0!</v>
      </c>
    </row>
    <row r="27" spans="1:29">
      <c r="B27" s="103"/>
      <c r="C27" s="104"/>
      <c r="D27" s="104" t="s">
        <v>92</v>
      </c>
      <c r="E27" s="105"/>
      <c r="F27" s="105"/>
      <c r="G27" s="105"/>
      <c r="H27" s="105"/>
      <c r="I27" s="105"/>
      <c r="J27" s="105"/>
      <c r="K27" s="105"/>
      <c r="L27" s="1426"/>
      <c r="M27" s="105"/>
      <c r="N27" s="105"/>
      <c r="O27" s="1388"/>
      <c r="P27" s="105"/>
      <c r="Q27" s="105"/>
      <c r="R27" s="105"/>
      <c r="S27" s="105"/>
      <c r="T27" s="105"/>
      <c r="U27" s="105"/>
      <c r="V27" s="1459">
        <f t="shared" si="1"/>
        <v>0</v>
      </c>
      <c r="W27" s="107"/>
    </row>
    <row r="28" spans="1:29">
      <c r="A28" s="91">
        <v>61</v>
      </c>
      <c r="B28" s="103">
        <v>61</v>
      </c>
      <c r="C28" s="104" t="s">
        <v>94</v>
      </c>
      <c r="D28" s="104" t="s">
        <v>95</v>
      </c>
      <c r="E28" s="105"/>
      <c r="F28" s="105"/>
      <c r="G28" s="105"/>
      <c r="H28" s="105"/>
      <c r="I28" s="105"/>
      <c r="J28" s="105"/>
      <c r="K28" s="105"/>
      <c r="L28" s="1426"/>
      <c r="M28" s="105"/>
      <c r="N28" s="105"/>
      <c r="O28" s="1388"/>
      <c r="P28" s="105"/>
      <c r="Q28" s="105"/>
      <c r="R28" s="105"/>
      <c r="S28" s="105"/>
      <c r="T28" s="105"/>
      <c r="U28" s="105"/>
      <c r="V28" s="1459">
        <f t="shared" si="1"/>
        <v>0</v>
      </c>
      <c r="W28" s="107" t="e">
        <f>V28/G28</f>
        <v>#DIV/0!</v>
      </c>
    </row>
    <row r="29" spans="1:29">
      <c r="B29" s="103"/>
      <c r="C29" s="104"/>
      <c r="D29" s="858" t="s">
        <v>2210</v>
      </c>
      <c r="E29" s="105"/>
      <c r="F29" s="105"/>
      <c r="G29" s="105"/>
      <c r="H29" s="105"/>
      <c r="I29" s="105"/>
      <c r="J29" s="105"/>
      <c r="K29" s="105"/>
      <c r="L29" s="1426"/>
      <c r="M29" s="105"/>
      <c r="N29" s="105"/>
      <c r="O29" s="1388"/>
      <c r="P29" s="105"/>
      <c r="Q29" s="105"/>
      <c r="R29" s="105"/>
      <c r="S29" s="105"/>
      <c r="T29" s="105"/>
      <c r="U29" s="105"/>
      <c r="V29" s="1459">
        <f t="shared" si="1"/>
        <v>0</v>
      </c>
      <c r="W29" s="107"/>
    </row>
    <row r="30" spans="1:29">
      <c r="A30" s="91">
        <v>76</v>
      </c>
      <c r="B30" s="103">
        <v>76</v>
      </c>
      <c r="C30" s="104"/>
      <c r="D30" s="104" t="s">
        <v>96</v>
      </c>
      <c r="E30" s="105"/>
      <c r="F30" s="105"/>
      <c r="G30" s="105"/>
      <c r="H30" s="105"/>
      <c r="I30" s="105"/>
      <c r="J30" s="105"/>
      <c r="K30" s="105"/>
      <c r="L30" s="1426"/>
      <c r="M30" s="105"/>
      <c r="N30" s="105"/>
      <c r="O30" s="1388"/>
      <c r="P30" s="105"/>
      <c r="Q30" s="105"/>
      <c r="R30" s="105"/>
      <c r="S30" s="105"/>
      <c r="T30" s="105"/>
      <c r="U30" s="105"/>
      <c r="V30" s="1459">
        <f t="shared" si="1"/>
        <v>0</v>
      </c>
      <c r="W30" s="107" t="e">
        <f>V30/G30</f>
        <v>#DIV/0!</v>
      </c>
    </row>
    <row r="31" spans="1:29">
      <c r="B31" s="116"/>
      <c r="C31" s="117"/>
      <c r="D31" s="857" t="s">
        <v>2844</v>
      </c>
      <c r="E31" s="94"/>
      <c r="F31" s="94"/>
      <c r="G31" s="94"/>
      <c r="H31" s="94"/>
      <c r="I31" s="94"/>
      <c r="J31" s="94"/>
      <c r="K31" s="94"/>
      <c r="L31" s="1623"/>
      <c r="M31" s="94"/>
      <c r="N31" s="94"/>
      <c r="O31" s="1419"/>
      <c r="P31" s="94"/>
      <c r="Q31" s="94"/>
      <c r="R31" s="94"/>
      <c r="S31" s="94"/>
      <c r="T31" s="94"/>
      <c r="U31" s="105">
        <v>0</v>
      </c>
      <c r="V31" s="1459">
        <f t="shared" si="1"/>
        <v>0</v>
      </c>
      <c r="W31" s="1420"/>
    </row>
    <row r="32" spans="1:29" ht="22.5" customHeight="1">
      <c r="B32" s="110"/>
      <c r="C32" s="111" t="s">
        <v>64</v>
      </c>
      <c r="D32" s="111" t="s">
        <v>64</v>
      </c>
      <c r="E32" s="112">
        <f t="shared" ref="E32:O32" si="8">E33+E69</f>
        <v>0</v>
      </c>
      <c r="F32" s="112">
        <f t="shared" si="8"/>
        <v>0</v>
      </c>
      <c r="G32" s="112">
        <f t="shared" si="8"/>
        <v>0</v>
      </c>
      <c r="H32" s="112">
        <f t="shared" si="8"/>
        <v>0</v>
      </c>
      <c r="I32" s="112">
        <f t="shared" si="8"/>
        <v>0</v>
      </c>
      <c r="J32" s="1386">
        <f t="shared" si="8"/>
        <v>0</v>
      </c>
      <c r="K32" s="1386">
        <f t="shared" si="8"/>
        <v>0</v>
      </c>
      <c r="L32" s="1386">
        <f>L33+L69</f>
        <v>6351667.6349999998</v>
      </c>
      <c r="M32" s="1386">
        <f t="shared" si="8"/>
        <v>0</v>
      </c>
      <c r="N32" s="1386">
        <f t="shared" si="8"/>
        <v>0</v>
      </c>
      <c r="O32" s="1386">
        <f t="shared" si="8"/>
        <v>6116982.7189999996</v>
      </c>
      <c r="P32" s="1386">
        <f t="shared" ref="P32:U32" si="9">P33+P69</f>
        <v>0</v>
      </c>
      <c r="Q32" s="1386">
        <f t="shared" si="9"/>
        <v>0</v>
      </c>
      <c r="R32" s="1386">
        <f t="shared" si="9"/>
        <v>5832614.3799999999</v>
      </c>
      <c r="S32" s="1386">
        <f t="shared" si="9"/>
        <v>0</v>
      </c>
      <c r="T32" s="1386">
        <f t="shared" si="9"/>
        <v>0</v>
      </c>
      <c r="U32" s="1386">
        <f t="shared" si="9"/>
        <v>4189325.5199999996</v>
      </c>
      <c r="V32" s="1460">
        <f>SUM(J32:U32)</f>
        <v>22490590.253999997</v>
      </c>
      <c r="W32" s="113" t="e">
        <f>V32/G32</f>
        <v>#DIV/0!</v>
      </c>
    </row>
    <row r="33" spans="1:29" ht="20.45" customHeight="1">
      <c r="B33" s="110"/>
      <c r="C33" s="111"/>
      <c r="D33" s="1269" t="s">
        <v>2270</v>
      </c>
      <c r="E33" s="112">
        <f>SUM(E34:E67)</f>
        <v>0</v>
      </c>
      <c r="F33" s="112">
        <f>SUM(F34:F67)</f>
        <v>0</v>
      </c>
      <c r="G33" s="112">
        <f>SUM(G34:G67)</f>
        <v>0</v>
      </c>
      <c r="H33" s="112">
        <f>SUM(H34:H67)</f>
        <v>0</v>
      </c>
      <c r="I33" s="112">
        <f>SUM(I34:I67)</f>
        <v>0</v>
      </c>
      <c r="J33" s="1386">
        <f>SUM(J34:J68)</f>
        <v>0</v>
      </c>
      <c r="K33" s="1386">
        <f>SUM(K34:K68)</f>
        <v>0</v>
      </c>
      <c r="L33" s="1386">
        <f>SUM(L34:L67)</f>
        <v>5800487.6090000002</v>
      </c>
      <c r="M33" s="1386">
        <f>SUM(M34:M68)</f>
        <v>0</v>
      </c>
      <c r="N33" s="1386">
        <f>SUM(N34:N68)</f>
        <v>0</v>
      </c>
      <c r="O33" s="1386">
        <f>SUM(O34:O67)</f>
        <v>5638333.0179999992</v>
      </c>
      <c r="P33" s="1386">
        <f t="shared" ref="P33:T33" si="10">SUM(P34:P67)</f>
        <v>0</v>
      </c>
      <c r="Q33" s="1386">
        <f t="shared" si="10"/>
        <v>0</v>
      </c>
      <c r="R33" s="1386">
        <f t="shared" si="10"/>
        <v>5757753.3700000001</v>
      </c>
      <c r="S33" s="1386">
        <f t="shared" si="10"/>
        <v>0</v>
      </c>
      <c r="T33" s="1386">
        <f t="shared" si="10"/>
        <v>0</v>
      </c>
      <c r="U33" s="1386">
        <f>SUM(U34:U68)</f>
        <v>3987162.26</v>
      </c>
      <c r="V33" s="1460">
        <f t="shared" ref="V33:V67" si="11">SUM(J33:U33)</f>
        <v>21183736.256999999</v>
      </c>
      <c r="W33" s="113"/>
      <c r="X33" s="92">
        <f>27354018.43-V32</f>
        <v>4863428.1760000028</v>
      </c>
    </row>
    <row r="34" spans="1:29">
      <c r="B34" s="103">
        <v>3</v>
      </c>
      <c r="C34" s="104" t="s">
        <v>241</v>
      </c>
      <c r="D34" s="858" t="s">
        <v>2219</v>
      </c>
      <c r="E34" s="105"/>
      <c r="F34" s="105"/>
      <c r="G34" s="105"/>
      <c r="H34" s="105"/>
      <c r="I34" s="105"/>
      <c r="J34" s="105"/>
      <c r="K34" s="105"/>
      <c r="L34" s="1426">
        <v>261932.02500000002</v>
      </c>
      <c r="M34" s="105"/>
      <c r="N34" s="597"/>
      <c r="O34" s="1388">
        <v>169821.717</v>
      </c>
      <c r="P34" s="105"/>
      <c r="Q34" s="105"/>
      <c r="R34" s="1426"/>
      <c r="S34" s="105"/>
      <c r="T34" s="105"/>
      <c r="U34" s="105"/>
      <c r="V34" s="1516">
        <f t="shared" si="11"/>
        <v>431753.74200000003</v>
      </c>
      <c r="W34" s="107"/>
    </row>
    <row r="35" spans="1:29">
      <c r="B35" s="103"/>
      <c r="C35" s="104"/>
      <c r="D35" s="104" t="s">
        <v>98</v>
      </c>
      <c r="E35" s="105"/>
      <c r="F35" s="105"/>
      <c r="G35" s="105"/>
      <c r="H35" s="105"/>
      <c r="I35" s="105"/>
      <c r="J35" s="105"/>
      <c r="K35" s="105"/>
      <c r="L35" s="1426"/>
      <c r="M35" s="105"/>
      <c r="N35" s="106"/>
      <c r="O35" s="1388"/>
      <c r="P35" s="105"/>
      <c r="Q35" s="105"/>
      <c r="R35" s="105">
        <v>87324.78</v>
      </c>
      <c r="S35" s="105"/>
      <c r="T35" s="105"/>
      <c r="U35" s="105"/>
      <c r="V35" s="1461">
        <f t="shared" si="11"/>
        <v>87324.78</v>
      </c>
      <c r="W35" s="107"/>
    </row>
    <row r="36" spans="1:29">
      <c r="A36" s="91">
        <v>14</v>
      </c>
      <c r="B36" s="114">
        <v>13</v>
      </c>
      <c r="C36" s="115" t="s">
        <v>102</v>
      </c>
      <c r="D36" s="115" t="s">
        <v>169</v>
      </c>
      <c r="E36" s="105"/>
      <c r="F36" s="105"/>
      <c r="G36" s="105"/>
      <c r="H36" s="105"/>
      <c r="I36" s="105"/>
      <c r="J36" s="105"/>
      <c r="K36" s="105"/>
      <c r="L36" s="1388">
        <v>82773.61</v>
      </c>
      <c r="M36" s="1426"/>
      <c r="N36" s="1426"/>
      <c r="O36" s="1388">
        <v>165974.35399999999</v>
      </c>
      <c r="P36" s="1426"/>
      <c r="Q36" s="1426"/>
      <c r="R36" s="1426">
        <v>95302.96</v>
      </c>
      <c r="S36" s="105"/>
      <c r="T36" s="105"/>
      <c r="U36" s="105"/>
      <c r="V36" s="1515">
        <f t="shared" si="11"/>
        <v>344050.924</v>
      </c>
      <c r="W36" s="107" t="e">
        <f>V36/G36</f>
        <v>#DIV/0!</v>
      </c>
    </row>
    <row r="37" spans="1:29">
      <c r="A37" s="91">
        <v>33</v>
      </c>
      <c r="B37" s="114">
        <v>14</v>
      </c>
      <c r="C37" s="115" t="s">
        <v>103</v>
      </c>
      <c r="D37" s="1407" t="s">
        <v>2901</v>
      </c>
      <c r="E37" s="105"/>
      <c r="F37" s="105"/>
      <c r="G37" s="105"/>
      <c r="H37" s="105"/>
      <c r="I37" s="105"/>
      <c r="J37" s="105"/>
      <c r="K37" s="105"/>
      <c r="L37" s="1427"/>
      <c r="M37" s="105"/>
      <c r="N37" s="105"/>
      <c r="O37" s="1388"/>
      <c r="P37" s="105"/>
      <c r="Q37" s="105"/>
      <c r="R37" s="105"/>
      <c r="S37" s="105"/>
      <c r="T37" s="105"/>
      <c r="U37" s="105"/>
      <c r="V37" s="1515">
        <f t="shared" si="11"/>
        <v>0</v>
      </c>
      <c r="W37" s="107" t="e">
        <f>V37/G37</f>
        <v>#DIV/0!</v>
      </c>
    </row>
    <row r="38" spans="1:29">
      <c r="B38" s="114"/>
      <c r="C38" s="115"/>
      <c r="D38" s="1407" t="s">
        <v>2838</v>
      </c>
      <c r="E38" s="105"/>
      <c r="F38" s="105"/>
      <c r="G38" s="105"/>
      <c r="H38" s="105"/>
      <c r="I38" s="105"/>
      <c r="J38" s="105"/>
      <c r="K38" s="105"/>
      <c r="L38" s="1388"/>
      <c r="M38" s="105"/>
      <c r="N38" s="105"/>
      <c r="O38" s="1388"/>
      <c r="P38" s="105"/>
      <c r="Q38" s="105"/>
      <c r="R38" s="105"/>
      <c r="S38" s="105"/>
      <c r="T38" s="105"/>
      <c r="U38" s="105"/>
      <c r="V38" s="1461">
        <f t="shared" si="11"/>
        <v>0</v>
      </c>
      <c r="W38" s="107"/>
      <c r="X38" s="1408">
        <f>U32-4189325.74</f>
        <v>-0.22000000067055225</v>
      </c>
    </row>
    <row r="39" spans="1:29">
      <c r="A39" s="91">
        <v>42</v>
      </c>
      <c r="B39" s="103">
        <v>42</v>
      </c>
      <c r="C39" s="104" t="s">
        <v>104</v>
      </c>
      <c r="D39" s="858" t="s">
        <v>600</v>
      </c>
      <c r="E39" s="105"/>
      <c r="F39" s="105"/>
      <c r="G39" s="105"/>
      <c r="H39" s="105"/>
      <c r="I39" s="105"/>
      <c r="J39" s="105"/>
      <c r="K39" s="105"/>
      <c r="L39" s="1388"/>
      <c r="M39" s="105"/>
      <c r="N39" s="105"/>
      <c r="O39" s="1388"/>
      <c r="P39" s="105"/>
      <c r="Q39" s="105"/>
      <c r="R39" s="105"/>
      <c r="S39" s="105"/>
      <c r="T39" s="105"/>
      <c r="U39" s="105"/>
      <c r="V39" s="1461">
        <f t="shared" si="11"/>
        <v>0</v>
      </c>
      <c r="W39" s="107" t="e">
        <f>V39/G39</f>
        <v>#DIV/0!</v>
      </c>
    </row>
    <row r="40" spans="1:29">
      <c r="A40" s="91">
        <v>43</v>
      </c>
      <c r="B40" s="103">
        <v>43</v>
      </c>
      <c r="C40" s="104"/>
      <c r="D40" s="858" t="s">
        <v>2220</v>
      </c>
      <c r="E40" s="105"/>
      <c r="F40" s="105"/>
      <c r="G40" s="105"/>
      <c r="H40" s="105"/>
      <c r="I40" s="105"/>
      <c r="J40" s="105"/>
      <c r="K40" s="105"/>
      <c r="L40" s="1388">
        <v>953604.88</v>
      </c>
      <c r="M40" s="105"/>
      <c r="N40" s="105"/>
      <c r="O40" s="1388">
        <v>972465.26099999994</v>
      </c>
      <c r="P40" s="105"/>
      <c r="Q40" s="105"/>
      <c r="R40" s="1426">
        <v>917858.24</v>
      </c>
      <c r="S40" s="1426"/>
      <c r="T40" s="1426"/>
      <c r="U40" s="105">
        <v>439311.21</v>
      </c>
      <c r="V40" s="1515">
        <f t="shared" si="11"/>
        <v>3283239.591</v>
      </c>
      <c r="W40" s="107" t="e">
        <f>V40/G40</f>
        <v>#DIV/0!</v>
      </c>
    </row>
    <row r="41" spans="1:29">
      <c r="B41" s="103"/>
      <c r="C41" s="104"/>
      <c r="D41" s="858" t="s">
        <v>209</v>
      </c>
      <c r="E41" s="105"/>
      <c r="F41" s="105"/>
      <c r="G41" s="105"/>
      <c r="H41" s="105"/>
      <c r="I41" s="105"/>
      <c r="J41" s="105"/>
      <c r="K41" s="105"/>
      <c r="L41" s="2005"/>
      <c r="M41" s="105"/>
      <c r="N41" s="105"/>
      <c r="O41" s="2006">
        <v>-401101.71300000139</v>
      </c>
      <c r="P41" s="105"/>
      <c r="Q41" s="105"/>
      <c r="R41" s="2007"/>
      <c r="S41" s="105"/>
      <c r="T41" s="105"/>
      <c r="U41" s="105"/>
      <c r="V41" s="1461">
        <f t="shared" si="11"/>
        <v>-401101.71300000139</v>
      </c>
      <c r="W41" s="107"/>
    </row>
    <row r="42" spans="1:29">
      <c r="A42" s="91">
        <v>44</v>
      </c>
      <c r="B42" s="103">
        <v>44</v>
      </c>
      <c r="C42" s="104" t="s">
        <v>105</v>
      </c>
      <c r="D42" s="119" t="s">
        <v>170</v>
      </c>
      <c r="E42" s="105"/>
      <c r="F42" s="105"/>
      <c r="G42" s="105"/>
      <c r="H42" s="105"/>
      <c r="I42" s="105"/>
      <c r="J42" s="105"/>
      <c r="K42" s="105"/>
      <c r="L42" s="1388"/>
      <c r="M42" s="105"/>
      <c r="N42" s="105"/>
      <c r="O42" s="1388"/>
      <c r="P42" s="105"/>
      <c r="Q42" s="105"/>
      <c r="R42" s="105"/>
      <c r="S42" s="105"/>
      <c r="T42" s="105"/>
      <c r="U42" s="105"/>
      <c r="V42" s="1461">
        <f t="shared" si="11"/>
        <v>0</v>
      </c>
      <c r="W42" s="107" t="e">
        <f>V42/G42</f>
        <v>#DIV/0!</v>
      </c>
    </row>
    <row r="43" spans="1:29">
      <c r="A43" s="91">
        <v>45</v>
      </c>
      <c r="B43" s="103">
        <v>45</v>
      </c>
      <c r="C43" s="104" t="s">
        <v>106</v>
      </c>
      <c r="D43" s="858" t="s">
        <v>2846</v>
      </c>
      <c r="E43" s="105"/>
      <c r="F43" s="105"/>
      <c r="G43" s="105"/>
      <c r="H43" s="105"/>
      <c r="I43" s="105"/>
      <c r="J43" s="105"/>
      <c r="K43" s="105"/>
      <c r="L43" s="1388"/>
      <c r="M43" s="1426"/>
      <c r="N43" s="1426"/>
      <c r="O43" s="1388"/>
      <c r="P43" s="1426"/>
      <c r="Q43" s="1426"/>
      <c r="R43" s="1426"/>
      <c r="S43" s="1426"/>
      <c r="T43" s="1426"/>
      <c r="U43" s="105"/>
      <c r="V43" s="1515">
        <f t="shared" si="11"/>
        <v>0</v>
      </c>
      <c r="W43" s="107" t="e">
        <f>V43/G43</f>
        <v>#DIV/0!</v>
      </c>
      <c r="AC43" s="1373"/>
    </row>
    <row r="44" spans="1:29">
      <c r="A44" s="91">
        <v>51</v>
      </c>
      <c r="B44" s="103">
        <v>51</v>
      </c>
      <c r="C44" s="104" t="s">
        <v>107</v>
      </c>
      <c r="D44" s="104" t="s">
        <v>108</v>
      </c>
      <c r="E44" s="105"/>
      <c r="F44" s="105"/>
      <c r="G44" s="105"/>
      <c r="H44" s="105"/>
      <c r="I44" s="105"/>
      <c r="J44" s="105"/>
      <c r="K44" s="105"/>
      <c r="L44" s="1388"/>
      <c r="M44" s="105"/>
      <c r="N44" s="105"/>
      <c r="O44" s="1388"/>
      <c r="P44" s="105"/>
      <c r="Q44" s="105"/>
      <c r="R44" s="105"/>
      <c r="S44" s="105"/>
      <c r="T44" s="105"/>
      <c r="U44" s="105"/>
      <c r="V44" s="1461">
        <f t="shared" si="11"/>
        <v>0</v>
      </c>
      <c r="W44" s="107" t="e">
        <f>V44/G44</f>
        <v>#DIV/0!</v>
      </c>
      <c r="AC44" s="1373"/>
    </row>
    <row r="45" spans="1:29">
      <c r="A45" s="91">
        <v>60</v>
      </c>
      <c r="B45" s="103">
        <v>60</v>
      </c>
      <c r="C45" s="104" t="s">
        <v>109</v>
      </c>
      <c r="D45" s="119" t="s">
        <v>171</v>
      </c>
      <c r="E45" s="105"/>
      <c r="F45" s="105"/>
      <c r="G45" s="105"/>
      <c r="H45" s="105"/>
      <c r="I45" s="105"/>
      <c r="J45" s="105"/>
      <c r="K45" s="105"/>
      <c r="L45" s="1388"/>
      <c r="M45" s="105"/>
      <c r="N45" s="105"/>
      <c r="O45" s="1388"/>
      <c r="P45" s="105"/>
      <c r="Q45" s="105"/>
      <c r="R45" s="105">
        <v>167238.76999999999</v>
      </c>
      <c r="S45" s="105"/>
      <c r="T45" s="105"/>
      <c r="U45" s="105"/>
      <c r="V45" s="1461">
        <f t="shared" si="11"/>
        <v>167238.76999999999</v>
      </c>
      <c r="W45" s="107" t="e">
        <f>V45/G45</f>
        <v>#DIV/0!</v>
      </c>
      <c r="AC45" s="1373"/>
    </row>
    <row r="46" spans="1:29">
      <c r="A46" s="91">
        <v>81</v>
      </c>
      <c r="B46" s="103">
        <v>81</v>
      </c>
      <c r="C46" s="104" t="s">
        <v>122</v>
      </c>
      <c r="D46" s="104" t="s">
        <v>122</v>
      </c>
      <c r="E46" s="105"/>
      <c r="F46" s="105"/>
      <c r="G46" s="105"/>
      <c r="H46" s="105"/>
      <c r="I46" s="105"/>
      <c r="J46" s="105"/>
      <c r="K46" s="105"/>
      <c r="L46" s="1429">
        <v>460960.8</v>
      </c>
      <c r="M46" s="1426"/>
      <c r="N46" s="1426"/>
      <c r="O46" s="1388"/>
      <c r="P46" s="1426"/>
      <c r="Q46" s="1426"/>
      <c r="R46" s="1426"/>
      <c r="S46" s="1426"/>
      <c r="T46" s="1426"/>
      <c r="U46" s="105">
        <v>210632.81</v>
      </c>
      <c r="V46" s="1515">
        <f t="shared" si="11"/>
        <v>671593.61</v>
      </c>
      <c r="W46" s="107"/>
      <c r="AC46" s="1373"/>
    </row>
    <row r="47" spans="1:29">
      <c r="B47" s="103"/>
      <c r="C47" s="104"/>
      <c r="D47" s="858" t="s">
        <v>2863</v>
      </c>
      <c r="E47" s="105"/>
      <c r="F47" s="105"/>
      <c r="G47" s="105"/>
      <c r="H47" s="105"/>
      <c r="I47" s="105"/>
      <c r="J47" s="105"/>
      <c r="K47" s="105"/>
      <c r="L47" s="1429"/>
      <c r="M47" s="105"/>
      <c r="N47" s="105"/>
      <c r="O47" s="1388"/>
      <c r="P47" s="105"/>
      <c r="Q47" s="105"/>
      <c r="R47" s="105"/>
      <c r="S47" s="105"/>
      <c r="T47" s="105"/>
      <c r="U47" s="105"/>
      <c r="V47" s="1461">
        <f t="shared" si="11"/>
        <v>0</v>
      </c>
      <c r="W47" s="107"/>
      <c r="AC47" s="1373"/>
    </row>
    <row r="48" spans="1:29">
      <c r="B48" s="103"/>
      <c r="C48" s="104"/>
      <c r="D48" s="858" t="s">
        <v>2905</v>
      </c>
      <c r="E48" s="105"/>
      <c r="F48" s="105"/>
      <c r="G48" s="105"/>
      <c r="H48" s="105"/>
      <c r="I48" s="105"/>
      <c r="J48" s="105"/>
      <c r="K48" s="105"/>
      <c r="L48" s="1430">
        <v>24084.71</v>
      </c>
      <c r="M48" s="105"/>
      <c r="N48" s="105"/>
      <c r="O48" s="1388"/>
      <c r="P48" s="105"/>
      <c r="Q48" s="105"/>
      <c r="R48" s="105"/>
      <c r="S48" s="105"/>
      <c r="T48" s="105"/>
      <c r="U48" s="105"/>
      <c r="V48" s="1515">
        <f t="shared" si="11"/>
        <v>24084.71</v>
      </c>
      <c r="W48" s="107"/>
      <c r="AC48" s="1373"/>
    </row>
    <row r="49" spans="1:29">
      <c r="A49" s="91">
        <v>83</v>
      </c>
      <c r="B49" s="103">
        <v>83</v>
      </c>
      <c r="C49" s="104" t="s">
        <v>123</v>
      </c>
      <c r="D49" s="104" t="s">
        <v>123</v>
      </c>
      <c r="E49" s="105"/>
      <c r="F49" s="105"/>
      <c r="G49" s="105"/>
      <c r="H49" s="105"/>
      <c r="I49" s="105"/>
      <c r="J49" s="105"/>
      <c r="K49" s="105"/>
      <c r="L49" s="1429"/>
      <c r="M49" s="105"/>
      <c r="N49" s="105"/>
      <c r="O49" s="1388"/>
      <c r="P49" s="105"/>
      <c r="Q49" s="105"/>
      <c r="R49" s="1426"/>
      <c r="S49" s="105"/>
      <c r="T49" s="105"/>
      <c r="U49" s="105"/>
      <c r="V49" s="1515">
        <f t="shared" si="11"/>
        <v>0</v>
      </c>
      <c r="W49" s="107"/>
      <c r="AC49" s="1373"/>
    </row>
    <row r="50" spans="1:29">
      <c r="A50" s="91">
        <v>84</v>
      </c>
      <c r="B50" s="103">
        <v>84</v>
      </c>
      <c r="C50" s="104" t="s">
        <v>78</v>
      </c>
      <c r="D50" s="858" t="s">
        <v>2839</v>
      </c>
      <c r="E50" s="105"/>
      <c r="F50" s="105"/>
      <c r="G50" s="105"/>
      <c r="H50" s="105"/>
      <c r="I50" s="105"/>
      <c r="J50" s="106"/>
      <c r="K50" s="105"/>
      <c r="L50" s="1429">
        <v>2375920.7200000002</v>
      </c>
      <c r="M50" s="105"/>
      <c r="N50" s="105"/>
      <c r="O50" s="1388">
        <v>2945414.1540000006</v>
      </c>
      <c r="P50" s="105"/>
      <c r="Q50" s="105"/>
      <c r="R50" s="1426">
        <v>4028293.22</v>
      </c>
      <c r="S50" s="105"/>
      <c r="T50" s="105"/>
      <c r="U50" s="105">
        <v>1784685.02</v>
      </c>
      <c r="V50" s="1515">
        <f t="shared" si="11"/>
        <v>11134313.114</v>
      </c>
      <c r="W50" s="107"/>
      <c r="AC50" s="1373"/>
    </row>
    <row r="51" spans="1:29">
      <c r="A51" s="91">
        <v>85</v>
      </c>
      <c r="B51" s="103">
        <v>85</v>
      </c>
      <c r="C51" s="104" t="s">
        <v>124</v>
      </c>
      <c r="D51" s="858" t="s">
        <v>124</v>
      </c>
      <c r="E51" s="105"/>
      <c r="F51" s="105"/>
      <c r="G51" s="105"/>
      <c r="H51" s="105"/>
      <c r="I51" s="105"/>
      <c r="J51" s="105"/>
      <c r="K51" s="105"/>
      <c r="L51" s="1430"/>
      <c r="M51" s="105"/>
      <c r="N51" s="105"/>
      <c r="O51" s="1388"/>
      <c r="P51" s="105"/>
      <c r="Q51" s="105"/>
      <c r="R51" s="105"/>
      <c r="S51" s="105"/>
      <c r="T51" s="105"/>
      <c r="U51" s="105"/>
      <c r="V51" s="1515">
        <f t="shared" si="11"/>
        <v>0</v>
      </c>
      <c r="W51" s="107"/>
      <c r="AC51" s="1373"/>
    </row>
    <row r="52" spans="1:29">
      <c r="A52" s="91">
        <v>87</v>
      </c>
      <c r="B52" s="103">
        <v>87</v>
      </c>
      <c r="C52" s="104" t="s">
        <v>125</v>
      </c>
      <c r="D52" s="104" t="s">
        <v>125</v>
      </c>
      <c r="E52" s="105"/>
      <c r="F52" s="105"/>
      <c r="G52" s="105"/>
      <c r="H52" s="105"/>
      <c r="I52" s="105"/>
      <c r="J52" s="105"/>
      <c r="K52" s="105"/>
      <c r="L52" s="1429"/>
      <c r="M52" s="105"/>
      <c r="N52" s="105"/>
      <c r="O52" s="1388"/>
      <c r="P52" s="105"/>
      <c r="Q52" s="105"/>
      <c r="R52" s="105"/>
      <c r="S52" s="105"/>
      <c r="T52" s="105"/>
      <c r="U52" s="105"/>
      <c r="V52" s="1461">
        <f t="shared" si="11"/>
        <v>0</v>
      </c>
      <c r="W52" s="107"/>
      <c r="AC52" s="1373"/>
    </row>
    <row r="53" spans="1:29">
      <c r="A53" s="91">
        <v>88</v>
      </c>
      <c r="B53" s="103">
        <v>88</v>
      </c>
      <c r="C53" s="104" t="s">
        <v>126</v>
      </c>
      <c r="D53" s="858" t="s">
        <v>2837</v>
      </c>
      <c r="E53" s="105"/>
      <c r="F53" s="105"/>
      <c r="G53" s="105"/>
      <c r="H53" s="105"/>
      <c r="I53" s="105"/>
      <c r="J53" s="105"/>
      <c r="K53" s="105"/>
      <c r="L53" s="1430"/>
      <c r="M53" s="105"/>
      <c r="N53" s="105"/>
      <c r="O53" s="1388"/>
      <c r="P53" s="105"/>
      <c r="Q53" s="105"/>
      <c r="R53" s="105"/>
      <c r="S53" s="105"/>
      <c r="T53" s="105"/>
      <c r="U53" s="105"/>
      <c r="V53" s="1461">
        <f t="shared" si="11"/>
        <v>0</v>
      </c>
      <c r="W53" s="107"/>
      <c r="AC53" s="1373"/>
    </row>
    <row r="54" spans="1:29">
      <c r="A54" s="91">
        <v>89</v>
      </c>
      <c r="B54" s="103">
        <v>89</v>
      </c>
      <c r="C54" s="104" t="s">
        <v>127</v>
      </c>
      <c r="D54" s="104" t="s">
        <v>128</v>
      </c>
      <c r="E54" s="105"/>
      <c r="F54" s="105"/>
      <c r="G54" s="105"/>
      <c r="H54" s="105"/>
      <c r="I54" s="105"/>
      <c r="J54" s="105"/>
      <c r="K54" s="105"/>
      <c r="L54" s="1430"/>
      <c r="M54" s="105"/>
      <c r="N54" s="105"/>
      <c r="O54" s="1388"/>
      <c r="P54" s="105"/>
      <c r="Q54" s="105"/>
      <c r="R54" s="105"/>
      <c r="S54" s="105"/>
      <c r="T54" s="105"/>
      <c r="U54" s="105"/>
      <c r="V54" s="1461">
        <f t="shared" si="11"/>
        <v>0</v>
      </c>
      <c r="W54" s="107"/>
      <c r="AC54" s="1373"/>
    </row>
    <row r="55" spans="1:29">
      <c r="A55" s="91">
        <v>90</v>
      </c>
      <c r="B55" s="103">
        <v>90</v>
      </c>
      <c r="C55" s="104" t="s">
        <v>129</v>
      </c>
      <c r="D55" s="104" t="s">
        <v>130</v>
      </c>
      <c r="E55" s="105"/>
      <c r="F55" s="105"/>
      <c r="G55" s="105"/>
      <c r="H55" s="105"/>
      <c r="I55" s="105"/>
      <c r="J55" s="105"/>
      <c r="K55" s="105"/>
      <c r="L55" s="1430"/>
      <c r="M55" s="105"/>
      <c r="N55" s="105"/>
      <c r="O55" s="1388"/>
      <c r="P55" s="105"/>
      <c r="Q55" s="105"/>
      <c r="R55" s="105"/>
      <c r="S55" s="105"/>
      <c r="T55" s="105"/>
      <c r="U55" s="105"/>
      <c r="V55" s="1461">
        <f t="shared" si="11"/>
        <v>0</v>
      </c>
      <c r="W55" s="107"/>
      <c r="AC55" s="1373"/>
    </row>
    <row r="56" spans="1:29">
      <c r="A56" s="91">
        <v>91</v>
      </c>
      <c r="B56" s="103">
        <v>91</v>
      </c>
      <c r="C56" s="104"/>
      <c r="D56" s="104" t="s">
        <v>131</v>
      </c>
      <c r="E56" s="105"/>
      <c r="F56" s="105"/>
      <c r="G56" s="105"/>
      <c r="H56" s="105"/>
      <c r="I56" s="105"/>
      <c r="J56" s="105"/>
      <c r="K56" s="105"/>
      <c r="L56" s="1430">
        <v>15135.49</v>
      </c>
      <c r="M56" s="105"/>
      <c r="N56" s="105"/>
      <c r="O56" s="1388"/>
      <c r="P56" s="1426"/>
      <c r="Q56" s="1426"/>
      <c r="R56" s="1426">
        <v>13364</v>
      </c>
      <c r="S56" s="1426"/>
      <c r="T56" s="1426"/>
      <c r="U56" s="105"/>
      <c r="V56" s="1515">
        <f t="shared" si="11"/>
        <v>28499.489999999998</v>
      </c>
      <c r="W56" s="107"/>
      <c r="AC56" s="1373"/>
    </row>
    <row r="57" spans="1:29">
      <c r="A57" s="91">
        <v>93</v>
      </c>
      <c r="B57" s="103"/>
      <c r="C57" s="104"/>
      <c r="D57" s="858" t="s">
        <v>601</v>
      </c>
      <c r="E57" s="105"/>
      <c r="F57" s="105"/>
      <c r="G57" s="105"/>
      <c r="H57" s="105"/>
      <c r="I57" s="105"/>
      <c r="J57" s="105"/>
      <c r="K57" s="105"/>
      <c r="L57" s="1430"/>
      <c r="M57" s="105"/>
      <c r="N57" s="105"/>
      <c r="O57" s="1388"/>
      <c r="P57" s="105"/>
      <c r="Q57" s="105"/>
      <c r="R57" s="105"/>
      <c r="S57" s="105"/>
      <c r="T57" s="105"/>
      <c r="U57" s="105"/>
      <c r="V57" s="1461">
        <f t="shared" si="11"/>
        <v>0</v>
      </c>
      <c r="W57" s="107"/>
      <c r="AC57" s="1373"/>
    </row>
    <row r="58" spans="1:29">
      <c r="A58" s="117"/>
      <c r="B58" s="1195" t="s">
        <v>2212</v>
      </c>
      <c r="C58" s="104"/>
      <c r="D58" s="1372" t="s">
        <v>2750</v>
      </c>
      <c r="E58" s="105"/>
      <c r="F58" s="105"/>
      <c r="G58" s="105"/>
      <c r="H58" s="105"/>
      <c r="I58" s="105"/>
      <c r="J58" s="105"/>
      <c r="K58" s="105"/>
      <c r="L58" s="1431"/>
      <c r="M58" s="105"/>
      <c r="N58" s="597"/>
      <c r="O58" s="1388"/>
      <c r="P58" s="105"/>
      <c r="Q58" s="105"/>
      <c r="R58" s="105"/>
      <c r="S58" s="105"/>
      <c r="T58" s="105"/>
      <c r="U58" s="105"/>
      <c r="V58" s="1461">
        <f t="shared" si="11"/>
        <v>0</v>
      </c>
      <c r="W58" s="107"/>
      <c r="AC58" s="1373"/>
    </row>
    <row r="59" spans="1:29">
      <c r="A59" s="91">
        <v>97</v>
      </c>
      <c r="B59" s="116"/>
      <c r="C59" s="117"/>
      <c r="D59" s="857" t="s">
        <v>599</v>
      </c>
      <c r="E59" s="94"/>
      <c r="F59" s="94"/>
      <c r="G59" s="94"/>
      <c r="H59" s="94"/>
      <c r="I59" s="94"/>
      <c r="J59" s="94"/>
      <c r="K59" s="94"/>
      <c r="L59" s="1428"/>
      <c r="M59" s="94"/>
      <c r="N59" s="106"/>
      <c r="O59" s="1388"/>
      <c r="P59" s="94"/>
      <c r="Q59" s="94"/>
      <c r="R59" s="94"/>
      <c r="S59" s="94"/>
      <c r="T59" s="94"/>
      <c r="U59" s="105"/>
      <c r="V59" s="1461">
        <f t="shared" si="11"/>
        <v>0</v>
      </c>
      <c r="W59" s="107"/>
      <c r="AC59" s="1373"/>
    </row>
    <row r="60" spans="1:29">
      <c r="A60" s="91">
        <v>99</v>
      </c>
      <c r="B60" s="116"/>
      <c r="D60" s="824" t="s">
        <v>228</v>
      </c>
      <c r="E60" s="1147"/>
      <c r="F60" s="1147"/>
      <c r="G60" s="1147"/>
      <c r="H60" s="1147"/>
      <c r="I60" s="1147"/>
      <c r="J60" s="1147"/>
      <c r="K60" s="1147"/>
      <c r="L60" s="1432">
        <v>95470.31</v>
      </c>
      <c r="M60" s="1146"/>
      <c r="N60" s="106"/>
      <c r="O60" s="1388">
        <v>64420.321000000004</v>
      </c>
      <c r="P60" s="1482"/>
      <c r="Q60" s="1482"/>
      <c r="R60" s="1482">
        <v>157159.75</v>
      </c>
      <c r="S60" s="1482"/>
      <c r="T60" s="1482"/>
      <c r="U60" s="105"/>
      <c r="V60" s="1515">
        <f t="shared" si="11"/>
        <v>317050.38099999999</v>
      </c>
      <c r="W60" s="107"/>
      <c r="AC60" s="1373"/>
    </row>
    <row r="61" spans="1:29">
      <c r="A61" s="91">
        <v>100</v>
      </c>
      <c r="B61" s="116"/>
      <c r="D61" s="824" t="s">
        <v>604</v>
      </c>
      <c r="E61" s="1147"/>
      <c r="F61" s="1147"/>
      <c r="G61" s="1147"/>
      <c r="H61" s="1147"/>
      <c r="I61" s="1147"/>
      <c r="J61" s="1147"/>
      <c r="K61" s="1147"/>
      <c r="L61" s="1430">
        <v>1530605.064</v>
      </c>
      <c r="M61" s="1147"/>
      <c r="N61" s="597"/>
      <c r="O61" s="1388">
        <v>1721338.9240000001</v>
      </c>
      <c r="P61" s="1147"/>
      <c r="Q61" s="1147"/>
      <c r="R61" s="105">
        <v>211471.01</v>
      </c>
      <c r="S61" s="1147"/>
      <c r="T61" s="1147"/>
      <c r="U61" s="105">
        <v>1552533.22</v>
      </c>
      <c r="V61" s="1515">
        <f t="shared" si="11"/>
        <v>5015948.2179999994</v>
      </c>
      <c r="W61" s="107"/>
      <c r="AC61" s="1373"/>
    </row>
    <row r="62" spans="1:29">
      <c r="A62" s="91">
        <v>101</v>
      </c>
      <c r="B62" s="116"/>
      <c r="D62" s="109" t="s">
        <v>229</v>
      </c>
      <c r="E62" s="1147"/>
      <c r="F62" s="1147"/>
      <c r="G62" s="1147"/>
      <c r="H62" s="1147"/>
      <c r="I62" s="1147"/>
      <c r="J62" s="1147"/>
      <c r="K62" s="1147"/>
      <c r="L62" s="1430"/>
      <c r="M62" s="1147"/>
      <c r="N62" s="106"/>
      <c r="O62" s="1388"/>
      <c r="P62" s="1147"/>
      <c r="Q62" s="1147"/>
      <c r="R62" s="105"/>
      <c r="S62" s="1147"/>
      <c r="T62" s="1147"/>
      <c r="U62" s="105"/>
      <c r="V62" s="1461">
        <f t="shared" si="11"/>
        <v>0</v>
      </c>
      <c r="W62" s="107"/>
      <c r="AC62" s="1373"/>
    </row>
    <row r="63" spans="1:29">
      <c r="A63" s="91">
        <v>102</v>
      </c>
      <c r="B63" s="116"/>
      <c r="D63" s="1421" t="s">
        <v>2749</v>
      </c>
      <c r="E63" s="1147"/>
      <c r="F63" s="1147"/>
      <c r="G63" s="1147"/>
      <c r="H63" s="1147"/>
      <c r="I63" s="1147"/>
      <c r="J63" s="1147"/>
      <c r="K63" s="1147"/>
      <c r="L63" s="1430"/>
      <c r="M63" s="1147"/>
      <c r="N63" s="106"/>
      <c r="O63" s="1388"/>
      <c r="P63" s="1147"/>
      <c r="Q63" s="1147"/>
      <c r="R63" s="1147"/>
      <c r="S63" s="1147"/>
      <c r="T63" s="1147"/>
      <c r="U63" s="105"/>
      <c r="V63" s="1461">
        <f t="shared" si="11"/>
        <v>0</v>
      </c>
      <c r="W63" s="107"/>
      <c r="AC63" s="1373"/>
    </row>
    <row r="64" spans="1:29">
      <c r="B64" s="116"/>
      <c r="D64" s="1421" t="s">
        <v>2861</v>
      </c>
      <c r="E64" s="1147"/>
      <c r="F64" s="1147"/>
      <c r="G64" s="1147"/>
      <c r="H64" s="1147"/>
      <c r="I64" s="1147"/>
      <c r="J64" s="1147"/>
      <c r="K64" s="1147"/>
      <c r="L64" s="1430"/>
      <c r="M64" s="1147"/>
      <c r="N64" s="106"/>
      <c r="O64" s="1388"/>
      <c r="P64" s="1147"/>
      <c r="Q64" s="1147"/>
      <c r="R64" s="1147"/>
      <c r="S64" s="1147"/>
      <c r="T64" s="1147"/>
      <c r="U64" s="105"/>
      <c r="V64" s="1461"/>
      <c r="W64" s="107"/>
      <c r="AC64" s="1373"/>
    </row>
    <row r="65" spans="1:29">
      <c r="A65" s="91">
        <v>103</v>
      </c>
      <c r="B65" s="116"/>
      <c r="D65" s="109" t="s">
        <v>2221</v>
      </c>
      <c r="E65" s="1147"/>
      <c r="F65" s="1147"/>
      <c r="G65" s="1147"/>
      <c r="H65" s="1147"/>
      <c r="I65" s="1147"/>
      <c r="J65" s="1147"/>
      <c r="K65" s="1147"/>
      <c r="L65" s="1430"/>
      <c r="M65" s="1147"/>
      <c r="N65" s="597"/>
      <c r="O65" s="1388"/>
      <c r="P65" s="1147"/>
      <c r="Q65" s="1147"/>
      <c r="R65" s="1147">
        <v>79740.639999999999</v>
      </c>
      <c r="S65" s="1147"/>
      <c r="T65" s="1147"/>
      <c r="U65" s="105"/>
      <c r="V65" s="1461">
        <f t="shared" si="11"/>
        <v>79740.639999999999</v>
      </c>
      <c r="W65" s="107"/>
      <c r="AC65" s="1373"/>
    </row>
    <row r="66" spans="1:29">
      <c r="A66" s="117">
        <v>104</v>
      </c>
      <c r="B66" s="1212"/>
      <c r="C66" s="1212"/>
      <c r="D66" s="1390" t="s">
        <v>2780</v>
      </c>
      <c r="E66" s="1212"/>
      <c r="F66" s="1215"/>
      <c r="G66" s="1148"/>
      <c r="H66" s="1147"/>
      <c r="I66" s="1147"/>
      <c r="J66" s="1147"/>
      <c r="K66" s="1147"/>
      <c r="L66" s="1430"/>
      <c r="M66" s="1147"/>
      <c r="N66" s="1147"/>
      <c r="O66" s="1388"/>
      <c r="P66" s="1147"/>
      <c r="Q66" s="1147"/>
      <c r="R66" s="1482"/>
      <c r="S66" s="1147"/>
      <c r="T66" s="1147"/>
      <c r="U66" s="105"/>
      <c r="V66" s="1461">
        <f t="shared" si="11"/>
        <v>0</v>
      </c>
      <c r="W66" s="107"/>
      <c r="AC66" s="1373"/>
    </row>
    <row r="67" spans="1:29">
      <c r="A67" s="1215">
        <v>105</v>
      </c>
      <c r="B67" s="1213"/>
      <c r="C67" s="1213"/>
      <c r="D67" s="1214" t="s">
        <v>2845</v>
      </c>
      <c r="E67" s="1148"/>
      <c r="F67" s="1148"/>
      <c r="G67" s="1148"/>
      <c r="H67" s="1148"/>
      <c r="I67" s="1148"/>
      <c r="J67" s="1148"/>
      <c r="K67" s="1148"/>
      <c r="L67" s="1429"/>
      <c r="M67" s="1148"/>
      <c r="N67" s="1148"/>
      <c r="O67" s="1388"/>
      <c r="P67" s="1148"/>
      <c r="Q67" s="1148"/>
      <c r="R67" s="1148"/>
      <c r="S67" s="1148"/>
      <c r="T67" s="1148"/>
      <c r="U67" s="105"/>
      <c r="V67" s="1461">
        <f t="shared" si="11"/>
        <v>0</v>
      </c>
      <c r="W67" s="107"/>
      <c r="AC67" s="1373"/>
    </row>
    <row r="68" spans="1:29">
      <c r="B68" s="103"/>
      <c r="C68" s="104"/>
      <c r="D68" s="119"/>
      <c r="E68" s="105"/>
      <c r="F68" s="105"/>
      <c r="G68" s="105"/>
      <c r="H68" s="105"/>
      <c r="I68" s="105"/>
      <c r="J68" s="105"/>
      <c r="K68" s="105"/>
      <c r="L68" s="1624"/>
      <c r="M68" s="105"/>
      <c r="N68" s="105"/>
      <c r="O68" s="1388"/>
      <c r="P68" s="105"/>
      <c r="Q68" s="105"/>
      <c r="R68" s="105"/>
      <c r="S68" s="105"/>
      <c r="T68" s="105"/>
      <c r="U68" s="105"/>
      <c r="V68" s="1461"/>
      <c r="W68" s="107"/>
      <c r="AC68" s="1373"/>
    </row>
    <row r="69" spans="1:29">
      <c r="B69" s="103"/>
      <c r="C69" s="104"/>
      <c r="D69" s="1268" t="s">
        <v>2271</v>
      </c>
      <c r="E69" s="1270">
        <f t="shared" ref="E69:T69" si="12">SUM(E70:E88)</f>
        <v>0</v>
      </c>
      <c r="F69" s="1270">
        <f t="shared" si="12"/>
        <v>0</v>
      </c>
      <c r="G69" s="1270">
        <f t="shared" si="12"/>
        <v>0</v>
      </c>
      <c r="H69" s="1270">
        <f t="shared" si="12"/>
        <v>0</v>
      </c>
      <c r="I69" s="1270">
        <f t="shared" si="12"/>
        <v>0</v>
      </c>
      <c r="J69" s="1270">
        <f t="shared" si="12"/>
        <v>0</v>
      </c>
      <c r="K69" s="1270">
        <f t="shared" si="12"/>
        <v>0</v>
      </c>
      <c r="L69" s="1625">
        <f t="shared" si="12"/>
        <v>551180.02599999995</v>
      </c>
      <c r="M69" s="1270">
        <f t="shared" si="12"/>
        <v>0</v>
      </c>
      <c r="N69" s="1270">
        <f t="shared" si="12"/>
        <v>0</v>
      </c>
      <c r="O69" s="1622">
        <f t="shared" si="12"/>
        <v>478649.701</v>
      </c>
      <c r="P69" s="1270">
        <f t="shared" si="12"/>
        <v>0</v>
      </c>
      <c r="Q69" s="1270">
        <f t="shared" si="12"/>
        <v>0</v>
      </c>
      <c r="R69" s="1270">
        <f t="shared" si="12"/>
        <v>74861.010000000009</v>
      </c>
      <c r="S69" s="1270">
        <f t="shared" si="12"/>
        <v>0</v>
      </c>
      <c r="T69" s="1270">
        <f t="shared" si="12"/>
        <v>0</v>
      </c>
      <c r="U69" s="105">
        <f>SUM(U70:U88)</f>
        <v>202163.26</v>
      </c>
      <c r="V69" s="1461">
        <f>SUM(E69:U69)</f>
        <v>1306853.997</v>
      </c>
      <c r="W69" s="107"/>
      <c r="AC69" s="1373"/>
    </row>
    <row r="70" spans="1:29">
      <c r="A70" s="91">
        <v>10</v>
      </c>
      <c r="B70" s="103">
        <v>10</v>
      </c>
      <c r="C70" s="104" t="s">
        <v>99</v>
      </c>
      <c r="D70" s="119" t="s">
        <v>133</v>
      </c>
      <c r="E70" s="105"/>
      <c r="F70" s="105"/>
      <c r="G70" s="105"/>
      <c r="H70" s="105"/>
      <c r="I70" s="105"/>
      <c r="J70" s="105"/>
      <c r="K70" s="105"/>
      <c r="L70" s="1624">
        <v>551180.02599999995</v>
      </c>
      <c r="M70" s="105"/>
      <c r="N70" s="105"/>
      <c r="O70" s="1628">
        <v>478649.701</v>
      </c>
      <c r="P70" s="105"/>
      <c r="Q70" s="105"/>
      <c r="R70" s="105"/>
      <c r="S70" s="105"/>
      <c r="T70" s="105"/>
      <c r="U70" s="105">
        <v>122422.62</v>
      </c>
      <c r="V70" s="1515">
        <f t="shared" ref="V70:V88" si="13">SUM(J70:U70)</f>
        <v>1152252.3470000001</v>
      </c>
      <c r="W70" s="107"/>
      <c r="AC70" s="1373"/>
    </row>
    <row r="71" spans="1:29">
      <c r="A71" s="91">
        <v>12</v>
      </c>
      <c r="B71" s="103">
        <v>12</v>
      </c>
      <c r="C71" s="104"/>
      <c r="D71" s="104" t="s">
        <v>67</v>
      </c>
      <c r="E71" s="105"/>
      <c r="F71" s="105"/>
      <c r="G71" s="105"/>
      <c r="H71" s="105"/>
      <c r="I71" s="105"/>
      <c r="J71" s="105"/>
      <c r="K71" s="105"/>
      <c r="L71" s="1626"/>
      <c r="M71" s="105"/>
      <c r="N71" s="105"/>
      <c r="O71" s="1388"/>
      <c r="P71" s="105"/>
      <c r="Q71" s="105"/>
      <c r="R71" s="105"/>
      <c r="S71" s="105"/>
      <c r="T71" s="105"/>
      <c r="U71" s="105"/>
      <c r="V71" s="1459">
        <f t="shared" si="13"/>
        <v>0</v>
      </c>
      <c r="W71" s="107"/>
      <c r="AC71" s="1373"/>
    </row>
    <row r="72" spans="1:29">
      <c r="A72" s="91">
        <v>13</v>
      </c>
      <c r="B72" s="103">
        <v>33</v>
      </c>
      <c r="C72" s="104" t="s">
        <v>100</v>
      </c>
      <c r="D72" s="104" t="s">
        <v>101</v>
      </c>
      <c r="E72" s="105"/>
      <c r="F72" s="105"/>
      <c r="G72" s="105"/>
      <c r="H72" s="105"/>
      <c r="I72" s="105"/>
      <c r="J72" s="105"/>
      <c r="K72" s="105"/>
      <c r="L72" s="1624"/>
      <c r="M72" s="105"/>
      <c r="N72" s="105"/>
      <c r="O72" s="1388"/>
      <c r="P72" s="106"/>
      <c r="Q72" s="105"/>
      <c r="R72" s="105"/>
      <c r="S72" s="105"/>
      <c r="T72" s="105"/>
      <c r="U72" s="105"/>
      <c r="V72" s="1459">
        <f t="shared" si="13"/>
        <v>0</v>
      </c>
      <c r="W72" s="107"/>
      <c r="AC72" s="1373"/>
    </row>
    <row r="73" spans="1:29">
      <c r="A73" s="91">
        <v>61</v>
      </c>
      <c r="B73" s="103">
        <v>61</v>
      </c>
      <c r="C73" s="104" t="s">
        <v>111</v>
      </c>
      <c r="D73" s="104" t="s">
        <v>95</v>
      </c>
      <c r="E73" s="105"/>
      <c r="F73" s="105"/>
      <c r="G73" s="105"/>
      <c r="H73" s="105"/>
      <c r="I73" s="105"/>
      <c r="J73" s="105"/>
      <c r="K73" s="105"/>
      <c r="L73" s="1624"/>
      <c r="M73" s="105"/>
      <c r="N73" s="105"/>
      <c r="O73" s="1388"/>
      <c r="P73" s="105"/>
      <c r="Q73" s="105"/>
      <c r="R73" s="105"/>
      <c r="S73" s="105"/>
      <c r="T73" s="105"/>
      <c r="U73" s="105"/>
      <c r="V73" s="1459">
        <f t="shared" si="13"/>
        <v>0</v>
      </c>
      <c r="W73" s="107" t="e">
        <f t="shared" ref="W73:W81" si="14">V73/G73</f>
        <v>#DIV/0!</v>
      </c>
      <c r="X73" s="92"/>
      <c r="AC73" s="1373"/>
    </row>
    <row r="74" spans="1:29">
      <c r="A74" s="91">
        <v>62</v>
      </c>
      <c r="B74" s="103">
        <v>62</v>
      </c>
      <c r="C74" s="104" t="s">
        <v>112</v>
      </c>
      <c r="D74" s="104" t="s">
        <v>112</v>
      </c>
      <c r="E74" s="105"/>
      <c r="F74" s="105"/>
      <c r="G74" s="105"/>
      <c r="H74" s="105"/>
      <c r="I74" s="105"/>
      <c r="J74" s="105"/>
      <c r="K74" s="105"/>
      <c r="L74" s="1624"/>
      <c r="M74" s="105"/>
      <c r="N74" s="108"/>
      <c r="O74" s="1388"/>
      <c r="P74" s="105"/>
      <c r="Q74" s="105"/>
      <c r="R74" s="105"/>
      <c r="S74" s="105"/>
      <c r="T74" s="105"/>
      <c r="U74" s="105"/>
      <c r="V74" s="1459">
        <f t="shared" si="13"/>
        <v>0</v>
      </c>
      <c r="W74" s="107" t="e">
        <f t="shared" si="14"/>
        <v>#DIV/0!</v>
      </c>
      <c r="AC74" s="1373"/>
    </row>
    <row r="75" spans="1:29">
      <c r="A75" s="91">
        <v>63</v>
      </c>
      <c r="B75" s="103">
        <v>63</v>
      </c>
      <c r="C75" s="104" t="s">
        <v>113</v>
      </c>
      <c r="D75" s="104" t="s">
        <v>113</v>
      </c>
      <c r="E75" s="105"/>
      <c r="F75" s="105"/>
      <c r="G75" s="105"/>
      <c r="H75" s="105"/>
      <c r="I75" s="105"/>
      <c r="J75" s="105"/>
      <c r="K75" s="105"/>
      <c r="L75" s="1624"/>
      <c r="M75" s="105"/>
      <c r="N75" s="105"/>
      <c r="O75" s="1388"/>
      <c r="P75" s="105"/>
      <c r="Q75" s="105"/>
      <c r="R75" s="105"/>
      <c r="S75" s="105"/>
      <c r="T75" s="105"/>
      <c r="U75" s="105"/>
      <c r="V75" s="1459">
        <f t="shared" si="13"/>
        <v>0</v>
      </c>
      <c r="W75" s="107" t="e">
        <f t="shared" si="14"/>
        <v>#DIV/0!</v>
      </c>
      <c r="X75" s="92"/>
      <c r="AC75" s="1373"/>
    </row>
    <row r="76" spans="1:29">
      <c r="A76" s="91">
        <v>64</v>
      </c>
      <c r="B76" s="103">
        <v>64</v>
      </c>
      <c r="C76" s="104" t="s">
        <v>114</v>
      </c>
      <c r="D76" s="104" t="s">
        <v>115</v>
      </c>
      <c r="E76" s="105"/>
      <c r="F76" s="105"/>
      <c r="G76" s="105"/>
      <c r="H76" s="105"/>
      <c r="I76" s="105"/>
      <c r="J76" s="105"/>
      <c r="K76" s="105"/>
      <c r="L76" s="1624"/>
      <c r="M76" s="105"/>
      <c r="N76" s="105"/>
      <c r="O76" s="1388"/>
      <c r="P76" s="105"/>
      <c r="Q76" s="105"/>
      <c r="R76" s="105"/>
      <c r="S76" s="105"/>
      <c r="T76" s="105"/>
      <c r="U76" s="105"/>
      <c r="V76" s="1459">
        <f t="shared" si="13"/>
        <v>0</v>
      </c>
      <c r="W76" s="107" t="e">
        <f t="shared" si="14"/>
        <v>#DIV/0!</v>
      </c>
      <c r="AC76" s="1373"/>
    </row>
    <row r="77" spans="1:29">
      <c r="A77" s="91">
        <v>66</v>
      </c>
      <c r="B77" s="103">
        <v>66</v>
      </c>
      <c r="C77" s="104" t="s">
        <v>116</v>
      </c>
      <c r="D77" s="104" t="s">
        <v>116</v>
      </c>
      <c r="E77" s="105"/>
      <c r="F77" s="105"/>
      <c r="G77" s="105"/>
      <c r="H77" s="105"/>
      <c r="I77" s="105"/>
      <c r="J77" s="105"/>
      <c r="K77" s="105"/>
      <c r="L77" s="1426"/>
      <c r="M77" s="105"/>
      <c r="N77" s="105"/>
      <c r="O77" s="1388"/>
      <c r="P77" s="105"/>
      <c r="Q77" s="105"/>
      <c r="R77" s="105"/>
      <c r="S77" s="105"/>
      <c r="T77" s="105"/>
      <c r="U77" s="105"/>
      <c r="V77" s="1459">
        <f t="shared" si="13"/>
        <v>0</v>
      </c>
      <c r="W77" s="107" t="e">
        <f t="shared" si="14"/>
        <v>#DIV/0!</v>
      </c>
      <c r="AC77" s="1373"/>
    </row>
    <row r="78" spans="1:29">
      <c r="A78" s="91">
        <v>67</v>
      </c>
      <c r="B78" s="103">
        <v>67</v>
      </c>
      <c r="C78" s="104" t="s">
        <v>117</v>
      </c>
      <c r="D78" s="104" t="s">
        <v>117</v>
      </c>
      <c r="E78" s="105"/>
      <c r="F78" s="105"/>
      <c r="G78" s="105"/>
      <c r="H78" s="105"/>
      <c r="I78" s="105"/>
      <c r="J78" s="105"/>
      <c r="K78" s="105"/>
      <c r="L78" s="1426"/>
      <c r="M78" s="105"/>
      <c r="N78" s="105"/>
      <c r="O78" s="1388"/>
      <c r="P78" s="105"/>
      <c r="Q78" s="105"/>
      <c r="R78" s="105"/>
      <c r="S78" s="105"/>
      <c r="T78" s="105"/>
      <c r="U78" s="105"/>
      <c r="V78" s="1459">
        <f t="shared" si="13"/>
        <v>0</v>
      </c>
      <c r="W78" s="107" t="e">
        <f t="shared" si="14"/>
        <v>#DIV/0!</v>
      </c>
      <c r="AC78" s="1373"/>
    </row>
    <row r="79" spans="1:29">
      <c r="A79" s="91">
        <v>68</v>
      </c>
      <c r="B79" s="103">
        <v>68</v>
      </c>
      <c r="C79" s="104" t="s">
        <v>118</v>
      </c>
      <c r="D79" s="104" t="s">
        <v>118</v>
      </c>
      <c r="E79" s="94"/>
      <c r="F79" s="94"/>
      <c r="G79" s="94"/>
      <c r="H79" s="94"/>
      <c r="I79" s="94"/>
      <c r="J79" s="94"/>
      <c r="K79" s="94"/>
      <c r="L79" s="1623"/>
      <c r="M79" s="94"/>
      <c r="N79" s="94"/>
      <c r="O79" s="1419"/>
      <c r="P79" s="94"/>
      <c r="Q79" s="94"/>
      <c r="R79" s="94"/>
      <c r="S79" s="94"/>
      <c r="T79" s="94"/>
      <c r="U79" s="105"/>
      <c r="V79" s="1459">
        <f t="shared" si="13"/>
        <v>0</v>
      </c>
      <c r="W79" s="107" t="e">
        <f t="shared" si="14"/>
        <v>#DIV/0!</v>
      </c>
      <c r="AC79" s="1373"/>
    </row>
    <row r="80" spans="1:29">
      <c r="A80" s="91">
        <v>69</v>
      </c>
      <c r="B80" s="103">
        <v>69</v>
      </c>
      <c r="C80" s="104" t="s">
        <v>119</v>
      </c>
      <c r="D80" s="104" t="s">
        <v>119</v>
      </c>
      <c r="E80" s="105"/>
      <c r="F80" s="105"/>
      <c r="G80" s="105"/>
      <c r="H80" s="105"/>
      <c r="I80" s="105"/>
      <c r="J80" s="105"/>
      <c r="K80" s="105"/>
      <c r="L80" s="1426"/>
      <c r="M80" s="105"/>
      <c r="N80" s="105"/>
      <c r="O80" s="1388"/>
      <c r="P80" s="105"/>
      <c r="Q80" s="105"/>
      <c r="R80" s="105"/>
      <c r="S80" s="105"/>
      <c r="T80" s="105"/>
      <c r="U80" s="105"/>
      <c r="V80" s="1459">
        <f t="shared" si="13"/>
        <v>0</v>
      </c>
      <c r="W80" s="107" t="e">
        <f t="shared" si="14"/>
        <v>#DIV/0!</v>
      </c>
      <c r="AC80" s="1373"/>
    </row>
    <row r="81" spans="1:29">
      <c r="A81" s="91">
        <v>70</v>
      </c>
      <c r="B81" s="103">
        <v>70</v>
      </c>
      <c r="C81" s="104" t="s">
        <v>120</v>
      </c>
      <c r="D81" s="104" t="s">
        <v>120</v>
      </c>
      <c r="E81" s="105"/>
      <c r="F81" s="105"/>
      <c r="G81" s="105"/>
      <c r="H81" s="105"/>
      <c r="I81" s="105"/>
      <c r="J81" s="105"/>
      <c r="K81" s="105"/>
      <c r="L81" s="1426"/>
      <c r="M81" s="105"/>
      <c r="N81" s="106"/>
      <c r="O81" s="1388"/>
      <c r="P81" s="105"/>
      <c r="Q81" s="105"/>
      <c r="R81" s="105"/>
      <c r="S81" s="105"/>
      <c r="T81" s="105"/>
      <c r="U81" s="105"/>
      <c r="V81" s="1459">
        <f t="shared" si="13"/>
        <v>0</v>
      </c>
      <c r="W81" s="107" t="e">
        <f t="shared" si="14"/>
        <v>#DIV/0!</v>
      </c>
      <c r="AC81" s="1373"/>
    </row>
    <row r="82" spans="1:29">
      <c r="B82" s="103">
        <v>73</v>
      </c>
      <c r="C82" s="104"/>
      <c r="D82" s="104" t="s">
        <v>121</v>
      </c>
      <c r="E82" s="105"/>
      <c r="F82" s="105"/>
      <c r="G82" s="105"/>
      <c r="H82" s="105"/>
      <c r="I82" s="105"/>
      <c r="J82" s="105"/>
      <c r="K82" s="105"/>
      <c r="L82" s="1426"/>
      <c r="M82" s="105"/>
      <c r="N82" s="105"/>
      <c r="O82" s="1388"/>
      <c r="P82" s="105"/>
      <c r="Q82" s="105"/>
      <c r="R82" s="105"/>
      <c r="S82" s="105"/>
      <c r="T82" s="105"/>
      <c r="U82" s="105"/>
      <c r="V82" s="1459">
        <f t="shared" si="13"/>
        <v>0</v>
      </c>
      <c r="W82" s="107"/>
      <c r="AC82" s="1373"/>
    </row>
    <row r="83" spans="1:29">
      <c r="A83" s="91">
        <v>92</v>
      </c>
      <c r="B83" s="103"/>
      <c r="C83" s="104"/>
      <c r="D83" s="104" t="s">
        <v>132</v>
      </c>
      <c r="E83" s="105"/>
      <c r="F83" s="105"/>
      <c r="G83" s="105"/>
      <c r="H83" s="105"/>
      <c r="I83" s="105"/>
      <c r="J83" s="105"/>
      <c r="K83" s="105"/>
      <c r="L83" s="1426"/>
      <c r="M83" s="105"/>
      <c r="N83" s="105"/>
      <c r="O83" s="1388"/>
      <c r="P83" s="105"/>
      <c r="Q83" s="105"/>
      <c r="R83" s="105"/>
      <c r="S83" s="105"/>
      <c r="T83" s="105"/>
      <c r="U83" s="105"/>
      <c r="V83" s="1459">
        <f t="shared" si="13"/>
        <v>0</v>
      </c>
      <c r="W83" s="107"/>
      <c r="AC83" s="1374"/>
    </row>
    <row r="84" spans="1:29">
      <c r="A84" s="91">
        <v>94</v>
      </c>
      <c r="B84" s="103"/>
      <c r="C84" s="104"/>
      <c r="D84" s="858" t="s">
        <v>2748</v>
      </c>
      <c r="E84" s="105"/>
      <c r="F84" s="105"/>
      <c r="G84" s="105"/>
      <c r="H84" s="105"/>
      <c r="I84" s="105"/>
      <c r="J84" s="105"/>
      <c r="K84" s="105"/>
      <c r="L84" s="1426"/>
      <c r="M84" s="105"/>
      <c r="N84" s="105"/>
      <c r="O84" s="1427"/>
      <c r="P84" s="105"/>
      <c r="Q84" s="105"/>
      <c r="R84" s="105"/>
      <c r="S84" s="105"/>
      <c r="T84" s="105"/>
      <c r="U84" s="105">
        <v>79740.639999999999</v>
      </c>
      <c r="V84" s="1459">
        <f t="shared" si="13"/>
        <v>79740.639999999999</v>
      </c>
      <c r="W84" s="105">
        <f>V84-G84</f>
        <v>79740.639999999999</v>
      </c>
    </row>
    <row r="85" spans="1:29">
      <c r="B85" s="116"/>
      <c r="C85" s="117"/>
      <c r="D85" s="104" t="s">
        <v>90</v>
      </c>
      <c r="E85" s="94"/>
      <c r="F85" s="94"/>
      <c r="G85" s="94"/>
      <c r="H85" s="94"/>
      <c r="I85" s="94"/>
      <c r="J85" s="94"/>
      <c r="K85" s="94"/>
      <c r="L85" s="1623"/>
      <c r="M85" s="94"/>
      <c r="N85" s="94"/>
      <c r="O85" s="1651"/>
      <c r="P85" s="94"/>
      <c r="Q85" s="94"/>
      <c r="R85" s="94">
        <v>74861.010000000009</v>
      </c>
      <c r="S85" s="94"/>
      <c r="T85" s="94"/>
      <c r="U85" s="105"/>
      <c r="V85" s="1459"/>
      <c r="W85" s="94"/>
    </row>
    <row r="86" spans="1:29">
      <c r="A86" s="91">
        <v>95</v>
      </c>
      <c r="B86" s="116"/>
      <c r="C86" s="117"/>
      <c r="D86" s="125" t="s">
        <v>134</v>
      </c>
      <c r="E86" s="94"/>
      <c r="F86" s="94"/>
      <c r="G86" s="94"/>
      <c r="H86" s="94"/>
      <c r="I86" s="94"/>
      <c r="J86" s="94"/>
      <c r="K86" s="94"/>
      <c r="L86" s="1623"/>
      <c r="M86" s="94"/>
      <c r="N86" s="94"/>
      <c r="O86" s="1419"/>
      <c r="P86" s="94"/>
      <c r="Q86" s="94"/>
      <c r="R86" s="94"/>
      <c r="S86" s="94"/>
      <c r="T86" s="94"/>
      <c r="U86" s="105"/>
      <c r="V86" s="1459">
        <f t="shared" si="13"/>
        <v>0</v>
      </c>
      <c r="W86" s="94">
        <f>V86-G86</f>
        <v>0</v>
      </c>
    </row>
    <row r="87" spans="1:29">
      <c r="A87" s="109">
        <v>96</v>
      </c>
      <c r="B87" s="116"/>
      <c r="C87" s="117"/>
      <c r="D87" s="857" t="s">
        <v>2211</v>
      </c>
      <c r="E87" s="94"/>
      <c r="F87" s="94"/>
      <c r="G87" s="94"/>
      <c r="H87" s="94"/>
      <c r="I87" s="94"/>
      <c r="J87" s="94"/>
      <c r="K87" s="94"/>
      <c r="L87" s="1623"/>
      <c r="M87" s="94"/>
      <c r="N87" s="94"/>
      <c r="O87" s="1419"/>
      <c r="P87" s="94"/>
      <c r="Q87" s="94"/>
      <c r="R87" s="94"/>
      <c r="S87" s="94"/>
      <c r="T87" s="94"/>
      <c r="U87" s="105"/>
      <c r="V87" s="1459">
        <f t="shared" si="13"/>
        <v>0</v>
      </c>
      <c r="W87" s="94"/>
    </row>
    <row r="88" spans="1:29">
      <c r="A88" s="1215">
        <v>98</v>
      </c>
      <c r="B88" s="1213"/>
      <c r="C88" s="1213"/>
      <c r="D88" s="1214" t="s">
        <v>603</v>
      </c>
      <c r="E88" s="1148"/>
      <c r="F88" s="1148"/>
      <c r="G88" s="1148"/>
      <c r="H88" s="1148"/>
      <c r="I88" s="1148"/>
      <c r="J88" s="1148"/>
      <c r="K88" s="1148"/>
      <c r="L88" s="1627"/>
      <c r="M88" s="1148"/>
      <c r="N88" s="1148"/>
      <c r="O88" s="1627"/>
      <c r="P88" s="1148"/>
      <c r="Q88" s="1148"/>
      <c r="R88" s="1148"/>
      <c r="S88" s="1148"/>
      <c r="T88" s="1148"/>
      <c r="U88" s="105"/>
      <c r="V88" s="1459">
        <f t="shared" si="13"/>
        <v>0</v>
      </c>
      <c r="W88" s="118"/>
    </row>
    <row r="92" spans="1:29">
      <c r="D92" s="109"/>
    </row>
    <row r="93" spans="1:29">
      <c r="D93" s="1267"/>
      <c r="L93" s="1408">
        <f>L32-6351667.83</f>
        <v>-0.19500000029802322</v>
      </c>
      <c r="R93" s="1408"/>
    </row>
    <row r="94" spans="1:29">
      <c r="D94" s="104"/>
    </row>
    <row r="95" spans="1:29">
      <c r="D95" s="104"/>
    </row>
    <row r="96" spans="1:29">
      <c r="D96" s="104"/>
    </row>
    <row r="97" spans="4:4">
      <c r="D97" s="104"/>
    </row>
    <row r="98" spans="4:4">
      <c r="D98" s="858"/>
    </row>
    <row r="99" spans="4:4">
      <c r="D99" s="104"/>
    </row>
    <row r="102" spans="4:4">
      <c r="D102" s="109"/>
    </row>
  </sheetData>
  <phoneticPr fontId="6" type="noConversion"/>
  <printOptions horizontalCentered="1"/>
  <pageMargins left="0.19685039370078741" right="0.19685039370078741" top="0.11811023622047245" bottom="0.15748031496062992" header="0.11811023622047245" footer="0.15748031496062992"/>
  <pageSetup paperSize="9" scale="90" firstPageNumber="10" orientation="landscape" useFirstPageNumber="1" horizontalDpi="4294967292" verticalDpi="300" r:id="rId1"/>
  <headerFooter alignWithMargins="0">
    <oddHeader>&amp;LMinistère de l'Economie et Finances &amp;C&amp;REn  milliers de F/CFA</oddHeader>
    <oddFooter>&amp;L&amp;F&amp;CPage 10&amp;R&amp;D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2"/>
  <dimension ref="A4:Y99"/>
  <sheetViews>
    <sheetView topLeftCell="B7" zoomScale="80" zoomScaleNormal="80" workbookViewId="0">
      <pane xSplit="2" ySplit="7" topLeftCell="F29" activePane="bottomRight" state="frozen"/>
      <selection activeCell="B7" sqref="B7"/>
      <selection pane="topRight" activeCell="D7" sqref="D7"/>
      <selection pane="bottomLeft" activeCell="B14" sqref="B14"/>
      <selection pane="bottomRight" activeCell="S51" sqref="S51"/>
    </sheetView>
  </sheetViews>
  <sheetFormatPr defaultColWidth="9.140625" defaultRowHeight="12.75"/>
  <cols>
    <col min="1" max="1" width="11.42578125" style="46" hidden="1" customWidth="1"/>
    <col min="2" max="2" width="4.28515625" style="46" customWidth="1"/>
    <col min="3" max="3" width="18.85546875" style="46" customWidth="1"/>
    <col min="4" max="4" width="13" style="46" bestFit="1" customWidth="1"/>
    <col min="5" max="5" width="13.85546875" style="46" customWidth="1"/>
    <col min="6" max="6" width="10.7109375" style="46" customWidth="1"/>
    <col min="7" max="7" width="13.140625" style="46" customWidth="1"/>
    <col min="8" max="8" width="18.42578125" style="46" bestFit="1" customWidth="1"/>
    <col min="9" max="9" width="11.7109375" style="46" customWidth="1"/>
    <col min="10" max="10" width="12.42578125" style="46" customWidth="1"/>
    <col min="11" max="11" width="12.140625" style="46" customWidth="1"/>
    <col min="12" max="12" width="14.7109375" style="46" customWidth="1"/>
    <col min="13" max="13" width="16.42578125" style="46" customWidth="1"/>
    <col min="14" max="14" width="17" style="46" customWidth="1"/>
    <col min="15" max="15" width="13.140625" style="46" customWidth="1"/>
    <col min="16" max="16" width="12.7109375" style="46" customWidth="1"/>
    <col min="17" max="17" width="12.42578125" style="46" customWidth="1"/>
    <col min="18" max="18" width="14.28515625" style="46" customWidth="1"/>
    <col min="19" max="19" width="13.28515625" style="46" customWidth="1"/>
    <col min="20" max="20" width="19.28515625" style="46" customWidth="1"/>
    <col min="21" max="21" width="9.140625" style="46" customWidth="1"/>
    <col min="22" max="22" width="12" style="46" bestFit="1" customWidth="1"/>
    <col min="23" max="16384" width="9.140625" style="46"/>
  </cols>
  <sheetData>
    <row r="4" spans="2:22">
      <c r="D4" s="46">
        <f>45*750</f>
        <v>33750</v>
      </c>
    </row>
    <row r="5" spans="2:22">
      <c r="C5" s="46" t="s">
        <v>44</v>
      </c>
    </row>
    <row r="6" spans="2:22">
      <c r="E6" s="47"/>
    </row>
    <row r="7" spans="2:22" ht="23.25">
      <c r="I7" s="1196" t="s">
        <v>3017</v>
      </c>
      <c r="J7" s="1196"/>
      <c r="T7" s="1306" t="s">
        <v>2698</v>
      </c>
    </row>
    <row r="8" spans="2:22" ht="38.25" customHeight="1">
      <c r="B8" s="777"/>
      <c r="C8" s="778"/>
      <c r="D8" s="779" t="s">
        <v>1720</v>
      </c>
      <c r="E8" s="779" t="s">
        <v>2881</v>
      </c>
      <c r="F8" s="779" t="s">
        <v>2882</v>
      </c>
      <c r="G8" s="780" t="s">
        <v>2222</v>
      </c>
      <c r="H8" s="780" t="s">
        <v>2223</v>
      </c>
      <c r="I8" s="780" t="s">
        <v>2224</v>
      </c>
      <c r="J8" s="780" t="s">
        <v>2225</v>
      </c>
      <c r="K8" s="780" t="s">
        <v>2226</v>
      </c>
      <c r="L8" s="780" t="s">
        <v>2227</v>
      </c>
      <c r="M8" s="780" t="s">
        <v>2228</v>
      </c>
      <c r="N8" s="780" t="s">
        <v>2229</v>
      </c>
      <c r="O8" s="780" t="s">
        <v>2230</v>
      </c>
      <c r="P8" s="780" t="s">
        <v>2231</v>
      </c>
      <c r="Q8" s="780" t="s">
        <v>2232</v>
      </c>
      <c r="R8" s="780" t="s">
        <v>2233</v>
      </c>
      <c r="S8" s="780" t="s">
        <v>2234</v>
      </c>
      <c r="T8" s="780" t="s">
        <v>57</v>
      </c>
    </row>
    <row r="9" spans="2:22">
      <c r="B9" s="51" t="s">
        <v>58</v>
      </c>
      <c r="C9" s="52"/>
      <c r="D9" s="53">
        <f>D10+D12+D14</f>
        <v>0</v>
      </c>
      <c r="E9" s="53">
        <f>E10+E12+E14</f>
        <v>0</v>
      </c>
      <c r="F9" s="54">
        <f>F10+F12+F14</f>
        <v>0</v>
      </c>
      <c r="G9" s="54">
        <f t="shared" ref="G9:R9" si="0">G10+G12+G14+G18+G15+G17</f>
        <v>0</v>
      </c>
      <c r="H9" s="54">
        <f t="shared" si="0"/>
        <v>0</v>
      </c>
      <c r="I9" s="54">
        <f t="shared" si="0"/>
        <v>0</v>
      </c>
      <c r="J9" s="54">
        <f t="shared" si="0"/>
        <v>0</v>
      </c>
      <c r="K9" s="54">
        <f t="shared" si="0"/>
        <v>0</v>
      </c>
      <c r="L9" s="54">
        <f t="shared" si="0"/>
        <v>0</v>
      </c>
      <c r="M9" s="54">
        <f t="shared" si="0"/>
        <v>0</v>
      </c>
      <c r="N9" s="54">
        <f t="shared" si="0"/>
        <v>0</v>
      </c>
      <c r="O9" s="54">
        <f t="shared" si="0"/>
        <v>0</v>
      </c>
      <c r="P9" s="54">
        <f t="shared" si="0"/>
        <v>0</v>
      </c>
      <c r="Q9" s="54">
        <f t="shared" si="0"/>
        <v>0</v>
      </c>
      <c r="R9" s="54">
        <f t="shared" si="0"/>
        <v>0</v>
      </c>
      <c r="S9" s="54">
        <f t="shared" ref="S9:S19" si="1">SUM(G9:R9)</f>
        <v>0</v>
      </c>
      <c r="T9" s="55"/>
    </row>
    <row r="10" spans="2:22">
      <c r="B10" s="41"/>
      <c r="C10" s="42" t="s">
        <v>224</v>
      </c>
      <c r="D10" s="43">
        <f>D11</f>
        <v>0</v>
      </c>
      <c r="E10" s="43">
        <f t="shared" ref="E10:R10" si="2">E11</f>
        <v>0</v>
      </c>
      <c r="F10" s="43">
        <f t="shared" si="2"/>
        <v>0</v>
      </c>
      <c r="G10" s="43"/>
      <c r="H10" s="43">
        <f t="shared" si="2"/>
        <v>0</v>
      </c>
      <c r="I10" s="43">
        <f t="shared" si="2"/>
        <v>0</v>
      </c>
      <c r="J10" s="43">
        <f t="shared" si="2"/>
        <v>0</v>
      </c>
      <c r="K10" s="43">
        <f t="shared" si="2"/>
        <v>0</v>
      </c>
      <c r="L10" s="43">
        <f t="shared" si="2"/>
        <v>0</v>
      </c>
      <c r="M10" s="43">
        <f t="shared" si="2"/>
        <v>0</v>
      </c>
      <c r="N10" s="43">
        <f t="shared" si="2"/>
        <v>0</v>
      </c>
      <c r="O10" s="43">
        <f t="shared" si="2"/>
        <v>0</v>
      </c>
      <c r="P10" s="43">
        <f t="shared" si="2"/>
        <v>0</v>
      </c>
      <c r="Q10" s="43">
        <f t="shared" si="2"/>
        <v>0</v>
      </c>
      <c r="R10" s="43">
        <f t="shared" si="2"/>
        <v>0</v>
      </c>
      <c r="S10" s="44">
        <f t="shared" si="1"/>
        <v>0</v>
      </c>
      <c r="T10" s="45"/>
    </row>
    <row r="11" spans="2:22">
      <c r="B11" s="41"/>
      <c r="C11" s="42" t="s">
        <v>59</v>
      </c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4">
        <f t="shared" si="1"/>
        <v>0</v>
      </c>
      <c r="T11" s="45"/>
      <c r="V11" s="47"/>
    </row>
    <row r="12" spans="2:22">
      <c r="B12" s="41"/>
      <c r="C12" s="42" t="s">
        <v>60</v>
      </c>
      <c r="D12" s="43">
        <f>D13</f>
        <v>0</v>
      </c>
      <c r="E12" s="43">
        <f t="shared" ref="E12:R12" si="3">E13</f>
        <v>0</v>
      </c>
      <c r="F12" s="43">
        <f t="shared" si="3"/>
        <v>0</v>
      </c>
      <c r="G12" s="43">
        <f t="shared" si="3"/>
        <v>0</v>
      </c>
      <c r="H12" s="43">
        <f t="shared" si="3"/>
        <v>0</v>
      </c>
      <c r="I12" s="43">
        <f t="shared" si="3"/>
        <v>0</v>
      </c>
      <c r="J12" s="43">
        <f t="shared" si="3"/>
        <v>0</v>
      </c>
      <c r="K12" s="43">
        <f t="shared" si="3"/>
        <v>0</v>
      </c>
      <c r="L12" s="43">
        <f t="shared" si="3"/>
        <v>0</v>
      </c>
      <c r="M12" s="43">
        <f t="shared" si="3"/>
        <v>0</v>
      </c>
      <c r="N12" s="43">
        <f t="shared" si="3"/>
        <v>0</v>
      </c>
      <c r="O12" s="43">
        <f t="shared" si="3"/>
        <v>0</v>
      </c>
      <c r="P12" s="43">
        <f t="shared" si="3"/>
        <v>0</v>
      </c>
      <c r="Q12" s="43">
        <f t="shared" si="3"/>
        <v>0</v>
      </c>
      <c r="R12" s="43">
        <f t="shared" si="3"/>
        <v>0</v>
      </c>
      <c r="S12" s="43">
        <f t="shared" si="1"/>
        <v>0</v>
      </c>
      <c r="T12" s="39"/>
    </row>
    <row r="13" spans="2:22">
      <c r="B13" s="41"/>
      <c r="C13" s="852" t="s">
        <v>2218</v>
      </c>
      <c r="D13" s="40"/>
      <c r="E13" s="40"/>
      <c r="F13" s="40"/>
      <c r="G13" s="40"/>
      <c r="H13" s="40"/>
      <c r="I13" s="40"/>
      <c r="J13" s="40"/>
      <c r="K13" s="40"/>
      <c r="L13" s="40"/>
      <c r="M13" s="40"/>
      <c r="N13" s="40"/>
      <c r="O13" s="40"/>
      <c r="P13" s="40"/>
      <c r="Q13" s="40"/>
      <c r="R13" s="40"/>
      <c r="S13" s="44">
        <f t="shared" si="1"/>
        <v>0</v>
      </c>
      <c r="T13" s="45"/>
    </row>
    <row r="14" spans="2:22">
      <c r="B14" s="56"/>
      <c r="C14" s="1470" t="s">
        <v>62</v>
      </c>
      <c r="D14" s="58"/>
      <c r="E14" s="58"/>
      <c r="F14" s="58"/>
      <c r="G14" s="58"/>
      <c r="H14" s="58"/>
      <c r="I14" s="58"/>
      <c r="J14" s="58"/>
      <c r="K14" s="58"/>
      <c r="L14" s="58"/>
      <c r="M14" s="58"/>
      <c r="N14" s="58"/>
      <c r="O14" s="58"/>
      <c r="P14" s="58"/>
      <c r="Q14" s="58"/>
      <c r="R14" s="58"/>
      <c r="S14" s="59">
        <f t="shared" si="1"/>
        <v>0</v>
      </c>
      <c r="T14" s="60"/>
    </row>
    <row r="15" spans="2:22">
      <c r="B15" s="41"/>
      <c r="C15" s="89" t="s">
        <v>484</v>
      </c>
      <c r="D15" s="40"/>
      <c r="E15" s="40"/>
      <c r="F15" s="581"/>
      <c r="G15" s="581"/>
      <c r="H15" s="58"/>
      <c r="I15" s="581"/>
      <c r="J15" s="581"/>
      <c r="K15" s="581"/>
      <c r="L15" s="581"/>
      <c r="M15" s="581"/>
      <c r="N15" s="581"/>
      <c r="O15" s="581"/>
      <c r="P15" s="581"/>
      <c r="Q15" s="581"/>
      <c r="R15" s="581"/>
      <c r="S15" s="44"/>
      <c r="T15" s="45"/>
    </row>
    <row r="16" spans="2:22">
      <c r="B16" s="41"/>
      <c r="C16" s="89" t="s">
        <v>1048</v>
      </c>
      <c r="D16" s="40"/>
      <c r="E16" s="40"/>
      <c r="F16" s="581"/>
      <c r="G16" s="581"/>
      <c r="H16" s="58"/>
      <c r="I16" s="581"/>
      <c r="J16" s="581"/>
      <c r="K16" s="581"/>
      <c r="L16" s="581"/>
      <c r="M16" s="581"/>
      <c r="N16" s="581"/>
      <c r="O16" s="581"/>
      <c r="P16" s="581"/>
      <c r="Q16" s="581"/>
      <c r="R16" s="581"/>
      <c r="S16" s="44"/>
      <c r="T16" s="45"/>
    </row>
    <row r="17" spans="2:25">
      <c r="B17" s="41"/>
      <c r="C17" s="89" t="s">
        <v>485</v>
      </c>
      <c r="D17" s="40"/>
      <c r="E17" s="40"/>
      <c r="F17" s="581"/>
      <c r="G17" s="581"/>
      <c r="H17" s="58"/>
      <c r="I17" s="581"/>
      <c r="J17" s="581"/>
      <c r="K17" s="581"/>
      <c r="L17" s="581"/>
      <c r="M17" s="581"/>
      <c r="N17" s="581"/>
      <c r="O17" s="581"/>
      <c r="P17" s="581"/>
      <c r="Q17" s="581"/>
      <c r="R17" s="581"/>
      <c r="S17" s="44"/>
      <c r="T17" s="45"/>
    </row>
    <row r="18" spans="2:25">
      <c r="B18" s="41"/>
      <c r="C18" s="89" t="s">
        <v>1080</v>
      </c>
      <c r="D18" s="40"/>
      <c r="E18" s="40"/>
      <c r="F18" s="581"/>
      <c r="G18" s="581"/>
      <c r="H18" s="58"/>
      <c r="I18" s="581"/>
      <c r="J18" s="581"/>
      <c r="K18" s="581"/>
      <c r="L18" s="581"/>
      <c r="M18" s="581"/>
      <c r="N18" s="581"/>
      <c r="O18" s="581"/>
      <c r="P18" s="581"/>
      <c r="Q18" s="581"/>
      <c r="R18" s="581"/>
      <c r="S18" s="44"/>
      <c r="T18" s="45"/>
    </row>
    <row r="19" spans="2:25">
      <c r="B19" s="61" t="s">
        <v>63</v>
      </c>
      <c r="C19" s="62"/>
      <c r="D19" s="63">
        <f>D9-D10</f>
        <v>0</v>
      </c>
      <c r="E19" s="63">
        <f>E9-E10</f>
        <v>0</v>
      </c>
      <c r="F19" s="64">
        <f>F9-F10</f>
        <v>0</v>
      </c>
      <c r="G19" s="64">
        <f>G9-G10-G18</f>
        <v>0</v>
      </c>
      <c r="H19" s="64">
        <f>H9-H10-H18</f>
        <v>0</v>
      </c>
      <c r="I19" s="64">
        <f t="shared" ref="I19:N19" si="4">I9-I10-I18</f>
        <v>0</v>
      </c>
      <c r="J19" s="64">
        <f t="shared" si="4"/>
        <v>0</v>
      </c>
      <c r="K19" s="64">
        <f t="shared" si="4"/>
        <v>0</v>
      </c>
      <c r="L19" s="64">
        <f t="shared" si="4"/>
        <v>0</v>
      </c>
      <c r="M19" s="64">
        <f t="shared" si="4"/>
        <v>0</v>
      </c>
      <c r="N19" s="64">
        <f t="shared" si="4"/>
        <v>0</v>
      </c>
      <c r="O19" s="64">
        <f>O9-O10-O18</f>
        <v>0</v>
      </c>
      <c r="P19" s="64">
        <f>P9-P10-P18</f>
        <v>0</v>
      </c>
      <c r="Q19" s="64">
        <f>Q9-Q10-Q18</f>
        <v>0</v>
      </c>
      <c r="R19" s="64">
        <f>R9-R10-R18</f>
        <v>0</v>
      </c>
      <c r="S19" s="64">
        <f t="shared" si="1"/>
        <v>0</v>
      </c>
      <c r="T19" s="65"/>
    </row>
    <row r="20" spans="2:25">
      <c r="B20" s="51" t="s">
        <v>64</v>
      </c>
      <c r="C20" s="52"/>
      <c r="D20" s="53">
        <f t="shared" ref="D20:R20" si="5">D21+D42</f>
        <v>0</v>
      </c>
      <c r="E20" s="53">
        <f t="shared" si="5"/>
        <v>0</v>
      </c>
      <c r="F20" s="53">
        <f t="shared" si="5"/>
        <v>0</v>
      </c>
      <c r="G20" s="53">
        <f t="shared" si="5"/>
        <v>0</v>
      </c>
      <c r="H20" s="53">
        <f t="shared" si="5"/>
        <v>1708986.6359999999</v>
      </c>
      <c r="I20" s="53">
        <f t="shared" si="5"/>
        <v>0</v>
      </c>
      <c r="J20" s="53">
        <f t="shared" si="5"/>
        <v>0</v>
      </c>
      <c r="K20" s="53">
        <f t="shared" si="5"/>
        <v>0</v>
      </c>
      <c r="L20" s="53">
        <f>(L21+L42)</f>
        <v>0</v>
      </c>
      <c r="M20" s="53">
        <f t="shared" si="5"/>
        <v>0</v>
      </c>
      <c r="N20" s="53">
        <f t="shared" si="5"/>
        <v>0</v>
      </c>
      <c r="O20" s="53">
        <f t="shared" si="5"/>
        <v>0</v>
      </c>
      <c r="P20" s="53">
        <f t="shared" si="5"/>
        <v>0</v>
      </c>
      <c r="Q20" s="53">
        <f t="shared" si="5"/>
        <v>165000</v>
      </c>
      <c r="R20" s="53">
        <f t="shared" si="5"/>
        <v>0</v>
      </c>
      <c r="S20" s="53">
        <f>S21+S42</f>
        <v>1873986.6359999999</v>
      </c>
      <c r="T20" s="66"/>
      <c r="V20" s="47"/>
    </row>
    <row r="21" spans="2:25">
      <c r="B21" s="127"/>
      <c r="C21" s="128" t="s">
        <v>649</v>
      </c>
      <c r="D21" s="129">
        <f>SUM(D23:D38)</f>
        <v>0</v>
      </c>
      <c r="E21" s="129">
        <f>SUM(E23:E38)</f>
        <v>0</v>
      </c>
      <c r="F21" s="129">
        <f>SUM(F23:F38)</f>
        <v>0</v>
      </c>
      <c r="G21" s="129">
        <f>SUM(G22+G28)</f>
        <v>0</v>
      </c>
      <c r="H21" s="129">
        <f t="shared" ref="H21:S21" si="6">SUM(H22+H28)</f>
        <v>1708986.6359999999</v>
      </c>
      <c r="I21" s="129">
        <f t="shared" si="6"/>
        <v>0</v>
      </c>
      <c r="J21" s="129">
        <f t="shared" si="6"/>
        <v>0</v>
      </c>
      <c r="K21" s="129">
        <f t="shared" si="6"/>
        <v>0</v>
      </c>
      <c r="L21" s="129">
        <f t="shared" si="6"/>
        <v>0</v>
      </c>
      <c r="M21" s="129">
        <f t="shared" si="6"/>
        <v>0</v>
      </c>
      <c r="N21" s="129">
        <f t="shared" si="6"/>
        <v>0</v>
      </c>
      <c r="O21" s="129">
        <f t="shared" si="6"/>
        <v>0</v>
      </c>
      <c r="P21" s="129">
        <f t="shared" si="6"/>
        <v>0</v>
      </c>
      <c r="Q21" s="129">
        <f t="shared" si="6"/>
        <v>165000</v>
      </c>
      <c r="R21" s="129">
        <f t="shared" si="6"/>
        <v>0</v>
      </c>
      <c r="S21" s="129">
        <f t="shared" si="6"/>
        <v>1873986.6359999999</v>
      </c>
      <c r="T21" s="130"/>
      <c r="V21" s="47"/>
    </row>
    <row r="22" spans="2:25">
      <c r="B22" s="127"/>
      <c r="C22" s="128" t="s">
        <v>2270</v>
      </c>
      <c r="D22" s="129"/>
      <c r="E22" s="129"/>
      <c r="F22" s="129">
        <f>SUM(F23:F27)</f>
        <v>0</v>
      </c>
      <c r="G22" s="129">
        <f>SUM(G23:G27)</f>
        <v>0</v>
      </c>
      <c r="H22" s="129">
        <f t="shared" ref="H22:S22" si="7">SUM(H23:H27)</f>
        <v>0</v>
      </c>
      <c r="I22" s="129">
        <f t="shared" si="7"/>
        <v>0</v>
      </c>
      <c r="J22" s="129">
        <f t="shared" si="7"/>
        <v>0</v>
      </c>
      <c r="K22" s="129">
        <f t="shared" si="7"/>
        <v>0</v>
      </c>
      <c r="L22" s="129">
        <f t="shared" si="7"/>
        <v>0</v>
      </c>
      <c r="M22" s="129">
        <f t="shared" si="7"/>
        <v>0</v>
      </c>
      <c r="N22" s="129">
        <f t="shared" si="7"/>
        <v>0</v>
      </c>
      <c r="O22" s="129">
        <f t="shared" si="7"/>
        <v>0</v>
      </c>
      <c r="P22" s="129">
        <f t="shared" si="7"/>
        <v>0</v>
      </c>
      <c r="Q22" s="129">
        <f t="shared" si="7"/>
        <v>0</v>
      </c>
      <c r="R22" s="129">
        <f t="shared" si="7"/>
        <v>0</v>
      </c>
      <c r="S22" s="129">
        <f t="shared" si="7"/>
        <v>0</v>
      </c>
      <c r="T22" s="130"/>
      <c r="V22" s="47"/>
    </row>
    <row r="23" spans="2:25" ht="38.25">
      <c r="B23" s="41"/>
      <c r="C23" s="1192" t="s">
        <v>598</v>
      </c>
      <c r="D23" s="43"/>
      <c r="E23" s="43"/>
      <c r="F23" s="43"/>
      <c r="G23" s="43"/>
      <c r="H23" s="43"/>
      <c r="I23" s="43"/>
      <c r="J23" s="43"/>
      <c r="K23" s="43"/>
      <c r="L23" s="43"/>
      <c r="M23" s="43"/>
      <c r="N23" s="43"/>
      <c r="O23" s="43"/>
      <c r="P23" s="43"/>
      <c r="Q23" s="43"/>
      <c r="R23" s="43"/>
      <c r="S23" s="630">
        <f t="shared" ref="S23:S39" si="8">SUM(G23:R23)</f>
        <v>0</v>
      </c>
      <c r="T23" s="39"/>
    </row>
    <row r="24" spans="2:25">
      <c r="B24" s="41"/>
      <c r="C24" s="89" t="s">
        <v>65</v>
      </c>
      <c r="D24" s="43"/>
      <c r="E24" s="43"/>
      <c r="F24" s="776"/>
      <c r="G24" s="776"/>
      <c r="I24" s="43"/>
      <c r="J24" s="43"/>
      <c r="K24" s="43"/>
      <c r="L24" s="43"/>
      <c r="M24" s="43"/>
      <c r="N24" s="43"/>
      <c r="O24" s="43"/>
      <c r="P24" s="43"/>
      <c r="Q24" s="626"/>
      <c r="R24" s="43"/>
      <c r="S24" s="630">
        <f t="shared" si="8"/>
        <v>0</v>
      </c>
      <c r="T24" s="39"/>
    </row>
    <row r="25" spans="2:25">
      <c r="B25" s="41"/>
      <c r="C25" s="89" t="s">
        <v>209</v>
      </c>
      <c r="D25" s="43"/>
      <c r="E25" s="43"/>
      <c r="F25" s="44"/>
      <c r="G25" s="43"/>
      <c r="I25" s="43"/>
      <c r="J25" s="43"/>
      <c r="K25" s="43"/>
      <c r="L25" s="43"/>
      <c r="M25" s="43"/>
      <c r="N25" s="43"/>
      <c r="O25" s="43"/>
      <c r="P25" s="43"/>
      <c r="Q25" s="43"/>
      <c r="R25" s="43"/>
      <c r="S25" s="630">
        <f t="shared" si="8"/>
        <v>0</v>
      </c>
      <c r="T25" s="39"/>
    </row>
    <row r="26" spans="2:25">
      <c r="B26" s="41"/>
      <c r="C26" s="852" t="s">
        <v>2723</v>
      </c>
      <c r="D26" s="43"/>
      <c r="E26" s="43"/>
      <c r="F26" s="44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131">
        <f t="shared" si="8"/>
        <v>0</v>
      </c>
      <c r="T26" s="39"/>
      <c r="U26" s="47"/>
    </row>
    <row r="27" spans="2:25">
      <c r="B27" s="41"/>
      <c r="C27" s="852" t="s">
        <v>62</v>
      </c>
      <c r="D27" s="43"/>
      <c r="E27" s="43"/>
      <c r="F27" s="44"/>
      <c r="G27" s="43"/>
      <c r="I27" s="43"/>
      <c r="J27" s="43"/>
      <c r="K27" s="43"/>
      <c r="L27" s="58"/>
      <c r="M27" s="58"/>
      <c r="N27" s="43"/>
      <c r="O27" s="43"/>
      <c r="P27" s="43"/>
      <c r="Q27" s="43"/>
      <c r="R27" s="43"/>
      <c r="S27" s="630">
        <f>+L27+M27+N27+O27+P27+Q27+R27</f>
        <v>0</v>
      </c>
      <c r="T27" s="39"/>
    </row>
    <row r="28" spans="2:25">
      <c r="B28" s="41"/>
      <c r="C28" s="126" t="s">
        <v>2271</v>
      </c>
      <c r="D28" s="43"/>
      <c r="E28" s="43"/>
      <c r="F28" s="131">
        <f t="shared" ref="F28:K28" si="9">SUM(F29:F42)</f>
        <v>0</v>
      </c>
      <c r="G28" s="131">
        <f t="shared" si="9"/>
        <v>0</v>
      </c>
      <c r="H28" s="131">
        <f t="shared" si="9"/>
        <v>1708986.6359999999</v>
      </c>
      <c r="I28" s="131">
        <f t="shared" si="9"/>
        <v>0</v>
      </c>
      <c r="J28" s="131">
        <f t="shared" si="9"/>
        <v>0</v>
      </c>
      <c r="K28" s="131">
        <f t="shared" si="9"/>
        <v>0</v>
      </c>
      <c r="L28" s="131">
        <f t="shared" ref="L28:R28" si="10">SUM(L29:L42)</f>
        <v>0</v>
      </c>
      <c r="M28" s="131">
        <f t="shared" si="10"/>
        <v>0</v>
      </c>
      <c r="N28" s="131">
        <f t="shared" si="10"/>
        <v>0</v>
      </c>
      <c r="O28" s="131">
        <f t="shared" si="10"/>
        <v>0</v>
      </c>
      <c r="P28" s="131">
        <f t="shared" si="10"/>
        <v>0</v>
      </c>
      <c r="Q28" s="131">
        <f t="shared" si="10"/>
        <v>165000</v>
      </c>
      <c r="R28" s="131">
        <f t="shared" si="10"/>
        <v>0</v>
      </c>
      <c r="S28" s="630">
        <f>SUM(G28:R28)</f>
        <v>1873986.6359999999</v>
      </c>
      <c r="T28" s="39"/>
    </row>
    <row r="29" spans="2:25">
      <c r="B29" s="41"/>
      <c r="C29" s="89" t="s">
        <v>66</v>
      </c>
      <c r="D29" s="43"/>
      <c r="E29" s="43"/>
      <c r="F29" s="44"/>
      <c r="G29" s="598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630">
        <f t="shared" si="8"/>
        <v>0</v>
      </c>
      <c r="T29" s="39"/>
      <c r="Y29" s="46">
        <f>1067747274+785615636+236089112+410553977</f>
        <v>2500005999</v>
      </c>
    </row>
    <row r="30" spans="2:25">
      <c r="B30" s="41"/>
      <c r="C30" s="89" t="s">
        <v>136</v>
      </c>
      <c r="D30" s="43"/>
      <c r="E30" s="43"/>
      <c r="F30" s="44"/>
      <c r="G30" s="598"/>
      <c r="H30" s="43"/>
      <c r="I30" s="43"/>
      <c r="J30" s="630"/>
      <c r="K30" s="43"/>
      <c r="L30" s="43"/>
      <c r="M30" s="43"/>
      <c r="N30" s="43"/>
      <c r="O30" s="43"/>
      <c r="P30" s="43"/>
      <c r="Q30" s="43"/>
      <c r="R30" s="43"/>
      <c r="S30" s="630">
        <f t="shared" si="8"/>
        <v>0</v>
      </c>
      <c r="T30" s="39"/>
    </row>
    <row r="31" spans="2:25">
      <c r="B31" s="41"/>
      <c r="C31" s="89" t="s">
        <v>36</v>
      </c>
      <c r="D31" s="43"/>
      <c r="E31" s="43"/>
      <c r="F31" s="44"/>
      <c r="G31" s="43"/>
      <c r="H31" s="43"/>
      <c r="I31" s="43"/>
      <c r="J31" s="630"/>
      <c r="K31" s="43"/>
      <c r="L31" s="43"/>
      <c r="M31" s="43"/>
      <c r="N31" s="43"/>
      <c r="O31" s="43"/>
      <c r="P31" s="43"/>
      <c r="Q31" s="626"/>
      <c r="R31" s="43"/>
      <c r="S31" s="630">
        <f t="shared" si="8"/>
        <v>0</v>
      </c>
      <c r="T31" s="39"/>
    </row>
    <row r="32" spans="2:25">
      <c r="B32" s="41"/>
      <c r="C32" s="852" t="s">
        <v>2215</v>
      </c>
      <c r="D32" s="43"/>
      <c r="E32" s="43"/>
      <c r="F32" s="44"/>
      <c r="G32" s="43"/>
      <c r="H32" s="43"/>
      <c r="I32" s="43"/>
      <c r="J32" s="630"/>
      <c r="K32" s="43"/>
      <c r="L32" s="43"/>
      <c r="M32" s="43"/>
      <c r="N32" s="43"/>
      <c r="O32" s="43"/>
      <c r="P32" s="43"/>
      <c r="Q32" s="626"/>
      <c r="R32" s="43"/>
      <c r="S32" s="630">
        <f t="shared" si="8"/>
        <v>0</v>
      </c>
      <c r="T32" s="39"/>
    </row>
    <row r="33" spans="2:22">
      <c r="B33" s="41"/>
      <c r="C33" s="89" t="s">
        <v>135</v>
      </c>
      <c r="D33" s="43"/>
      <c r="E33" s="43"/>
      <c r="F33" s="44"/>
      <c r="G33" s="43"/>
      <c r="H33" s="43"/>
      <c r="I33" s="882"/>
      <c r="J33" s="882"/>
      <c r="K33" s="882"/>
      <c r="L33" s="882"/>
      <c r="M33" s="43"/>
      <c r="N33" s="43"/>
      <c r="O33" s="43"/>
      <c r="P33" s="43"/>
      <c r="Q33" s="626"/>
      <c r="R33" s="43"/>
      <c r="S33" s="630">
        <f t="shared" si="8"/>
        <v>0</v>
      </c>
      <c r="T33" s="39"/>
      <c r="V33" s="47"/>
    </row>
    <row r="34" spans="2:22">
      <c r="B34" s="41"/>
      <c r="C34" s="852" t="s">
        <v>2202</v>
      </c>
      <c r="D34" s="43"/>
      <c r="E34" s="43"/>
      <c r="F34" s="44"/>
      <c r="G34" s="43"/>
      <c r="H34" s="43"/>
      <c r="I34" s="882"/>
      <c r="J34" s="882"/>
      <c r="K34" s="882"/>
      <c r="L34" s="882"/>
      <c r="M34" s="43"/>
      <c r="N34" s="43"/>
      <c r="O34" s="43"/>
      <c r="P34" s="43"/>
      <c r="Q34" s="626"/>
      <c r="R34" s="43"/>
      <c r="S34" s="630">
        <f t="shared" si="8"/>
        <v>0</v>
      </c>
      <c r="T34" s="39"/>
    </row>
    <row r="35" spans="2:22">
      <c r="B35" s="41"/>
      <c r="C35" s="89" t="s">
        <v>137</v>
      </c>
      <c r="D35" s="43"/>
      <c r="E35" s="43"/>
      <c r="F35" s="44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630">
        <f t="shared" si="8"/>
        <v>0</v>
      </c>
      <c r="T35" s="39"/>
    </row>
    <row r="36" spans="2:22">
      <c r="B36" s="41"/>
      <c r="C36" s="89" t="s">
        <v>172</v>
      </c>
      <c r="D36" s="43"/>
      <c r="E36" s="43"/>
      <c r="F36" s="44"/>
      <c r="G36" s="43"/>
      <c r="H36" s="43"/>
      <c r="I36" s="43"/>
      <c r="J36" s="43"/>
      <c r="K36" s="43"/>
      <c r="L36" s="43"/>
      <c r="M36" s="43"/>
      <c r="N36" s="43"/>
      <c r="O36" s="626"/>
      <c r="P36" s="43"/>
      <c r="Q36" s="43"/>
      <c r="R36" s="43"/>
      <c r="S36" s="630">
        <f t="shared" si="8"/>
        <v>0</v>
      </c>
      <c r="T36" s="39"/>
      <c r="U36" s="47"/>
    </row>
    <row r="37" spans="2:22">
      <c r="B37" s="41"/>
      <c r="C37" s="89" t="s">
        <v>122</v>
      </c>
      <c r="D37" s="43"/>
      <c r="E37" s="43"/>
      <c r="F37" s="44"/>
      <c r="G37" s="43"/>
      <c r="H37" s="43"/>
      <c r="I37" s="43"/>
      <c r="J37" s="43"/>
      <c r="K37" s="43"/>
      <c r="L37" s="43"/>
      <c r="M37" s="43"/>
      <c r="N37" s="43"/>
      <c r="O37" s="43"/>
      <c r="P37" s="43"/>
      <c r="Q37" s="43"/>
      <c r="R37" s="43"/>
      <c r="S37" s="630">
        <f t="shared" si="8"/>
        <v>0</v>
      </c>
      <c r="T37" s="39"/>
      <c r="U37" s="47"/>
    </row>
    <row r="38" spans="2:22">
      <c r="B38" s="41"/>
      <c r="C38" s="89" t="s">
        <v>35</v>
      </c>
      <c r="D38" s="43"/>
      <c r="E38" s="43"/>
      <c r="F38" s="44"/>
      <c r="G38" s="43"/>
      <c r="H38" s="43"/>
      <c r="I38" s="43"/>
      <c r="J38" s="43"/>
      <c r="K38" s="43"/>
      <c r="L38" s="43"/>
      <c r="M38" s="43"/>
      <c r="N38" s="43"/>
      <c r="O38" s="43"/>
      <c r="P38" s="43"/>
      <c r="Q38" s="43"/>
      <c r="R38" s="43"/>
      <c r="S38" s="630">
        <f t="shared" si="8"/>
        <v>0</v>
      </c>
      <c r="T38" s="39"/>
      <c r="U38" s="47"/>
    </row>
    <row r="39" spans="2:22">
      <c r="B39" s="41"/>
      <c r="C39" s="852" t="s">
        <v>2907</v>
      </c>
      <c r="D39" s="43"/>
      <c r="E39" s="43"/>
      <c r="F39" s="44"/>
      <c r="G39" s="43"/>
      <c r="H39" s="1541">
        <v>1708986.6359999999</v>
      </c>
      <c r="I39" s="43"/>
      <c r="J39" s="43"/>
      <c r="K39" s="43"/>
      <c r="L39" s="1541"/>
      <c r="M39" s="43"/>
      <c r="N39" s="43"/>
      <c r="O39" s="43"/>
      <c r="P39" s="43"/>
      <c r="Q39" s="43"/>
      <c r="R39" s="43"/>
      <c r="S39" s="630">
        <f t="shared" si="8"/>
        <v>1708986.6359999999</v>
      </c>
      <c r="T39" s="39"/>
      <c r="U39" s="47"/>
    </row>
    <row r="40" spans="2:22">
      <c r="B40" s="41"/>
      <c r="C40" s="89" t="s">
        <v>729</v>
      </c>
      <c r="D40" s="43"/>
      <c r="E40" s="43"/>
      <c r="F40" s="44"/>
      <c r="G40" s="43"/>
      <c r="H40" s="43"/>
      <c r="I40" s="43"/>
      <c r="J40" s="43"/>
      <c r="K40" s="43"/>
      <c r="L40" s="43"/>
      <c r="M40" s="43"/>
      <c r="N40" s="43"/>
      <c r="O40" s="43"/>
      <c r="P40" s="43"/>
      <c r="Q40" s="43"/>
      <c r="R40" s="43"/>
      <c r="S40" s="630">
        <f>SUM(G40:R40)</f>
        <v>0</v>
      </c>
      <c r="T40" s="39"/>
      <c r="U40" s="47"/>
    </row>
    <row r="41" spans="2:22">
      <c r="B41" s="41"/>
      <c r="C41" s="852" t="s">
        <v>2724</v>
      </c>
      <c r="D41" s="43"/>
      <c r="E41" s="43"/>
      <c r="F41" s="44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1541">
        <v>165000</v>
      </c>
      <c r="R41" s="43"/>
      <c r="S41" s="630">
        <f>SUM(G41:R41)</f>
        <v>165000</v>
      </c>
      <c r="T41" s="39"/>
      <c r="U41" s="47"/>
    </row>
    <row r="42" spans="2:22" ht="38.25">
      <c r="B42" s="41"/>
      <c r="C42" s="1191" t="s">
        <v>1569</v>
      </c>
      <c r="D42" s="43">
        <f>SUM(D43:D47)</f>
        <v>0</v>
      </c>
      <c r="E42" s="43"/>
      <c r="F42" s="44"/>
      <c r="G42" s="131">
        <f t="shared" ref="G42:R42" si="11">SUM(G43:G47)</f>
        <v>0</v>
      </c>
      <c r="H42" s="131">
        <f t="shared" si="11"/>
        <v>0</v>
      </c>
      <c r="I42" s="131">
        <f t="shared" si="11"/>
        <v>0</v>
      </c>
      <c r="J42" s="131">
        <f t="shared" si="11"/>
        <v>0</v>
      </c>
      <c r="K42" s="131">
        <f t="shared" si="11"/>
        <v>0</v>
      </c>
      <c r="L42" s="131">
        <f t="shared" si="11"/>
        <v>0</v>
      </c>
      <c r="M42" s="131">
        <f t="shared" si="11"/>
        <v>0</v>
      </c>
      <c r="N42" s="131">
        <f t="shared" si="11"/>
        <v>0</v>
      </c>
      <c r="O42" s="131">
        <f t="shared" si="11"/>
        <v>0</v>
      </c>
      <c r="P42" s="131">
        <f t="shared" si="11"/>
        <v>0</v>
      </c>
      <c r="Q42" s="131">
        <f t="shared" si="11"/>
        <v>0</v>
      </c>
      <c r="R42" s="131">
        <f t="shared" si="11"/>
        <v>0</v>
      </c>
      <c r="S42" s="131">
        <f t="shared" ref="S42:S47" si="12">SUM(G42:R42)</f>
        <v>0</v>
      </c>
      <c r="T42" s="39"/>
    </row>
    <row r="43" spans="2:22">
      <c r="B43" s="41"/>
      <c r="C43" s="42" t="s">
        <v>68</v>
      </c>
      <c r="D43" s="43"/>
      <c r="E43" s="43"/>
      <c r="F43" s="44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3"/>
      <c r="S43" s="43">
        <f t="shared" si="12"/>
        <v>0</v>
      </c>
      <c r="T43" s="39"/>
      <c r="U43" s="47"/>
    </row>
    <row r="44" spans="2:22">
      <c r="B44" s="41"/>
      <c r="C44" s="89" t="s">
        <v>66</v>
      </c>
      <c r="D44" s="43"/>
      <c r="E44" s="43"/>
      <c r="F44" s="44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>
        <f t="shared" si="12"/>
        <v>0</v>
      </c>
      <c r="T44" s="39"/>
      <c r="U44" s="47"/>
    </row>
    <row r="45" spans="2:22">
      <c r="B45" s="41"/>
      <c r="C45" s="89" t="s">
        <v>136</v>
      </c>
      <c r="D45" s="43"/>
      <c r="E45" s="43"/>
      <c r="F45" s="44"/>
      <c r="G45" s="43"/>
      <c r="H45" s="43"/>
      <c r="I45" s="43"/>
      <c r="J45" s="43"/>
      <c r="K45" s="43"/>
      <c r="L45" s="43"/>
      <c r="M45" s="43"/>
      <c r="N45" s="43"/>
      <c r="O45" s="43"/>
      <c r="P45" s="43"/>
      <c r="Q45" s="43"/>
      <c r="R45" s="43"/>
      <c r="S45" s="43">
        <f t="shared" si="12"/>
        <v>0</v>
      </c>
      <c r="T45" s="39"/>
      <c r="U45" s="47"/>
    </row>
    <row r="46" spans="2:22">
      <c r="B46" s="41"/>
      <c r="C46" s="42" t="s">
        <v>69</v>
      </c>
      <c r="D46" s="43"/>
      <c r="E46" s="43"/>
      <c r="F46" s="44"/>
      <c r="G46" s="43"/>
      <c r="H46" s="43"/>
      <c r="I46" s="43"/>
      <c r="J46" s="43"/>
      <c r="K46" s="43"/>
      <c r="L46" s="43"/>
      <c r="M46" s="43"/>
      <c r="N46" s="43"/>
      <c r="O46" s="43"/>
      <c r="P46" s="43"/>
      <c r="Q46" s="43"/>
      <c r="R46" s="43"/>
      <c r="S46" s="43">
        <f t="shared" si="12"/>
        <v>0</v>
      </c>
      <c r="T46" s="39"/>
      <c r="U46" s="47"/>
    </row>
    <row r="47" spans="2:22">
      <c r="B47" s="41"/>
      <c r="C47" s="89" t="s">
        <v>509</v>
      </c>
      <c r="D47" s="43"/>
      <c r="E47" s="43"/>
      <c r="F47" s="44"/>
      <c r="G47" s="43"/>
      <c r="H47" s="630"/>
      <c r="I47" s="43"/>
      <c r="J47" s="43"/>
      <c r="K47" s="43"/>
      <c r="L47" s="719"/>
      <c r="M47" s="43"/>
      <c r="N47" s="43"/>
      <c r="O47" s="43"/>
      <c r="P47" s="43"/>
      <c r="Q47" s="43"/>
      <c r="R47" s="43"/>
      <c r="S47" s="43">
        <f t="shared" si="12"/>
        <v>0</v>
      </c>
      <c r="T47" s="39"/>
    </row>
    <row r="48" spans="2:22">
      <c r="B48" s="67" t="s">
        <v>208</v>
      </c>
      <c r="C48" s="68"/>
      <c r="D48" s="69">
        <f t="shared" ref="D48:R48" si="13">D9+D20</f>
        <v>0</v>
      </c>
      <c r="E48" s="69">
        <f t="shared" si="13"/>
        <v>0</v>
      </c>
      <c r="F48" s="70">
        <f t="shared" si="13"/>
        <v>0</v>
      </c>
      <c r="G48" s="70">
        <f t="shared" si="13"/>
        <v>0</v>
      </c>
      <c r="H48" s="70">
        <f t="shared" si="13"/>
        <v>1708986.6359999999</v>
      </c>
      <c r="I48" s="70">
        <f t="shared" si="13"/>
        <v>0</v>
      </c>
      <c r="J48" s="70">
        <f t="shared" si="13"/>
        <v>0</v>
      </c>
      <c r="K48" s="70">
        <f t="shared" si="13"/>
        <v>0</v>
      </c>
      <c r="L48" s="70">
        <f t="shared" si="13"/>
        <v>0</v>
      </c>
      <c r="M48" s="70">
        <f t="shared" si="13"/>
        <v>0</v>
      </c>
      <c r="N48" s="70">
        <f t="shared" si="13"/>
        <v>0</v>
      </c>
      <c r="O48" s="70">
        <f t="shared" si="13"/>
        <v>0</v>
      </c>
      <c r="P48" s="70">
        <f t="shared" si="13"/>
        <v>0</v>
      </c>
      <c r="Q48" s="70">
        <f t="shared" si="13"/>
        <v>165000</v>
      </c>
      <c r="R48" s="70">
        <f t="shared" si="13"/>
        <v>0</v>
      </c>
      <c r="S48" s="70">
        <f>SUM(G48:R48)</f>
        <v>1873986.6359999999</v>
      </c>
      <c r="T48" s="71"/>
    </row>
    <row r="49" spans="2:19">
      <c r="B49" s="72" t="s">
        <v>70</v>
      </c>
      <c r="C49" s="73"/>
      <c r="D49" s="74"/>
      <c r="E49" s="74"/>
      <c r="F49" s="74"/>
      <c r="G49" s="75"/>
      <c r="H49" s="75"/>
      <c r="I49" s="75"/>
      <c r="J49" s="75"/>
      <c r="K49" s="75"/>
      <c r="L49" s="75"/>
      <c r="M49" s="76"/>
      <c r="N49" s="76"/>
      <c r="O49" s="76"/>
      <c r="P49" s="76"/>
      <c r="Q49" s="76"/>
      <c r="R49" s="76"/>
      <c r="S49" s="75"/>
    </row>
    <row r="50" spans="2:19">
      <c r="B50" s="77"/>
      <c r="C50" s="78" t="s">
        <v>71</v>
      </c>
      <c r="D50" s="79"/>
      <c r="E50" s="79"/>
      <c r="F50" s="79"/>
      <c r="G50" s="65"/>
      <c r="H50" s="65"/>
      <c r="I50" s="65"/>
      <c r="J50" s="65"/>
      <c r="K50" s="65"/>
      <c r="L50" s="65"/>
      <c r="M50" s="62"/>
      <c r="N50" s="62"/>
      <c r="O50" s="62"/>
      <c r="P50" s="62"/>
      <c r="Q50" s="62"/>
      <c r="R50" s="65"/>
      <c r="S50" s="65"/>
    </row>
    <row r="51" spans="2:19">
      <c r="B51" s="80" t="s">
        <v>72</v>
      </c>
      <c r="C51" s="68"/>
      <c r="D51" s="70">
        <f>D50-D48</f>
        <v>0</v>
      </c>
      <c r="E51" s="70">
        <f>E50-E48</f>
        <v>0</v>
      </c>
      <c r="F51" s="70">
        <f>F50-F48</f>
        <v>0</v>
      </c>
      <c r="G51" s="81"/>
      <c r="H51" s="81"/>
      <c r="I51" s="81"/>
      <c r="J51" s="81"/>
      <c r="K51" s="81"/>
      <c r="L51" s="81"/>
      <c r="M51" s="49"/>
      <c r="N51" s="49"/>
      <c r="O51" s="49"/>
      <c r="P51" s="49"/>
      <c r="Q51" s="49"/>
      <c r="R51" s="81"/>
      <c r="S51" s="81"/>
    </row>
    <row r="52" spans="2:19">
      <c r="B52" s="82"/>
      <c r="E52" s="83"/>
      <c r="F52" s="83"/>
      <c r="G52" s="83"/>
      <c r="H52" s="83"/>
      <c r="I52" s="83"/>
      <c r="J52" s="83"/>
      <c r="K52" s="83"/>
      <c r="L52" s="83"/>
      <c r="R52" s="83"/>
      <c r="S52" s="83"/>
    </row>
    <row r="53" spans="2:19">
      <c r="B53" s="82"/>
      <c r="E53" s="83"/>
      <c r="F53" s="83"/>
      <c r="G53" s="83"/>
      <c r="H53" s="83"/>
      <c r="I53" s="83"/>
      <c r="J53" s="83"/>
      <c r="K53" s="83"/>
      <c r="L53" s="83"/>
      <c r="M53" s="83"/>
      <c r="S53" s="83"/>
    </row>
    <row r="54" spans="2:19">
      <c r="C54" s="87" t="s">
        <v>79</v>
      </c>
      <c r="M54" s="83"/>
      <c r="P54" s="46" t="s">
        <v>73</v>
      </c>
    </row>
    <row r="55" spans="2:19">
      <c r="C55" s="46" t="s">
        <v>74</v>
      </c>
      <c r="M55" s="83"/>
    </row>
    <row r="57" spans="2:19" ht="38.25" customHeight="1">
      <c r="B57" s="48"/>
      <c r="C57" s="49"/>
      <c r="D57" s="88" t="s">
        <v>80</v>
      </c>
      <c r="E57" s="88" t="s">
        <v>1110</v>
      </c>
      <c r="F57" s="50" t="s">
        <v>75</v>
      </c>
      <c r="G57" s="50" t="s">
        <v>45</v>
      </c>
      <c r="H57" s="50" t="s">
        <v>46</v>
      </c>
      <c r="I57" s="50" t="s">
        <v>47</v>
      </c>
      <c r="J57" s="50" t="s">
        <v>48</v>
      </c>
      <c r="K57" s="50" t="s">
        <v>49</v>
      </c>
      <c r="L57" s="50" t="s">
        <v>50</v>
      </c>
      <c r="M57" s="50" t="s">
        <v>51</v>
      </c>
      <c r="N57" s="50" t="s">
        <v>52</v>
      </c>
      <c r="O57" s="50" t="s">
        <v>53</v>
      </c>
      <c r="P57" s="50" t="s">
        <v>54</v>
      </c>
      <c r="Q57" s="50" t="s">
        <v>55</v>
      </c>
      <c r="R57" s="50" t="s">
        <v>56</v>
      </c>
      <c r="S57" s="90" t="s">
        <v>1571</v>
      </c>
    </row>
    <row r="58" spans="2:19">
      <c r="B58" s="51" t="s">
        <v>58</v>
      </c>
      <c r="C58" s="52"/>
      <c r="D58" s="66">
        <f>D9</f>
        <v>0</v>
      </c>
      <c r="E58" s="66">
        <f>E9</f>
        <v>0</v>
      </c>
      <c r="F58" s="55">
        <f>F9</f>
        <v>0</v>
      </c>
      <c r="G58" s="55">
        <f>+G59+G67</f>
        <v>0</v>
      </c>
      <c r="H58" s="55">
        <f t="shared" ref="H58:R58" si="14">+H59+H67</f>
        <v>0</v>
      </c>
      <c r="I58" s="55">
        <f t="shared" si="14"/>
        <v>0</v>
      </c>
      <c r="J58" s="55">
        <f t="shared" si="14"/>
        <v>0</v>
      </c>
      <c r="K58" s="55">
        <f t="shared" si="14"/>
        <v>0</v>
      </c>
      <c r="L58" s="55">
        <f t="shared" si="14"/>
        <v>0</v>
      </c>
      <c r="M58" s="55">
        <f t="shared" si="14"/>
        <v>0</v>
      </c>
      <c r="N58" s="55">
        <f t="shared" si="14"/>
        <v>0</v>
      </c>
      <c r="O58" s="55">
        <f t="shared" si="14"/>
        <v>0</v>
      </c>
      <c r="P58" s="55">
        <f t="shared" si="14"/>
        <v>0</v>
      </c>
      <c r="Q58" s="55">
        <f t="shared" si="14"/>
        <v>0</v>
      </c>
      <c r="R58" s="55">
        <f t="shared" si="14"/>
        <v>0</v>
      </c>
      <c r="S58" s="55">
        <f>+S59+S63</f>
        <v>0</v>
      </c>
    </row>
    <row r="59" spans="2:19">
      <c r="B59" s="41"/>
      <c r="C59" s="42" t="s">
        <v>224</v>
      </c>
      <c r="D59" s="42">
        <f>D60</f>
        <v>0</v>
      </c>
      <c r="E59" s="42">
        <f>E60</f>
        <v>0</v>
      </c>
      <c r="F59" s="42">
        <f>F60</f>
        <v>0</v>
      </c>
      <c r="G59" s="44">
        <f>+G60</f>
        <v>0</v>
      </c>
      <c r="H59" s="44">
        <f t="shared" ref="H59:R59" si="15">+H60</f>
        <v>0</v>
      </c>
      <c r="I59" s="44">
        <f t="shared" si="15"/>
        <v>0</v>
      </c>
      <c r="J59" s="44">
        <f t="shared" si="15"/>
        <v>0</v>
      </c>
      <c r="K59" s="44">
        <f t="shared" si="15"/>
        <v>0</v>
      </c>
      <c r="L59" s="44">
        <f t="shared" si="15"/>
        <v>0</v>
      </c>
      <c r="M59" s="44">
        <f t="shared" si="15"/>
        <v>0</v>
      </c>
      <c r="N59" s="44">
        <f t="shared" si="15"/>
        <v>0</v>
      </c>
      <c r="O59" s="44">
        <f t="shared" si="15"/>
        <v>0</v>
      </c>
      <c r="P59" s="44">
        <f t="shared" si="15"/>
        <v>0</v>
      </c>
      <c r="Q59" s="44">
        <f t="shared" si="15"/>
        <v>0</v>
      </c>
      <c r="R59" s="44">
        <f t="shared" si="15"/>
        <v>0</v>
      </c>
      <c r="S59" s="47">
        <f>+R59</f>
        <v>0</v>
      </c>
    </row>
    <row r="60" spans="2:19">
      <c r="B60" s="41"/>
      <c r="C60" s="42" t="s">
        <v>59</v>
      </c>
      <c r="D60" s="44">
        <f>D11</f>
        <v>0</v>
      </c>
      <c r="E60" s="44">
        <f>E11</f>
        <v>0</v>
      </c>
      <c r="F60" s="44">
        <f>F11</f>
        <v>0</v>
      </c>
      <c r="G60" s="44">
        <f>G11</f>
        <v>0</v>
      </c>
      <c r="H60" s="44">
        <f t="shared" ref="H60:R60" si="16">H11</f>
        <v>0</v>
      </c>
      <c r="I60" s="44">
        <f t="shared" si="16"/>
        <v>0</v>
      </c>
      <c r="J60" s="44">
        <f t="shared" si="16"/>
        <v>0</v>
      </c>
      <c r="K60" s="44">
        <f t="shared" si="16"/>
        <v>0</v>
      </c>
      <c r="L60" s="44">
        <f t="shared" si="16"/>
        <v>0</v>
      </c>
      <c r="M60" s="44">
        <f t="shared" si="16"/>
        <v>0</v>
      </c>
      <c r="N60" s="44">
        <f t="shared" si="16"/>
        <v>0</v>
      </c>
      <c r="O60" s="44">
        <f t="shared" si="16"/>
        <v>0</v>
      </c>
      <c r="P60" s="44">
        <f t="shared" si="16"/>
        <v>0</v>
      </c>
      <c r="Q60" s="44">
        <f t="shared" si="16"/>
        <v>0</v>
      </c>
      <c r="R60" s="44">
        <f t="shared" si="16"/>
        <v>0</v>
      </c>
      <c r="S60" s="47">
        <f>+R60</f>
        <v>0</v>
      </c>
    </row>
    <row r="61" spans="2:19">
      <c r="B61" s="41"/>
      <c r="C61" s="42" t="s">
        <v>76</v>
      </c>
      <c r="D61" s="42"/>
      <c r="E61" s="42"/>
      <c r="F61" s="42"/>
      <c r="G61" s="44">
        <f>+G62</f>
        <v>0</v>
      </c>
      <c r="H61" s="44">
        <f t="shared" ref="H61:R61" si="17">+H62</f>
        <v>0</v>
      </c>
      <c r="I61" s="44">
        <f t="shared" si="17"/>
        <v>0</v>
      </c>
      <c r="J61" s="44">
        <f t="shared" si="17"/>
        <v>0</v>
      </c>
      <c r="K61" s="44">
        <f t="shared" si="17"/>
        <v>0</v>
      </c>
      <c r="L61" s="44">
        <f t="shared" si="17"/>
        <v>0</v>
      </c>
      <c r="M61" s="44">
        <f t="shared" si="17"/>
        <v>0</v>
      </c>
      <c r="N61" s="44">
        <f t="shared" si="17"/>
        <v>0</v>
      </c>
      <c r="O61" s="44">
        <f t="shared" si="17"/>
        <v>0</v>
      </c>
      <c r="P61" s="44">
        <f t="shared" si="17"/>
        <v>0</v>
      </c>
      <c r="Q61" s="44">
        <f t="shared" si="17"/>
        <v>0</v>
      </c>
      <c r="R61" s="44">
        <f t="shared" si="17"/>
        <v>0</v>
      </c>
      <c r="S61" s="47">
        <f>+R61</f>
        <v>0</v>
      </c>
    </row>
    <row r="62" spans="2:19">
      <c r="B62" s="41"/>
      <c r="C62" s="89" t="s">
        <v>61</v>
      </c>
      <c r="D62" s="44">
        <f t="shared" ref="D62:G63" si="18">D13</f>
        <v>0</v>
      </c>
      <c r="E62" s="44">
        <f t="shared" si="18"/>
        <v>0</v>
      </c>
      <c r="F62" s="44">
        <f t="shared" si="18"/>
        <v>0</v>
      </c>
      <c r="G62" s="44">
        <f t="shared" si="18"/>
        <v>0</v>
      </c>
      <c r="H62" s="44">
        <f t="shared" ref="H62:R62" si="19">H13</f>
        <v>0</v>
      </c>
      <c r="I62" s="44">
        <f t="shared" si="19"/>
        <v>0</v>
      </c>
      <c r="J62" s="44">
        <f t="shared" si="19"/>
        <v>0</v>
      </c>
      <c r="K62" s="44">
        <f t="shared" si="19"/>
        <v>0</v>
      </c>
      <c r="L62" s="44">
        <f t="shared" si="19"/>
        <v>0</v>
      </c>
      <c r="M62" s="44">
        <f t="shared" si="19"/>
        <v>0</v>
      </c>
      <c r="N62" s="44">
        <f t="shared" si="19"/>
        <v>0</v>
      </c>
      <c r="O62" s="44">
        <f t="shared" si="19"/>
        <v>0</v>
      </c>
      <c r="P62" s="44">
        <f t="shared" si="19"/>
        <v>0</v>
      </c>
      <c r="Q62" s="44">
        <f t="shared" si="19"/>
        <v>0</v>
      </c>
      <c r="R62" s="44">
        <f t="shared" si="19"/>
        <v>0</v>
      </c>
      <c r="S62" s="47">
        <f>+R62</f>
        <v>0</v>
      </c>
    </row>
    <row r="63" spans="2:19">
      <c r="B63" s="56"/>
      <c r="C63" s="57" t="s">
        <v>62</v>
      </c>
      <c r="D63" s="59">
        <f t="shared" si="18"/>
        <v>0</v>
      </c>
      <c r="E63" s="59">
        <f t="shared" si="18"/>
        <v>0</v>
      </c>
      <c r="F63" s="59">
        <f t="shared" si="18"/>
        <v>0</v>
      </c>
      <c r="G63" s="59">
        <f t="shared" si="18"/>
        <v>0</v>
      </c>
      <c r="H63" s="59">
        <f t="shared" ref="H63:R63" si="20">H14</f>
        <v>0</v>
      </c>
      <c r="I63" s="59">
        <f t="shared" si="20"/>
        <v>0</v>
      </c>
      <c r="J63" s="59">
        <f t="shared" si="20"/>
        <v>0</v>
      </c>
      <c r="K63" s="59">
        <f t="shared" si="20"/>
        <v>0</v>
      </c>
      <c r="L63" s="59">
        <f t="shared" si="20"/>
        <v>0</v>
      </c>
      <c r="M63" s="59">
        <f t="shared" si="20"/>
        <v>0</v>
      </c>
      <c r="N63" s="59">
        <f t="shared" si="20"/>
        <v>0</v>
      </c>
      <c r="O63" s="59">
        <f t="shared" si="20"/>
        <v>0</v>
      </c>
      <c r="P63" s="59">
        <f t="shared" si="20"/>
        <v>0</v>
      </c>
      <c r="Q63" s="59">
        <f t="shared" si="20"/>
        <v>0</v>
      </c>
      <c r="R63" s="59">
        <f t="shared" si="20"/>
        <v>0</v>
      </c>
      <c r="S63" s="47">
        <f>+R63</f>
        <v>0</v>
      </c>
    </row>
    <row r="64" spans="2:19">
      <c r="B64" s="41"/>
      <c r="C64" s="89" t="s">
        <v>484</v>
      </c>
      <c r="D64" s="44"/>
      <c r="E64" s="44"/>
      <c r="F64" s="44"/>
      <c r="G64" s="44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</row>
    <row r="65" spans="2:19">
      <c r="B65" s="41"/>
      <c r="C65" s="89" t="s">
        <v>485</v>
      </c>
      <c r="D65" s="44"/>
      <c r="E65" s="44"/>
      <c r="F65" s="44"/>
      <c r="G65" s="44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</row>
    <row r="66" spans="2:19">
      <c r="B66" s="41"/>
      <c r="C66" s="89" t="s">
        <v>1080</v>
      </c>
      <c r="D66" s="44"/>
      <c r="E66" s="44"/>
      <c r="F66" s="44"/>
      <c r="G66" s="44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</row>
    <row r="67" spans="2:19">
      <c r="B67" s="61" t="s">
        <v>63</v>
      </c>
      <c r="C67" s="62"/>
      <c r="D67" s="64">
        <f t="shared" ref="D67:F68" si="21">D19</f>
        <v>0</v>
      </c>
      <c r="E67" s="64">
        <f t="shared" si="21"/>
        <v>0</v>
      </c>
      <c r="F67" s="64">
        <f t="shared" si="21"/>
        <v>0</v>
      </c>
      <c r="G67" s="64">
        <f>SUM(G62:G65)</f>
        <v>0</v>
      </c>
      <c r="H67" s="64">
        <f t="shared" ref="H67:R67" si="22">SUM(H62:H65)</f>
        <v>0</v>
      </c>
      <c r="I67" s="64">
        <f t="shared" si="22"/>
        <v>0</v>
      </c>
      <c r="J67" s="64">
        <f t="shared" si="22"/>
        <v>0</v>
      </c>
      <c r="K67" s="64">
        <f t="shared" si="22"/>
        <v>0</v>
      </c>
      <c r="L67" s="64">
        <f t="shared" si="22"/>
        <v>0</v>
      </c>
      <c r="M67" s="64">
        <f t="shared" si="22"/>
        <v>0</v>
      </c>
      <c r="N67" s="64">
        <f t="shared" si="22"/>
        <v>0</v>
      </c>
      <c r="O67" s="64">
        <f t="shared" si="22"/>
        <v>0</v>
      </c>
      <c r="P67" s="64">
        <f t="shared" si="22"/>
        <v>0</v>
      </c>
      <c r="Q67" s="64">
        <f t="shared" si="22"/>
        <v>0</v>
      </c>
      <c r="R67" s="64">
        <f t="shared" si="22"/>
        <v>0</v>
      </c>
    </row>
    <row r="68" spans="2:19">
      <c r="B68" s="51" t="s">
        <v>64</v>
      </c>
      <c r="C68" s="52"/>
      <c r="D68" s="66">
        <f t="shared" si="21"/>
        <v>0</v>
      </c>
      <c r="E68" s="66">
        <f t="shared" si="21"/>
        <v>0</v>
      </c>
      <c r="F68" s="66">
        <f t="shared" si="21"/>
        <v>0</v>
      </c>
      <c r="G68" s="66">
        <f>G20</f>
        <v>0</v>
      </c>
      <c r="H68" s="66">
        <f t="shared" ref="H68:R68" si="23">G68+H20</f>
        <v>1708986.6359999999</v>
      </c>
      <c r="I68" s="66">
        <f t="shared" si="23"/>
        <v>1708986.6359999999</v>
      </c>
      <c r="J68" s="66">
        <f t="shared" si="23"/>
        <v>1708986.6359999999</v>
      </c>
      <c r="K68" s="66">
        <f t="shared" si="23"/>
        <v>1708986.6359999999</v>
      </c>
      <c r="L68" s="66">
        <f t="shared" si="23"/>
        <v>1708986.6359999999</v>
      </c>
      <c r="M68" s="66">
        <f t="shared" si="23"/>
        <v>1708986.6359999999</v>
      </c>
      <c r="N68" s="66">
        <f t="shared" si="23"/>
        <v>1708986.6359999999</v>
      </c>
      <c r="O68" s="66">
        <f t="shared" si="23"/>
        <v>1708986.6359999999</v>
      </c>
      <c r="P68" s="66">
        <f t="shared" si="23"/>
        <v>1708986.6359999999</v>
      </c>
      <c r="Q68" s="66">
        <f t="shared" si="23"/>
        <v>1873986.6359999999</v>
      </c>
      <c r="R68" s="66">
        <f t="shared" si="23"/>
        <v>1873986.6359999999</v>
      </c>
      <c r="S68" s="657">
        <f>+S69+S82</f>
        <v>0</v>
      </c>
    </row>
    <row r="69" spans="2:19">
      <c r="B69" s="127"/>
      <c r="C69" s="128" t="s">
        <v>649</v>
      </c>
      <c r="D69" s="130"/>
      <c r="E69" s="130"/>
      <c r="F69" s="586"/>
      <c r="G69" s="130">
        <f>F69+G21</f>
        <v>0</v>
      </c>
      <c r="H69" s="130">
        <f t="shared" ref="H69:R69" si="24">G69+H21</f>
        <v>1708986.6359999999</v>
      </c>
      <c r="I69" s="130">
        <f t="shared" si="24"/>
        <v>1708986.6359999999</v>
      </c>
      <c r="J69" s="130">
        <f t="shared" si="24"/>
        <v>1708986.6359999999</v>
      </c>
      <c r="K69" s="130">
        <f t="shared" si="24"/>
        <v>1708986.6359999999</v>
      </c>
      <c r="L69" s="130">
        <f t="shared" si="24"/>
        <v>1708986.6359999999</v>
      </c>
      <c r="M69" s="130">
        <f t="shared" si="24"/>
        <v>1708986.6359999999</v>
      </c>
      <c r="N69" s="130">
        <f t="shared" si="24"/>
        <v>1708986.6359999999</v>
      </c>
      <c r="O69" s="130">
        <f t="shared" si="24"/>
        <v>1708986.6359999999</v>
      </c>
      <c r="P69" s="130">
        <f t="shared" si="24"/>
        <v>1708986.6359999999</v>
      </c>
      <c r="Q69" s="130">
        <f t="shared" si="24"/>
        <v>1873986.6359999999</v>
      </c>
      <c r="R69" s="130">
        <f t="shared" si="24"/>
        <v>1873986.6359999999</v>
      </c>
      <c r="S69" s="657">
        <f>SUM(S70:S80)</f>
        <v>0</v>
      </c>
    </row>
    <row r="70" spans="2:19">
      <c r="B70" s="127"/>
      <c r="C70" s="89" t="s">
        <v>173</v>
      </c>
      <c r="D70" s="130"/>
      <c r="E70" s="130"/>
      <c r="F70" s="586"/>
      <c r="G70" s="39">
        <f t="shared" ref="G70:R70" si="25">+G24+F70</f>
        <v>0</v>
      </c>
      <c r="H70" s="39">
        <f t="shared" si="25"/>
        <v>0</v>
      </c>
      <c r="I70" s="39">
        <f t="shared" si="25"/>
        <v>0</v>
      </c>
      <c r="J70" s="39">
        <f t="shared" si="25"/>
        <v>0</v>
      </c>
      <c r="K70" s="39">
        <f t="shared" si="25"/>
        <v>0</v>
      </c>
      <c r="L70" s="39">
        <f t="shared" si="25"/>
        <v>0</v>
      </c>
      <c r="M70" s="39">
        <f t="shared" si="25"/>
        <v>0</v>
      </c>
      <c r="N70" s="39">
        <f t="shared" si="25"/>
        <v>0</v>
      </c>
      <c r="O70" s="39">
        <f t="shared" si="25"/>
        <v>0</v>
      </c>
      <c r="P70" s="39">
        <f t="shared" si="25"/>
        <v>0</v>
      </c>
      <c r="Q70" s="39">
        <f t="shared" si="25"/>
        <v>0</v>
      </c>
      <c r="R70" s="39">
        <f t="shared" si="25"/>
        <v>0</v>
      </c>
      <c r="S70" s="47">
        <f t="shared" ref="S70:S87" si="26">+R70</f>
        <v>0</v>
      </c>
    </row>
    <row r="71" spans="2:19">
      <c r="B71" s="41"/>
      <c r="C71" s="42" t="s">
        <v>65</v>
      </c>
      <c r="D71" s="39">
        <f>D23</f>
        <v>0</v>
      </c>
      <c r="E71" s="39">
        <f>E23</f>
        <v>0</v>
      </c>
      <c r="F71" s="45">
        <f>F23</f>
        <v>0</v>
      </c>
      <c r="G71" s="39">
        <f t="shared" ref="G71:R71" si="27">+G25+F71</f>
        <v>0</v>
      </c>
      <c r="H71" s="39">
        <f t="shared" si="27"/>
        <v>0</v>
      </c>
      <c r="I71" s="39">
        <f t="shared" si="27"/>
        <v>0</v>
      </c>
      <c r="J71" s="39">
        <f t="shared" si="27"/>
        <v>0</v>
      </c>
      <c r="K71" s="39">
        <f t="shared" si="27"/>
        <v>0</v>
      </c>
      <c r="L71" s="39">
        <f>+L23+K71</f>
        <v>0</v>
      </c>
      <c r="M71" s="39">
        <f t="shared" si="27"/>
        <v>0</v>
      </c>
      <c r="N71" s="39">
        <f t="shared" si="27"/>
        <v>0</v>
      </c>
      <c r="O71" s="39">
        <f t="shared" si="27"/>
        <v>0</v>
      </c>
      <c r="P71" s="39">
        <f t="shared" si="27"/>
        <v>0</v>
      </c>
      <c r="Q71" s="39">
        <f t="shared" si="27"/>
        <v>0</v>
      </c>
      <c r="R71" s="39">
        <f t="shared" si="27"/>
        <v>0</v>
      </c>
      <c r="S71" s="47">
        <f t="shared" si="26"/>
        <v>0</v>
      </c>
    </row>
    <row r="72" spans="2:19">
      <c r="B72" s="41"/>
      <c r="C72" s="89" t="s">
        <v>209</v>
      </c>
      <c r="D72" s="39"/>
      <c r="E72" s="39"/>
      <c r="F72" s="45"/>
      <c r="G72" s="39">
        <f>+G25+F72</f>
        <v>0</v>
      </c>
      <c r="H72" s="39">
        <f t="shared" ref="H72:R72" si="28">+H25+G72</f>
        <v>0</v>
      </c>
      <c r="I72" s="39">
        <f t="shared" si="28"/>
        <v>0</v>
      </c>
      <c r="J72" s="39">
        <f t="shared" si="28"/>
        <v>0</v>
      </c>
      <c r="K72" s="39">
        <f t="shared" si="28"/>
        <v>0</v>
      </c>
      <c r="L72" s="39">
        <f>+L23+K72</f>
        <v>0</v>
      </c>
      <c r="M72" s="39">
        <f t="shared" si="28"/>
        <v>0</v>
      </c>
      <c r="N72" s="39">
        <f t="shared" si="28"/>
        <v>0</v>
      </c>
      <c r="O72" s="39">
        <f t="shared" si="28"/>
        <v>0</v>
      </c>
      <c r="P72" s="39">
        <f t="shared" si="28"/>
        <v>0</v>
      </c>
      <c r="Q72" s="39">
        <f t="shared" si="28"/>
        <v>0</v>
      </c>
      <c r="R72" s="39">
        <f t="shared" si="28"/>
        <v>0</v>
      </c>
      <c r="S72" s="47">
        <f t="shared" si="26"/>
        <v>0</v>
      </c>
    </row>
    <row r="73" spans="2:19">
      <c r="B73" s="41"/>
      <c r="C73" s="89" t="s">
        <v>609</v>
      </c>
      <c r="D73" s="39">
        <f>D25</f>
        <v>0</v>
      </c>
      <c r="E73" s="39">
        <f>E25</f>
        <v>0</v>
      </c>
      <c r="F73" s="45">
        <f>F25</f>
        <v>0</v>
      </c>
      <c r="G73" s="39">
        <f>+G26+F73</f>
        <v>0</v>
      </c>
      <c r="H73" s="39">
        <f t="shared" ref="H73:R73" si="29">+H26+G73</f>
        <v>0</v>
      </c>
      <c r="I73" s="39">
        <f t="shared" si="29"/>
        <v>0</v>
      </c>
      <c r="J73" s="39">
        <f t="shared" si="29"/>
        <v>0</v>
      </c>
      <c r="K73" s="39">
        <f t="shared" si="29"/>
        <v>0</v>
      </c>
      <c r="L73" s="39">
        <f t="shared" si="29"/>
        <v>0</v>
      </c>
      <c r="M73" s="39">
        <f t="shared" si="29"/>
        <v>0</v>
      </c>
      <c r="N73" s="39">
        <f t="shared" si="29"/>
        <v>0</v>
      </c>
      <c r="O73" s="39">
        <f t="shared" si="29"/>
        <v>0</v>
      </c>
      <c r="P73" s="39">
        <f t="shared" si="29"/>
        <v>0</v>
      </c>
      <c r="Q73" s="39">
        <f t="shared" si="29"/>
        <v>0</v>
      </c>
      <c r="R73" s="39">
        <f t="shared" si="29"/>
        <v>0</v>
      </c>
      <c r="S73" s="47">
        <f t="shared" si="26"/>
        <v>0</v>
      </c>
    </row>
    <row r="74" spans="2:19">
      <c r="B74" s="41"/>
      <c r="C74" s="42" t="s">
        <v>77</v>
      </c>
      <c r="D74" s="39">
        <f t="shared" ref="D74:F75" si="30">D29</f>
        <v>0</v>
      </c>
      <c r="E74" s="39">
        <f t="shared" si="30"/>
        <v>0</v>
      </c>
      <c r="F74" s="45">
        <f t="shared" si="30"/>
        <v>0</v>
      </c>
      <c r="G74" s="39">
        <f t="shared" ref="G74:R74" si="31">+G29+F74</f>
        <v>0</v>
      </c>
      <c r="H74" s="39">
        <f t="shared" si="31"/>
        <v>0</v>
      </c>
      <c r="I74" s="39">
        <f t="shared" si="31"/>
        <v>0</v>
      </c>
      <c r="J74" s="39">
        <f t="shared" si="31"/>
        <v>0</v>
      </c>
      <c r="K74" s="39">
        <f t="shared" si="31"/>
        <v>0</v>
      </c>
      <c r="L74" s="39">
        <f t="shared" si="31"/>
        <v>0</v>
      </c>
      <c r="M74" s="39">
        <f t="shared" si="31"/>
        <v>0</v>
      </c>
      <c r="N74" s="39">
        <f t="shared" si="31"/>
        <v>0</v>
      </c>
      <c r="O74" s="39">
        <f t="shared" si="31"/>
        <v>0</v>
      </c>
      <c r="P74" s="39">
        <f t="shared" si="31"/>
        <v>0</v>
      </c>
      <c r="Q74" s="39">
        <f t="shared" si="31"/>
        <v>0</v>
      </c>
      <c r="R74" s="39">
        <f t="shared" si="31"/>
        <v>0</v>
      </c>
      <c r="S74" s="47">
        <f t="shared" si="26"/>
        <v>0</v>
      </c>
    </row>
    <row r="75" spans="2:19">
      <c r="B75" s="41"/>
      <c r="C75" s="89" t="s">
        <v>136</v>
      </c>
      <c r="D75" s="39">
        <f t="shared" si="30"/>
        <v>0</v>
      </c>
      <c r="E75" s="39">
        <f t="shared" si="30"/>
        <v>0</v>
      </c>
      <c r="F75" s="45">
        <f t="shared" si="30"/>
        <v>0</v>
      </c>
      <c r="G75" s="39">
        <f t="shared" ref="G75:R75" si="32">+G30+F75</f>
        <v>0</v>
      </c>
      <c r="H75" s="39">
        <f t="shared" si="32"/>
        <v>0</v>
      </c>
      <c r="I75" s="39">
        <f t="shared" si="32"/>
        <v>0</v>
      </c>
      <c r="J75" s="39">
        <f t="shared" si="32"/>
        <v>0</v>
      </c>
      <c r="K75" s="39">
        <f t="shared" si="32"/>
        <v>0</v>
      </c>
      <c r="L75" s="39">
        <f t="shared" si="32"/>
        <v>0</v>
      </c>
      <c r="M75" s="39">
        <f t="shared" si="32"/>
        <v>0</v>
      </c>
      <c r="N75" s="39">
        <f t="shared" si="32"/>
        <v>0</v>
      </c>
      <c r="O75" s="39">
        <f t="shared" si="32"/>
        <v>0</v>
      </c>
      <c r="P75" s="39">
        <f t="shared" si="32"/>
        <v>0</v>
      </c>
      <c r="Q75" s="39">
        <f t="shared" si="32"/>
        <v>0</v>
      </c>
      <c r="R75" s="39">
        <f t="shared" si="32"/>
        <v>0</v>
      </c>
      <c r="S75" s="47">
        <f t="shared" si="26"/>
        <v>0</v>
      </c>
    </row>
    <row r="76" spans="2:19">
      <c r="B76" s="41"/>
      <c r="C76" s="89" t="s">
        <v>36</v>
      </c>
      <c r="D76" s="39">
        <f t="shared" ref="D76:R76" si="33">D31</f>
        <v>0</v>
      </c>
      <c r="E76" s="39">
        <f t="shared" si="33"/>
        <v>0</v>
      </c>
      <c r="F76" s="39">
        <f t="shared" si="33"/>
        <v>0</v>
      </c>
      <c r="G76" s="39">
        <f t="shared" si="33"/>
        <v>0</v>
      </c>
      <c r="H76" s="39">
        <f t="shared" si="33"/>
        <v>0</v>
      </c>
      <c r="I76" s="39">
        <f t="shared" si="33"/>
        <v>0</v>
      </c>
      <c r="J76" s="39">
        <f t="shared" si="33"/>
        <v>0</v>
      </c>
      <c r="K76" s="39">
        <f t="shared" si="33"/>
        <v>0</v>
      </c>
      <c r="L76" s="39">
        <f t="shared" si="33"/>
        <v>0</v>
      </c>
      <c r="M76" s="39">
        <f t="shared" si="33"/>
        <v>0</v>
      </c>
      <c r="N76" s="39">
        <f t="shared" si="33"/>
        <v>0</v>
      </c>
      <c r="O76" s="39">
        <f t="shared" si="33"/>
        <v>0</v>
      </c>
      <c r="P76" s="39">
        <f t="shared" si="33"/>
        <v>0</v>
      </c>
      <c r="Q76" s="39">
        <f t="shared" si="33"/>
        <v>0</v>
      </c>
      <c r="R76" s="39">
        <f t="shared" si="33"/>
        <v>0</v>
      </c>
      <c r="S76" s="47">
        <f t="shared" si="26"/>
        <v>0</v>
      </c>
    </row>
    <row r="77" spans="2:19">
      <c r="B77" s="41"/>
      <c r="C77" s="89" t="s">
        <v>135</v>
      </c>
      <c r="D77" s="39">
        <f>D33</f>
        <v>0</v>
      </c>
      <c r="E77" s="39">
        <f>E33</f>
        <v>0</v>
      </c>
      <c r="F77" s="45">
        <f>F33</f>
        <v>0</v>
      </c>
      <c r="G77" s="39">
        <f t="shared" ref="G77:R77" si="34">+G33+F77</f>
        <v>0</v>
      </c>
      <c r="H77" s="39">
        <f t="shared" si="34"/>
        <v>0</v>
      </c>
      <c r="I77" s="39">
        <f t="shared" si="34"/>
        <v>0</v>
      </c>
      <c r="J77" s="39">
        <f t="shared" si="34"/>
        <v>0</v>
      </c>
      <c r="K77" s="39">
        <f t="shared" si="34"/>
        <v>0</v>
      </c>
      <c r="L77" s="39">
        <f t="shared" si="34"/>
        <v>0</v>
      </c>
      <c r="M77" s="39">
        <f t="shared" si="34"/>
        <v>0</v>
      </c>
      <c r="N77" s="39">
        <f t="shared" si="34"/>
        <v>0</v>
      </c>
      <c r="O77" s="39">
        <f t="shared" si="34"/>
        <v>0</v>
      </c>
      <c r="P77" s="39">
        <f t="shared" si="34"/>
        <v>0</v>
      </c>
      <c r="Q77" s="39">
        <f t="shared" si="34"/>
        <v>0</v>
      </c>
      <c r="R77" s="39">
        <f t="shared" si="34"/>
        <v>0</v>
      </c>
      <c r="S77" s="47">
        <f t="shared" si="26"/>
        <v>0</v>
      </c>
    </row>
    <row r="78" spans="2:19">
      <c r="B78" s="41"/>
      <c r="C78" s="89" t="s">
        <v>137</v>
      </c>
      <c r="D78" s="39">
        <f t="shared" ref="D78:F79" si="35">D35</f>
        <v>0</v>
      </c>
      <c r="E78" s="39">
        <f t="shared" si="35"/>
        <v>0</v>
      </c>
      <c r="F78" s="45">
        <f t="shared" si="35"/>
        <v>0</v>
      </c>
      <c r="G78" s="39">
        <f t="shared" ref="G78:R78" si="36">+G35+F78</f>
        <v>0</v>
      </c>
      <c r="H78" s="39">
        <f t="shared" si="36"/>
        <v>0</v>
      </c>
      <c r="I78" s="39">
        <f t="shared" si="36"/>
        <v>0</v>
      </c>
      <c r="J78" s="39">
        <f t="shared" si="36"/>
        <v>0</v>
      </c>
      <c r="K78" s="39">
        <f t="shared" si="36"/>
        <v>0</v>
      </c>
      <c r="L78" s="39">
        <f t="shared" si="36"/>
        <v>0</v>
      </c>
      <c r="M78" s="39">
        <f t="shared" si="36"/>
        <v>0</v>
      </c>
      <c r="N78" s="39">
        <f t="shared" si="36"/>
        <v>0</v>
      </c>
      <c r="O78" s="39">
        <f t="shared" si="36"/>
        <v>0</v>
      </c>
      <c r="P78" s="39">
        <f t="shared" si="36"/>
        <v>0</v>
      </c>
      <c r="Q78" s="39">
        <f t="shared" si="36"/>
        <v>0</v>
      </c>
      <c r="R78" s="39">
        <f t="shared" si="36"/>
        <v>0</v>
      </c>
      <c r="S78" s="47">
        <f t="shared" si="26"/>
        <v>0</v>
      </c>
    </row>
    <row r="79" spans="2:19">
      <c r="B79" s="41"/>
      <c r="C79" s="89" t="s">
        <v>172</v>
      </c>
      <c r="D79" s="39">
        <f t="shared" si="35"/>
        <v>0</v>
      </c>
      <c r="E79" s="39">
        <f t="shared" si="35"/>
        <v>0</v>
      </c>
      <c r="F79" s="45">
        <f t="shared" si="35"/>
        <v>0</v>
      </c>
      <c r="G79" s="39">
        <f t="shared" ref="G79:R79" si="37">+G36+F79</f>
        <v>0</v>
      </c>
      <c r="H79" s="39">
        <f t="shared" si="37"/>
        <v>0</v>
      </c>
      <c r="I79" s="39">
        <f t="shared" si="37"/>
        <v>0</v>
      </c>
      <c r="J79" s="39">
        <f t="shared" si="37"/>
        <v>0</v>
      </c>
      <c r="K79" s="39">
        <f t="shared" si="37"/>
        <v>0</v>
      </c>
      <c r="L79" s="39">
        <f t="shared" si="37"/>
        <v>0</v>
      </c>
      <c r="M79" s="39">
        <f t="shared" si="37"/>
        <v>0</v>
      </c>
      <c r="N79" s="39">
        <f t="shared" si="37"/>
        <v>0</v>
      </c>
      <c r="O79" s="39">
        <f t="shared" si="37"/>
        <v>0</v>
      </c>
      <c r="P79" s="39">
        <f t="shared" si="37"/>
        <v>0</v>
      </c>
      <c r="Q79" s="39">
        <f t="shared" si="37"/>
        <v>0</v>
      </c>
      <c r="R79" s="39">
        <f t="shared" si="37"/>
        <v>0</v>
      </c>
      <c r="S79" s="47">
        <f t="shared" si="26"/>
        <v>0</v>
      </c>
    </row>
    <row r="80" spans="2:19">
      <c r="B80" s="41"/>
      <c r="C80" s="89" t="s">
        <v>122</v>
      </c>
      <c r="D80" s="39">
        <f t="shared" ref="D80:F81" si="38">D42</f>
        <v>0</v>
      </c>
      <c r="E80" s="39">
        <f t="shared" si="38"/>
        <v>0</v>
      </c>
      <c r="F80" s="45">
        <f t="shared" si="38"/>
        <v>0</v>
      </c>
      <c r="G80" s="39">
        <f t="shared" ref="G80:R80" si="39">+G37+F80</f>
        <v>0</v>
      </c>
      <c r="H80" s="39">
        <f t="shared" si="39"/>
        <v>0</v>
      </c>
      <c r="I80" s="39">
        <f t="shared" si="39"/>
        <v>0</v>
      </c>
      <c r="J80" s="39">
        <f t="shared" si="39"/>
        <v>0</v>
      </c>
      <c r="K80" s="39">
        <f t="shared" si="39"/>
        <v>0</v>
      </c>
      <c r="L80" s="39">
        <f t="shared" si="39"/>
        <v>0</v>
      </c>
      <c r="M80" s="39">
        <f t="shared" si="39"/>
        <v>0</v>
      </c>
      <c r="N80" s="39">
        <f t="shared" si="39"/>
        <v>0</v>
      </c>
      <c r="O80" s="39">
        <f t="shared" si="39"/>
        <v>0</v>
      </c>
      <c r="P80" s="39">
        <f t="shared" si="39"/>
        <v>0</v>
      </c>
      <c r="Q80" s="39">
        <f t="shared" si="39"/>
        <v>0</v>
      </c>
      <c r="R80" s="39">
        <f t="shared" si="39"/>
        <v>0</v>
      </c>
      <c r="S80" s="47">
        <f t="shared" si="26"/>
        <v>0</v>
      </c>
    </row>
    <row r="81" spans="2:19">
      <c r="B81" s="41"/>
      <c r="C81" s="89" t="s">
        <v>35</v>
      </c>
      <c r="D81" s="39">
        <f t="shared" si="38"/>
        <v>0</v>
      </c>
      <c r="E81" s="39">
        <f t="shared" si="38"/>
        <v>0</v>
      </c>
      <c r="F81" s="45">
        <f t="shared" si="38"/>
        <v>0</v>
      </c>
      <c r="G81" s="39">
        <f t="shared" ref="G81:R81" si="40">+G38+F81</f>
        <v>0</v>
      </c>
      <c r="H81" s="39">
        <f t="shared" si="40"/>
        <v>0</v>
      </c>
      <c r="I81" s="39">
        <f t="shared" si="40"/>
        <v>0</v>
      </c>
      <c r="J81" s="39">
        <f t="shared" si="40"/>
        <v>0</v>
      </c>
      <c r="K81" s="39">
        <f t="shared" si="40"/>
        <v>0</v>
      </c>
      <c r="L81" s="39">
        <f t="shared" si="40"/>
        <v>0</v>
      </c>
      <c r="M81" s="39">
        <f t="shared" si="40"/>
        <v>0</v>
      </c>
      <c r="N81" s="39">
        <f t="shared" si="40"/>
        <v>0</v>
      </c>
      <c r="O81" s="39">
        <f t="shared" si="40"/>
        <v>0</v>
      </c>
      <c r="P81" s="39">
        <f t="shared" si="40"/>
        <v>0</v>
      </c>
      <c r="Q81" s="39">
        <f t="shared" si="40"/>
        <v>0</v>
      </c>
      <c r="R81" s="39">
        <f t="shared" si="40"/>
        <v>0</v>
      </c>
      <c r="S81" s="47">
        <f t="shared" si="26"/>
        <v>0</v>
      </c>
    </row>
    <row r="82" spans="2:19">
      <c r="B82" s="41"/>
      <c r="C82" s="126" t="s">
        <v>1569</v>
      </c>
      <c r="D82" s="39">
        <f t="shared" ref="D82:F84" si="41">D43</f>
        <v>0</v>
      </c>
      <c r="E82" s="39">
        <f t="shared" si="41"/>
        <v>0</v>
      </c>
      <c r="F82" s="45">
        <f t="shared" si="41"/>
        <v>0</v>
      </c>
      <c r="G82" s="39">
        <f t="shared" ref="G82:G88" si="42">G42</f>
        <v>0</v>
      </c>
      <c r="H82" s="39">
        <f t="shared" ref="H82:H87" si="43">+H42+G42</f>
        <v>0</v>
      </c>
      <c r="I82" s="39">
        <f>+I42+H82</f>
        <v>0</v>
      </c>
      <c r="J82" s="39">
        <f t="shared" ref="J82:R82" si="44">+J42+I82</f>
        <v>0</v>
      </c>
      <c r="K82" s="39">
        <f t="shared" si="44"/>
        <v>0</v>
      </c>
      <c r="L82" s="39">
        <f t="shared" si="44"/>
        <v>0</v>
      </c>
      <c r="M82" s="39">
        <f t="shared" si="44"/>
        <v>0</v>
      </c>
      <c r="N82" s="39">
        <f t="shared" si="44"/>
        <v>0</v>
      </c>
      <c r="O82" s="39">
        <f t="shared" si="44"/>
        <v>0</v>
      </c>
      <c r="P82" s="39">
        <f t="shared" si="44"/>
        <v>0</v>
      </c>
      <c r="Q82" s="39">
        <f t="shared" si="44"/>
        <v>0</v>
      </c>
      <c r="R82" s="39">
        <f t="shared" si="44"/>
        <v>0</v>
      </c>
      <c r="S82" s="47">
        <f>SUM(S83:S87)</f>
        <v>0</v>
      </c>
    </row>
    <row r="83" spans="2:19">
      <c r="B83" s="41"/>
      <c r="C83" s="42" t="s">
        <v>68</v>
      </c>
      <c r="D83" s="39">
        <f t="shared" si="41"/>
        <v>0</v>
      </c>
      <c r="E83" s="39">
        <f t="shared" si="41"/>
        <v>0</v>
      </c>
      <c r="F83" s="45">
        <f t="shared" si="41"/>
        <v>0</v>
      </c>
      <c r="G83" s="39">
        <f t="shared" si="42"/>
        <v>0</v>
      </c>
      <c r="H83" s="39">
        <f t="shared" si="43"/>
        <v>0</v>
      </c>
      <c r="I83" s="39">
        <f>+I43+H83</f>
        <v>0</v>
      </c>
      <c r="J83" s="39">
        <f t="shared" ref="J83:R83" si="45">+J43+I83</f>
        <v>0</v>
      </c>
      <c r="K83" s="39">
        <f t="shared" si="45"/>
        <v>0</v>
      </c>
      <c r="L83" s="39">
        <f t="shared" si="45"/>
        <v>0</v>
      </c>
      <c r="M83" s="39">
        <f t="shared" si="45"/>
        <v>0</v>
      </c>
      <c r="N83" s="39">
        <f t="shared" si="45"/>
        <v>0</v>
      </c>
      <c r="O83" s="39">
        <f t="shared" si="45"/>
        <v>0</v>
      </c>
      <c r="P83" s="39">
        <f t="shared" si="45"/>
        <v>0</v>
      </c>
      <c r="Q83" s="39">
        <f t="shared" si="45"/>
        <v>0</v>
      </c>
      <c r="R83" s="39">
        <f t="shared" si="45"/>
        <v>0</v>
      </c>
      <c r="S83" s="47">
        <f t="shared" si="26"/>
        <v>0</v>
      </c>
    </row>
    <row r="84" spans="2:19">
      <c r="B84" s="41"/>
      <c r="C84" s="89" t="s">
        <v>66</v>
      </c>
      <c r="D84" s="39">
        <f t="shared" si="41"/>
        <v>0</v>
      </c>
      <c r="E84" s="39">
        <f t="shared" si="41"/>
        <v>0</v>
      </c>
      <c r="F84" s="45">
        <f t="shared" si="41"/>
        <v>0</v>
      </c>
      <c r="G84" s="39">
        <f t="shared" si="42"/>
        <v>0</v>
      </c>
      <c r="H84" s="39">
        <f t="shared" si="43"/>
        <v>0</v>
      </c>
      <c r="I84" s="39">
        <f>+I44+H84</f>
        <v>0</v>
      </c>
      <c r="J84" s="39">
        <f t="shared" ref="J84:R84" si="46">+J44+I84</f>
        <v>0</v>
      </c>
      <c r="K84" s="39">
        <f t="shared" si="46"/>
        <v>0</v>
      </c>
      <c r="L84" s="39">
        <f t="shared" si="46"/>
        <v>0</v>
      </c>
      <c r="M84" s="39">
        <f t="shared" si="46"/>
        <v>0</v>
      </c>
      <c r="N84" s="39">
        <f t="shared" si="46"/>
        <v>0</v>
      </c>
      <c r="O84" s="39">
        <f t="shared" si="46"/>
        <v>0</v>
      </c>
      <c r="P84" s="39">
        <f t="shared" si="46"/>
        <v>0</v>
      </c>
      <c r="Q84" s="39">
        <f t="shared" si="46"/>
        <v>0</v>
      </c>
      <c r="R84" s="39">
        <f t="shared" si="46"/>
        <v>0</v>
      </c>
      <c r="S84" s="47">
        <f t="shared" si="26"/>
        <v>0</v>
      </c>
    </row>
    <row r="85" spans="2:19">
      <c r="B85" s="41"/>
      <c r="C85" s="89" t="s">
        <v>136</v>
      </c>
      <c r="D85" s="39">
        <f t="shared" ref="D85:F86" si="47">D47</f>
        <v>0</v>
      </c>
      <c r="E85" s="39">
        <f t="shared" si="47"/>
        <v>0</v>
      </c>
      <c r="F85" s="45">
        <f t="shared" si="47"/>
        <v>0</v>
      </c>
      <c r="G85" s="39">
        <f t="shared" si="42"/>
        <v>0</v>
      </c>
      <c r="H85" s="39">
        <f t="shared" si="43"/>
        <v>0</v>
      </c>
      <c r="I85" s="39">
        <f>+I45+H85</f>
        <v>0</v>
      </c>
      <c r="J85" s="39">
        <f t="shared" ref="J85:R85" si="48">+J45+I85</f>
        <v>0</v>
      </c>
      <c r="K85" s="39">
        <f t="shared" si="48"/>
        <v>0</v>
      </c>
      <c r="L85" s="39">
        <f t="shared" si="48"/>
        <v>0</v>
      </c>
      <c r="M85" s="39">
        <f t="shared" si="48"/>
        <v>0</v>
      </c>
      <c r="N85" s="39">
        <f t="shared" si="48"/>
        <v>0</v>
      </c>
      <c r="O85" s="39">
        <f t="shared" si="48"/>
        <v>0</v>
      </c>
      <c r="P85" s="39">
        <f t="shared" si="48"/>
        <v>0</v>
      </c>
      <c r="Q85" s="39">
        <f t="shared" si="48"/>
        <v>0</v>
      </c>
      <c r="R85" s="39">
        <f t="shared" si="48"/>
        <v>0</v>
      </c>
      <c r="S85" s="47">
        <f t="shared" si="26"/>
        <v>0</v>
      </c>
    </row>
    <row r="86" spans="2:19">
      <c r="B86" s="61"/>
      <c r="C86" s="42" t="s">
        <v>69</v>
      </c>
      <c r="D86" s="39">
        <f t="shared" si="47"/>
        <v>0</v>
      </c>
      <c r="E86" s="39">
        <f t="shared" si="47"/>
        <v>0</v>
      </c>
      <c r="F86" s="39">
        <f t="shared" si="47"/>
        <v>0</v>
      </c>
      <c r="G86" s="39">
        <f t="shared" si="42"/>
        <v>0</v>
      </c>
      <c r="H86" s="39">
        <f t="shared" si="43"/>
        <v>0</v>
      </c>
      <c r="I86" s="39">
        <f t="shared" ref="I86:R86" si="49">+I46+H86</f>
        <v>0</v>
      </c>
      <c r="J86" s="39">
        <f t="shared" si="49"/>
        <v>0</v>
      </c>
      <c r="K86" s="39">
        <f t="shared" si="49"/>
        <v>0</v>
      </c>
      <c r="L86" s="39">
        <f t="shared" si="49"/>
        <v>0</v>
      </c>
      <c r="M86" s="39">
        <f t="shared" si="49"/>
        <v>0</v>
      </c>
      <c r="N86" s="39">
        <f t="shared" si="49"/>
        <v>0</v>
      </c>
      <c r="O86" s="39">
        <f t="shared" si="49"/>
        <v>0</v>
      </c>
      <c r="P86" s="39">
        <f t="shared" si="49"/>
        <v>0</v>
      </c>
      <c r="Q86" s="39">
        <f t="shared" si="49"/>
        <v>0</v>
      </c>
      <c r="R86" s="39">
        <f t="shared" si="49"/>
        <v>0</v>
      </c>
      <c r="S86" s="47">
        <f t="shared" si="26"/>
        <v>0</v>
      </c>
    </row>
    <row r="87" spans="2:19">
      <c r="B87" s="41"/>
      <c r="C87" s="89" t="s">
        <v>251</v>
      </c>
      <c r="D87" s="39"/>
      <c r="E87" s="39"/>
      <c r="F87" s="65"/>
      <c r="G87" s="39">
        <f t="shared" si="42"/>
        <v>0</v>
      </c>
      <c r="H87" s="39">
        <f t="shared" si="43"/>
        <v>0</v>
      </c>
      <c r="I87" s="39">
        <f t="shared" ref="I87:R87" si="50">+I47+H87</f>
        <v>0</v>
      </c>
      <c r="J87" s="39">
        <f t="shared" si="50"/>
        <v>0</v>
      </c>
      <c r="K87" s="39">
        <f t="shared" si="50"/>
        <v>0</v>
      </c>
      <c r="L87" s="39">
        <f t="shared" si="50"/>
        <v>0</v>
      </c>
      <c r="M87" s="39">
        <f t="shared" si="50"/>
        <v>0</v>
      </c>
      <c r="N87" s="39">
        <f t="shared" si="50"/>
        <v>0</v>
      </c>
      <c r="O87" s="39">
        <f t="shared" si="50"/>
        <v>0</v>
      </c>
      <c r="P87" s="39">
        <f t="shared" si="50"/>
        <v>0</v>
      </c>
      <c r="Q87" s="39">
        <f t="shared" si="50"/>
        <v>0</v>
      </c>
      <c r="R87" s="39">
        <f t="shared" si="50"/>
        <v>0</v>
      </c>
      <c r="S87" s="47">
        <f t="shared" si="26"/>
        <v>0</v>
      </c>
    </row>
    <row r="88" spans="2:19" ht="13.5" thickBot="1">
      <c r="B88" s="587"/>
      <c r="C88" s="588" t="s">
        <v>208</v>
      </c>
      <c r="D88" s="84">
        <f>D48</f>
        <v>0</v>
      </c>
      <c r="E88" s="84">
        <f>E48</f>
        <v>0</v>
      </c>
      <c r="F88" s="71">
        <f>F48</f>
        <v>0</v>
      </c>
      <c r="G88" s="71">
        <f t="shared" si="42"/>
        <v>0</v>
      </c>
      <c r="H88" s="71">
        <f t="shared" ref="H88:R88" si="51">G88+H48</f>
        <v>1708986.6359999999</v>
      </c>
      <c r="I88" s="71">
        <f t="shared" si="51"/>
        <v>1708986.6359999999</v>
      </c>
      <c r="J88" s="71">
        <f t="shared" si="51"/>
        <v>1708986.6359999999</v>
      </c>
      <c r="K88" s="71">
        <f t="shared" si="51"/>
        <v>1708986.6359999999</v>
      </c>
      <c r="L88" s="71">
        <f t="shared" si="51"/>
        <v>1708986.6359999999</v>
      </c>
      <c r="M88" s="71">
        <f t="shared" si="51"/>
        <v>1708986.6359999999</v>
      </c>
      <c r="N88" s="71">
        <f t="shared" si="51"/>
        <v>1708986.6359999999</v>
      </c>
      <c r="O88" s="71">
        <f t="shared" si="51"/>
        <v>1708986.6359999999</v>
      </c>
      <c r="P88" s="71">
        <f t="shared" si="51"/>
        <v>1708986.6359999999</v>
      </c>
      <c r="Q88" s="71">
        <f t="shared" si="51"/>
        <v>1873986.6359999999</v>
      </c>
      <c r="R88" s="71">
        <f t="shared" si="51"/>
        <v>1873986.6359999999</v>
      </c>
      <c r="S88" s="71">
        <f>+R88</f>
        <v>1873986.6359999999</v>
      </c>
    </row>
    <row r="89" spans="2:19">
      <c r="F89" s="83"/>
    </row>
    <row r="90" spans="2:19">
      <c r="R90" s="83"/>
    </row>
    <row r="95" spans="2:19">
      <c r="C95" s="85"/>
      <c r="D95" s="85"/>
      <c r="E95" s="86"/>
    </row>
    <row r="96" spans="2:19">
      <c r="C96" s="85"/>
      <c r="D96" s="85"/>
      <c r="E96" s="86"/>
    </row>
    <row r="97" spans="3:5">
      <c r="C97" s="85"/>
      <c r="D97" s="85"/>
      <c r="E97" s="86"/>
    </row>
    <row r="98" spans="3:5">
      <c r="C98" s="85"/>
      <c r="D98" s="85"/>
      <c r="E98" s="86"/>
    </row>
    <row r="99" spans="3:5">
      <c r="E99" s="86"/>
    </row>
  </sheetData>
  <phoneticPr fontId="6" type="noConversion"/>
  <printOptions horizontalCentered="1"/>
  <pageMargins left="0.23622047244094491" right="0.19685039370078741" top="0.55118110236220474" bottom="0.98425196850393704" header="0.51181102362204722" footer="0.51181102362204722"/>
  <pageSetup paperSize="9" scale="75" firstPageNumber="9" orientation="landscape" useFirstPageNumber="1" horizontalDpi="4294967292" verticalDpi="4294967292" r:id="rId1"/>
  <headerFooter alignWithMargins="0">
    <oddHeader>&amp;L&amp;"Arial,Negrito"&amp;14Ministère de l'Economie et des Finances &amp;C&amp;"Arial,Negrito"&amp;14Tableau N°Mobilisation de dons et prêts  Budgetaire(en milliers de F/CFA)&amp;R</oddHeader>
    <oddFooter>&amp;L&amp;F&amp;CPage &amp;P&amp;R&amp;D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3"/>
  <dimension ref="A1:T87"/>
  <sheetViews>
    <sheetView zoomScale="90" zoomScaleNormal="90" zoomScaleSheetLayoutView="100" workbookViewId="0">
      <pane xSplit="1" ySplit="4" topLeftCell="C28" activePane="bottomRight" state="frozen"/>
      <selection pane="topRight" activeCell="B1" sqref="B1"/>
      <selection pane="bottomLeft" activeCell="A5" sqref="A5"/>
      <selection pane="bottomRight" activeCell="C11" sqref="C11"/>
    </sheetView>
  </sheetViews>
  <sheetFormatPr defaultRowHeight="12.75"/>
  <cols>
    <col min="1" max="1" width="22.85546875" customWidth="1"/>
    <col min="2" max="2" width="14.85546875" customWidth="1"/>
    <col min="3" max="3" width="13.28515625" customWidth="1"/>
    <col min="4" max="4" width="12.5703125" customWidth="1"/>
    <col min="5" max="5" width="13.7109375" customWidth="1"/>
    <col min="6" max="6" width="12.7109375" customWidth="1"/>
    <col min="7" max="7" width="13" customWidth="1"/>
    <col min="8" max="8" width="13.42578125" customWidth="1"/>
    <col min="9" max="9" width="11.5703125" customWidth="1"/>
    <col min="10" max="10" width="13.42578125" customWidth="1"/>
    <col min="11" max="11" width="14.7109375" customWidth="1"/>
    <col min="12" max="12" width="13.5703125" bestFit="1" customWidth="1"/>
    <col min="13" max="13" width="14.140625" customWidth="1"/>
    <col min="14" max="14" width="14.85546875" customWidth="1"/>
    <col min="15" max="15" width="14" customWidth="1"/>
    <col min="17" max="17" width="10.7109375" bestFit="1" customWidth="1"/>
    <col min="19" max="19" width="31.7109375" customWidth="1"/>
    <col min="20" max="20" width="17.7109375" customWidth="1"/>
  </cols>
  <sheetData>
    <row r="1" spans="1:20" hidden="1">
      <c r="F1">
        <f>1350+750</f>
        <v>2100</v>
      </c>
    </row>
    <row r="2" spans="1:20" ht="18" hidden="1">
      <c r="A2" s="749"/>
      <c r="B2" s="750">
        <v>43435</v>
      </c>
      <c r="C2" s="750">
        <v>43466</v>
      </c>
      <c r="D2" s="750">
        <v>43497</v>
      </c>
      <c r="E2" s="750">
        <v>43525</v>
      </c>
      <c r="F2" s="750">
        <v>43556</v>
      </c>
      <c r="G2" s="750">
        <v>43586</v>
      </c>
      <c r="H2" s="750">
        <v>43617</v>
      </c>
      <c r="I2" s="750">
        <v>43647</v>
      </c>
      <c r="J2" s="750">
        <v>43678</v>
      </c>
      <c r="K2" s="750">
        <v>43709</v>
      </c>
      <c r="L2" s="750">
        <v>43739</v>
      </c>
      <c r="M2" s="750">
        <v>43770</v>
      </c>
      <c r="N2" s="750">
        <v>43800</v>
      </c>
      <c r="O2" s="751" t="s">
        <v>322</v>
      </c>
      <c r="T2" s="582"/>
    </row>
    <row r="3" spans="1:20" ht="15" hidden="1" customHeight="1">
      <c r="A3" s="171" t="s">
        <v>1373</v>
      </c>
      <c r="B3" s="172"/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651"/>
    </row>
    <row r="4" spans="1:20" ht="15" hidden="1" customHeight="1">
      <c r="A4" s="171" t="s">
        <v>1370</v>
      </c>
      <c r="B4" s="625">
        <f>SUM(B5:B10)</f>
        <v>0</v>
      </c>
      <c r="C4" s="625">
        <f t="shared" ref="C4:N4" si="0">SUM(C5:C10)</f>
        <v>0</v>
      </c>
      <c r="D4" s="625">
        <f t="shared" si="0"/>
        <v>0</v>
      </c>
      <c r="E4" s="625">
        <f t="shared" si="0"/>
        <v>0</v>
      </c>
      <c r="F4" s="625">
        <f t="shared" si="0"/>
        <v>0</v>
      </c>
      <c r="G4" s="625">
        <f t="shared" si="0"/>
        <v>0</v>
      </c>
      <c r="H4" s="625">
        <f t="shared" si="0"/>
        <v>0</v>
      </c>
      <c r="I4" s="625">
        <f t="shared" si="0"/>
        <v>0</v>
      </c>
      <c r="J4" s="625">
        <f t="shared" si="0"/>
        <v>0</v>
      </c>
      <c r="K4" s="625">
        <f t="shared" si="0"/>
        <v>0</v>
      </c>
      <c r="L4" s="625">
        <f t="shared" si="0"/>
        <v>0</v>
      </c>
      <c r="M4" s="625">
        <f t="shared" si="0"/>
        <v>0</v>
      </c>
      <c r="N4" s="625">
        <f t="shared" si="0"/>
        <v>0</v>
      </c>
      <c r="O4" s="625">
        <f>SUM(O5:O10)</f>
        <v>0</v>
      </c>
    </row>
    <row r="5" spans="1:20" ht="15" hidden="1" customHeight="1">
      <c r="A5" s="572" t="s">
        <v>1080</v>
      </c>
      <c r="B5" s="688"/>
      <c r="C5" s="688"/>
      <c r="D5" s="688"/>
      <c r="E5" s="688"/>
      <c r="F5" s="688"/>
      <c r="G5" s="688"/>
      <c r="H5" s="688"/>
      <c r="I5" s="570"/>
      <c r="J5" s="570"/>
      <c r="K5" s="570"/>
      <c r="L5" s="570"/>
      <c r="M5" s="570"/>
      <c r="N5" s="570"/>
      <c r="O5" s="570">
        <f>SUM(C5:N5)</f>
        <v>0</v>
      </c>
    </row>
    <row r="6" spans="1:20" ht="15" hidden="1" customHeight="1">
      <c r="A6" s="572" t="s">
        <v>1371</v>
      </c>
      <c r="B6" s="686"/>
      <c r="C6" s="686"/>
      <c r="D6" s="686"/>
      <c r="E6" s="686"/>
      <c r="F6" s="686"/>
      <c r="G6" s="686"/>
      <c r="H6" s="686"/>
      <c r="I6" s="686"/>
      <c r="J6" s="686"/>
      <c r="K6" s="686"/>
      <c r="L6" s="570"/>
      <c r="M6" s="570"/>
      <c r="N6" s="570"/>
      <c r="O6" s="570">
        <f t="shared" ref="O6:O26" si="1">SUM(C6:N6)</f>
        <v>0</v>
      </c>
    </row>
    <row r="7" spans="1:20" ht="15" hidden="1" customHeight="1">
      <c r="A7" s="572" t="s">
        <v>896</v>
      </c>
      <c r="B7" s="688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1"/>
        <v>0</v>
      </c>
    </row>
    <row r="8" spans="1:20" ht="15" hidden="1" customHeight="1">
      <c r="A8" s="585" t="s">
        <v>484</v>
      </c>
      <c r="B8" s="688"/>
      <c r="C8" s="688"/>
      <c r="D8" s="688"/>
      <c r="E8" s="688"/>
      <c r="F8" s="688"/>
      <c r="G8" s="688"/>
      <c r="H8" s="570"/>
      <c r="I8" s="570"/>
      <c r="J8" s="570"/>
      <c r="K8" s="570"/>
      <c r="L8" s="570"/>
      <c r="M8" s="570"/>
      <c r="N8" s="570"/>
      <c r="O8" s="570">
        <f t="shared" si="1"/>
        <v>0</v>
      </c>
    </row>
    <row r="9" spans="1:20" ht="15" hidden="1" customHeight="1">
      <c r="A9" s="585" t="s">
        <v>868</v>
      </c>
      <c r="B9" s="688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1"/>
        <v>0</v>
      </c>
    </row>
    <row r="10" spans="1:20" ht="15" hidden="1" customHeight="1">
      <c r="A10" s="656" t="s">
        <v>285</v>
      </c>
      <c r="B10" s="688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1"/>
        <v>0</v>
      </c>
    </row>
    <row r="11" spans="1:20" ht="15" hidden="1" customHeight="1">
      <c r="A11" s="171" t="s">
        <v>1372</v>
      </c>
      <c r="B11" s="172"/>
      <c r="C11" s="625">
        <f>SUM(C12:C20)</f>
        <v>0</v>
      </c>
      <c r="D11" s="625">
        <f t="shared" ref="D11:N11" si="2">SUM(D12:D20)</f>
        <v>0</v>
      </c>
      <c r="E11" s="625">
        <f t="shared" si="2"/>
        <v>0</v>
      </c>
      <c r="F11" s="625">
        <f>SUM(F12:F19)</f>
        <v>0</v>
      </c>
      <c r="G11" s="625">
        <f t="shared" si="2"/>
        <v>0</v>
      </c>
      <c r="H11" s="625">
        <f t="shared" si="2"/>
        <v>0</v>
      </c>
      <c r="I11" s="625">
        <f t="shared" si="2"/>
        <v>0</v>
      </c>
      <c r="J11" s="625">
        <f t="shared" si="2"/>
        <v>0</v>
      </c>
      <c r="K11" s="625">
        <f t="shared" si="2"/>
        <v>0</v>
      </c>
      <c r="L11" s="625">
        <f t="shared" si="2"/>
        <v>0</v>
      </c>
      <c r="M11" s="625">
        <f t="shared" si="2"/>
        <v>0</v>
      </c>
      <c r="N11" s="625">
        <f t="shared" si="2"/>
        <v>0</v>
      </c>
      <c r="O11" s="625">
        <f>SUM(O12:O20)</f>
        <v>0</v>
      </c>
    </row>
    <row r="12" spans="1:20" ht="15" hidden="1" customHeight="1">
      <c r="A12" s="572" t="s">
        <v>1080</v>
      </c>
      <c r="B12" s="686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1"/>
        <v>0</v>
      </c>
    </row>
    <row r="13" spans="1:20" ht="15" hidden="1" customHeight="1">
      <c r="A13" s="572" t="s">
        <v>1371</v>
      </c>
      <c r="B13" s="686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1"/>
        <v>0</v>
      </c>
    </row>
    <row r="14" spans="1:20" ht="15" hidden="1" customHeight="1">
      <c r="A14" s="572" t="s">
        <v>896</v>
      </c>
      <c r="B14" s="686"/>
      <c r="C14" s="1418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1"/>
        <v>0</v>
      </c>
    </row>
    <row r="15" spans="1:20" ht="15" hidden="1" customHeight="1">
      <c r="A15" s="585" t="s">
        <v>484</v>
      </c>
      <c r="B15" s="656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1"/>
        <v>0</v>
      </c>
    </row>
    <row r="16" spans="1:20" ht="15" hidden="1" customHeight="1">
      <c r="A16" s="585" t="s">
        <v>491</v>
      </c>
      <c r="B16" s="656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>
        <f t="shared" si="1"/>
        <v>0</v>
      </c>
    </row>
    <row r="17" spans="1:17" ht="15" hidden="1" customHeight="1">
      <c r="A17" s="585" t="s">
        <v>868</v>
      </c>
      <c r="B17" s="656"/>
      <c r="C17" s="570"/>
      <c r="D17" s="570"/>
      <c r="E17" s="570"/>
      <c r="F17" s="1433"/>
      <c r="G17" s="570"/>
      <c r="H17" s="570"/>
      <c r="I17" s="1418"/>
      <c r="J17" s="570"/>
      <c r="K17" s="570"/>
      <c r="L17" s="1418"/>
      <c r="M17" s="1418"/>
      <c r="N17" s="570"/>
      <c r="O17" s="570">
        <f t="shared" si="1"/>
        <v>0</v>
      </c>
      <c r="P17" s="575"/>
    </row>
    <row r="18" spans="1:17" ht="15" hidden="1" customHeight="1">
      <c r="A18" s="656" t="s">
        <v>490</v>
      </c>
      <c r="B18" s="656"/>
      <c r="C18" s="570"/>
      <c r="D18" s="570"/>
      <c r="E18" s="570"/>
      <c r="F18" s="570"/>
      <c r="G18" s="570"/>
      <c r="H18" s="570"/>
      <c r="I18" s="1418"/>
      <c r="J18" s="570"/>
      <c r="K18" s="570"/>
      <c r="L18" s="570"/>
      <c r="M18" s="570"/>
      <c r="N18" s="570"/>
      <c r="O18" s="570">
        <f t="shared" si="1"/>
        <v>0</v>
      </c>
      <c r="P18" s="575"/>
    </row>
    <row r="19" spans="1:17" ht="15" hidden="1" customHeight="1">
      <c r="A19" s="1385" t="s">
        <v>2778</v>
      </c>
      <c r="B19" s="656"/>
      <c r="C19" s="570"/>
      <c r="D19" s="570"/>
      <c r="E19" s="570"/>
      <c r="F19" s="1418"/>
      <c r="G19" s="690"/>
      <c r="H19" s="570"/>
      <c r="I19" s="570"/>
      <c r="J19" s="570"/>
      <c r="K19" s="570"/>
      <c r="L19" s="570"/>
      <c r="M19" s="570"/>
      <c r="N19" s="570"/>
      <c r="O19" s="570">
        <f t="shared" si="1"/>
        <v>0</v>
      </c>
      <c r="P19" s="575"/>
      <c r="Q19" s="575"/>
    </row>
    <row r="20" spans="1:17" ht="15" hidden="1" customHeight="1">
      <c r="A20" s="710" t="s">
        <v>1374</v>
      </c>
      <c r="B20" s="172"/>
      <c r="C20" s="690"/>
      <c r="D20" s="625"/>
      <c r="E20" s="625"/>
      <c r="G20" s="625"/>
      <c r="H20" s="625"/>
      <c r="I20" s="1418"/>
      <c r="J20" s="625"/>
      <c r="K20" s="625"/>
      <c r="L20" s="625"/>
      <c r="M20" s="625"/>
      <c r="N20" s="625"/>
      <c r="O20" s="570">
        <f t="shared" si="1"/>
        <v>0</v>
      </c>
    </row>
    <row r="21" spans="1:17" ht="15" hidden="1" customHeight="1">
      <c r="A21" s="171" t="s">
        <v>1375</v>
      </c>
      <c r="B21" s="172"/>
      <c r="C21" s="625">
        <f>C22+C23</f>
        <v>0</v>
      </c>
      <c r="D21" s="625">
        <f t="shared" ref="D21:I21" si="3">D22+D23</f>
        <v>0</v>
      </c>
      <c r="E21" s="625">
        <f t="shared" si="3"/>
        <v>0</v>
      </c>
      <c r="F21" s="625">
        <f t="shared" si="3"/>
        <v>0</v>
      </c>
      <c r="G21" s="625">
        <f t="shared" si="3"/>
        <v>0</v>
      </c>
      <c r="H21" s="625">
        <f t="shared" si="3"/>
        <v>0</v>
      </c>
      <c r="I21" s="625">
        <f t="shared" si="3"/>
        <v>0</v>
      </c>
      <c r="J21" s="625">
        <f>J22+J23</f>
        <v>0</v>
      </c>
      <c r="K21" s="625">
        <f>K22+K23</f>
        <v>0</v>
      </c>
      <c r="L21" s="625">
        <f>L22+L23</f>
        <v>0</v>
      </c>
      <c r="M21" s="625">
        <f>M22+M23</f>
        <v>0</v>
      </c>
      <c r="N21" s="625">
        <f>N22+N23</f>
        <v>0</v>
      </c>
      <c r="O21" s="570">
        <f t="shared" si="1"/>
        <v>0</v>
      </c>
    </row>
    <row r="22" spans="1:17" ht="15" hidden="1" customHeight="1">
      <c r="A22" s="572" t="s">
        <v>1376</v>
      </c>
      <c r="B22" s="686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"/>
        <v>0</v>
      </c>
    </row>
    <row r="23" spans="1:17" ht="15" hidden="1" customHeight="1">
      <c r="A23" s="572" t="s">
        <v>1377</v>
      </c>
      <c r="B23" s="686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"/>
        <v>0</v>
      </c>
    </row>
    <row r="24" spans="1:17" ht="15" hidden="1" customHeight="1">
      <c r="A24" s="171" t="s">
        <v>1378</v>
      </c>
      <c r="B24" s="172"/>
      <c r="C24" s="625">
        <f t="shared" ref="C24:N24" si="4">C25+C26</f>
        <v>0</v>
      </c>
      <c r="D24" s="625">
        <f t="shared" si="4"/>
        <v>0</v>
      </c>
      <c r="E24" s="625">
        <f t="shared" si="4"/>
        <v>0</v>
      </c>
      <c r="F24" s="625">
        <f t="shared" si="4"/>
        <v>0</v>
      </c>
      <c r="G24" s="625">
        <f t="shared" si="4"/>
        <v>0</v>
      </c>
      <c r="H24" s="625">
        <f t="shared" si="4"/>
        <v>0</v>
      </c>
      <c r="I24" s="625">
        <f t="shared" si="4"/>
        <v>0</v>
      </c>
      <c r="J24" s="625">
        <f t="shared" si="4"/>
        <v>0</v>
      </c>
      <c r="K24" s="625">
        <f t="shared" si="4"/>
        <v>0</v>
      </c>
      <c r="L24" s="625">
        <f t="shared" si="4"/>
        <v>0</v>
      </c>
      <c r="M24" s="625">
        <f t="shared" si="4"/>
        <v>0</v>
      </c>
      <c r="N24" s="625">
        <f t="shared" si="4"/>
        <v>0</v>
      </c>
      <c r="O24" s="570">
        <f t="shared" si="1"/>
        <v>0</v>
      </c>
    </row>
    <row r="25" spans="1:17" ht="15" hidden="1" customHeight="1">
      <c r="A25" s="572" t="s">
        <v>1376</v>
      </c>
      <c r="B25" s="686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"/>
        <v>0</v>
      </c>
    </row>
    <row r="26" spans="1:17" ht="15" hidden="1" customHeight="1">
      <c r="A26" s="669" t="s">
        <v>1377</v>
      </c>
      <c r="B26" s="687"/>
      <c r="C26" s="576"/>
      <c r="D26" s="576"/>
      <c r="E26" s="576"/>
      <c r="F26" s="576"/>
      <c r="G26" s="576"/>
      <c r="H26" s="576"/>
      <c r="I26" s="576"/>
      <c r="J26" s="576"/>
      <c r="K26" s="576"/>
      <c r="L26" s="576"/>
      <c r="M26" s="576"/>
      <c r="N26" s="576"/>
      <c r="O26" s="570">
        <f t="shared" si="1"/>
        <v>0</v>
      </c>
    </row>
    <row r="27" spans="1:17" hidden="1"/>
    <row r="28" spans="1:17">
      <c r="G28" s="22"/>
    </row>
    <row r="29" spans="1:17">
      <c r="D29" s="558" t="s">
        <v>1656</v>
      </c>
      <c r="E29" s="558"/>
      <c r="G29" s="575"/>
    </row>
    <row r="31" spans="1:17">
      <c r="A31" s="2"/>
      <c r="B31" s="685">
        <v>43435</v>
      </c>
      <c r="C31" s="658" t="s">
        <v>257</v>
      </c>
      <c r="D31" s="658" t="s">
        <v>258</v>
      </c>
      <c r="E31" s="658" t="s">
        <v>197</v>
      </c>
      <c r="F31" s="658" t="s">
        <v>198</v>
      </c>
      <c r="G31" s="658" t="s">
        <v>199</v>
      </c>
      <c r="H31" s="658" t="s">
        <v>200</v>
      </c>
      <c r="I31" s="658" t="s">
        <v>201</v>
      </c>
      <c r="J31" s="658" t="s">
        <v>222</v>
      </c>
      <c r="K31" s="658" t="s">
        <v>203</v>
      </c>
      <c r="L31" s="658" t="s">
        <v>204</v>
      </c>
      <c r="M31" s="658" t="s">
        <v>205</v>
      </c>
      <c r="N31" s="658" t="s">
        <v>206</v>
      </c>
      <c r="O31" s="658" t="s">
        <v>322</v>
      </c>
    </row>
    <row r="32" spans="1:17" ht="14.25" customHeight="1">
      <c r="A32" s="656" t="s">
        <v>1080</v>
      </c>
      <c r="B32" s="689"/>
      <c r="C32" s="690"/>
      <c r="D32" s="1418">
        <v>13083.231</v>
      </c>
      <c r="E32" s="1418"/>
      <c r="F32" s="1418">
        <v>19252.018</v>
      </c>
      <c r="G32" s="1418">
        <v>29465.332999999999</v>
      </c>
      <c r="H32" s="1418">
        <v>18547.97</v>
      </c>
      <c r="I32" s="1418">
        <f>+SUM('[36]Pagamento DI 2019'!$E$57:$E$58)/1000</f>
        <v>18192.54</v>
      </c>
      <c r="J32" s="1418">
        <f>+('[36]Pagamento DI 2019'!$E$65+'[36]Pagamento DI 2019'!$E$67+'[36]Pagamento DI 2019'!$E$68)/1000</f>
        <v>25832.111000000001</v>
      </c>
      <c r="K32" s="570">
        <f>+('[36]Pagamento DI 2019'!$E$82+'[36]Pagamento DI 2019'!$E$83)/1000</f>
        <v>17474.79</v>
      </c>
      <c r="L32" s="570">
        <f>+('[36]Pagamento DI 2019'!$E$89+'[36]Pagamento DI 2019'!$E$90)/1000</f>
        <v>17112.442999999999</v>
      </c>
      <c r="M32" s="1418">
        <v>22129.333999999999</v>
      </c>
      <c r="N32" s="570">
        <v>16380.725</v>
      </c>
      <c r="O32" s="570">
        <f t="shared" ref="O32:O45" si="5">SUM(C32:N32)</f>
        <v>197470.49500000002</v>
      </c>
    </row>
    <row r="33" spans="1:18" ht="14.25" customHeight="1">
      <c r="A33" s="656" t="s">
        <v>1371</v>
      </c>
      <c r="B33" s="689"/>
      <c r="C33" s="690"/>
      <c r="D33" s="1600"/>
      <c r="E33" s="1418"/>
      <c r="F33" s="1418"/>
      <c r="G33" s="1600"/>
      <c r="H33" s="1418"/>
      <c r="I33" s="1418"/>
      <c r="J33" s="1433"/>
      <c r="K33" s="570"/>
      <c r="L33" s="570"/>
      <c r="M33" s="570"/>
      <c r="N33" s="570"/>
      <c r="O33" s="570">
        <f t="shared" si="5"/>
        <v>0</v>
      </c>
    </row>
    <row r="34" spans="1:18" ht="15.75">
      <c r="A34" s="656" t="s">
        <v>896</v>
      </c>
      <c r="B34" s="689"/>
      <c r="C34" s="690"/>
      <c r="D34" s="1418"/>
      <c r="E34" s="1418">
        <v>20547.532999999999</v>
      </c>
      <c r="F34" s="1418"/>
      <c r="G34" s="1418"/>
      <c r="H34" s="1418">
        <v>16591.348000000002</v>
      </c>
      <c r="I34" s="1418"/>
      <c r="J34" s="1433"/>
      <c r="K34" s="1640">
        <v>12559.945</v>
      </c>
      <c r="L34" s="690"/>
      <c r="M34" s="690"/>
      <c r="N34" s="690">
        <v>8451.8960000000006</v>
      </c>
      <c r="O34" s="570">
        <f t="shared" si="5"/>
        <v>58150.722000000002</v>
      </c>
    </row>
    <row r="35" spans="1:18">
      <c r="A35" s="2012" t="s">
        <v>285</v>
      </c>
      <c r="B35" s="689"/>
      <c r="C35" s="690"/>
      <c r="D35" s="1418"/>
      <c r="E35" s="1418">
        <f>+E36+E37+E38</f>
        <v>84029.941445100063</v>
      </c>
      <c r="F35" s="1418">
        <f t="shared" ref="F35:N35" si="6">+F36+F37+F38</f>
        <v>0</v>
      </c>
      <c r="G35" s="1418">
        <f t="shared" si="6"/>
        <v>0</v>
      </c>
      <c r="H35" s="1418">
        <f t="shared" si="6"/>
        <v>84029.941445100063</v>
      </c>
      <c r="I35" s="1418">
        <f t="shared" si="6"/>
        <v>0</v>
      </c>
      <c r="J35" s="1433">
        <f t="shared" si="6"/>
        <v>0</v>
      </c>
      <c r="K35" s="1418">
        <f t="shared" si="6"/>
        <v>84029.941445100063</v>
      </c>
      <c r="L35" s="1418">
        <f t="shared" si="6"/>
        <v>0</v>
      </c>
      <c r="M35" s="1418">
        <f t="shared" si="6"/>
        <v>0</v>
      </c>
      <c r="N35" s="1418">
        <f t="shared" si="6"/>
        <v>84029.941445100063</v>
      </c>
      <c r="O35" s="570">
        <f t="shared" si="5"/>
        <v>336119.76578040025</v>
      </c>
      <c r="P35" s="1418"/>
      <c r="Q35" s="1418"/>
      <c r="R35" s="1418"/>
    </row>
    <row r="36" spans="1:18">
      <c r="A36" s="2014" t="s">
        <v>3241</v>
      </c>
      <c r="E36" s="1418">
        <v>62841.099000000002</v>
      </c>
      <c r="H36" s="1418">
        <v>62841.099000000002</v>
      </c>
      <c r="J36" s="1433"/>
      <c r="K36" s="1418">
        <v>62841.099000000002</v>
      </c>
      <c r="N36">
        <f>+'[36]Pagamento DI 2019'!$E$103/1000</f>
        <v>62841.099000000002</v>
      </c>
      <c r="O36" s="570">
        <f t="shared" si="5"/>
        <v>251364.39600000001</v>
      </c>
    </row>
    <row r="37" spans="1:18">
      <c r="A37" s="2015" t="s">
        <v>3239</v>
      </c>
      <c r="B37" s="689"/>
      <c r="C37" s="690"/>
      <c r="D37" s="1418"/>
      <c r="E37" s="690">
        <v>9655.5689999999995</v>
      </c>
      <c r="F37" s="1418"/>
      <c r="G37" s="1418"/>
      <c r="H37" s="1418">
        <v>9655.5689999999995</v>
      </c>
      <c r="I37" s="1418"/>
      <c r="J37" s="1433"/>
      <c r="K37" s="1418">
        <v>9655.5689999999995</v>
      </c>
      <c r="L37" s="570"/>
      <c r="M37" s="2013"/>
      <c r="N37" s="570">
        <f>+'[36]Pagamento DI 2019'!$E$106/1000</f>
        <v>9655.5689999999995</v>
      </c>
      <c r="O37" s="570">
        <f t="shared" si="5"/>
        <v>38622.275999999998</v>
      </c>
    </row>
    <row r="38" spans="1:18">
      <c r="A38" s="2015" t="s">
        <v>694</v>
      </c>
      <c r="B38" s="689"/>
      <c r="C38" s="690"/>
      <c r="D38" s="1418"/>
      <c r="E38" s="690">
        <f>+'[36]Pagamento DI 2019'!$E$17/1000</f>
        <v>11533.27344510006</v>
      </c>
      <c r="F38" s="1418"/>
      <c r="G38" s="1418"/>
      <c r="H38" s="1418">
        <v>11533.27344510006</v>
      </c>
      <c r="I38" s="1418"/>
      <c r="J38" s="1433"/>
      <c r="K38" s="1418">
        <v>11533.27344510006</v>
      </c>
      <c r="L38" s="570"/>
      <c r="M38" s="2013"/>
      <c r="N38" s="570">
        <f>+'[36]Pagamento DI 2019'!$E$104/1000</f>
        <v>11533.27344510006</v>
      </c>
      <c r="O38" s="570">
        <f t="shared" si="5"/>
        <v>46133.093780400239</v>
      </c>
    </row>
    <row r="39" spans="1:18">
      <c r="A39" s="656" t="s">
        <v>868</v>
      </c>
      <c r="B39" s="689"/>
      <c r="C39" s="690"/>
      <c r="D39" s="1418"/>
      <c r="E39" s="1418">
        <v>9479.1669999999995</v>
      </c>
      <c r="F39" s="1418"/>
      <c r="G39" s="1418"/>
      <c r="H39" s="1418">
        <v>92124.539000000004</v>
      </c>
      <c r="I39" s="1418">
        <f>+SUM('[36]Pagamento DI 2019'!$E$54:$E$55)/1000</f>
        <v>14097.25</v>
      </c>
      <c r="J39" s="1433">
        <f>+('[36]Pagamento DI 2019'!$E$63+'[36]Pagamento DI 2019'!$E$64)/1000</f>
        <v>11118.235000000001</v>
      </c>
      <c r="K39" s="1418">
        <v>30297.048999999999</v>
      </c>
      <c r="L39" s="690"/>
      <c r="M39" s="1495"/>
      <c r="N39" s="690">
        <v>1916.8979999999999</v>
      </c>
      <c r="O39" s="570">
        <f t="shared" si="5"/>
        <v>159033.13799999998</v>
      </c>
    </row>
    <row r="40" spans="1:18" ht="13.5" hidden="1" customHeight="1">
      <c r="A40" s="2012" t="s">
        <v>694</v>
      </c>
      <c r="B40" s="689"/>
      <c r="C40" s="690"/>
      <c r="D40" s="690"/>
      <c r="E40" s="690"/>
      <c r="F40" s="690"/>
      <c r="G40" s="690"/>
      <c r="H40" s="690"/>
      <c r="I40" s="570"/>
      <c r="J40" s="1433"/>
      <c r="K40" s="1418"/>
      <c r="L40" s="570"/>
      <c r="M40" s="570"/>
      <c r="N40" s="570"/>
      <c r="O40" s="570">
        <f t="shared" si="5"/>
        <v>0</v>
      </c>
    </row>
    <row r="41" spans="1:18">
      <c r="A41" s="1385" t="s">
        <v>2740</v>
      </c>
      <c r="B41" s="689"/>
      <c r="C41" s="690"/>
      <c r="D41" s="690"/>
      <c r="E41" s="690"/>
      <c r="F41" s="690"/>
      <c r="G41" s="690"/>
      <c r="H41" s="690">
        <v>29543.402999999998</v>
      </c>
      <c r="I41" s="570">
        <f>+'[36]Pagamento DI 2019'!$E$56/1000</f>
        <v>25729.97</v>
      </c>
      <c r="J41" s="1433">
        <f>+'[36]Pagamento DI 2019'!$E$66/1000</f>
        <v>22969.047999999999</v>
      </c>
      <c r="K41" s="1418">
        <f>+'[36]Pagamento DI 2019'!$E$81/1000</f>
        <v>19650.781999999999</v>
      </c>
      <c r="L41" s="570">
        <f>+'[36]Pagamento DI 2019'!$E$88/1000</f>
        <v>16092.699000000001</v>
      </c>
      <c r="M41" s="570">
        <f>+'[36]Pagamento DI 2019'!$E$95/1000</f>
        <v>12946.343000000001</v>
      </c>
      <c r="N41" s="570"/>
      <c r="O41" s="570">
        <f t="shared" si="5"/>
        <v>126932.245</v>
      </c>
    </row>
    <row r="42" spans="1:18">
      <c r="A42" s="36" t="s">
        <v>1374</v>
      </c>
      <c r="B42" s="690"/>
      <c r="C42" s="625"/>
      <c r="D42" s="1559">
        <v>259518</v>
      </c>
      <c r="E42" s="1559"/>
      <c r="F42" s="1559">
        <f>340285.4+292851+596895+558316</f>
        <v>1788347.4</v>
      </c>
      <c r="G42" s="1433"/>
      <c r="H42" s="1559"/>
      <c r="I42" s="1559">
        <v>605000</v>
      </c>
      <c r="J42" s="1433">
        <v>394736.55</v>
      </c>
      <c r="K42" s="1418">
        <v>208203.46299999999</v>
      </c>
      <c r="L42" s="1433">
        <v>326718.3</v>
      </c>
      <c r="M42" s="1433">
        <f>216277.75</f>
        <v>216277.75</v>
      </c>
      <c r="N42" s="690"/>
      <c r="O42" s="570">
        <f t="shared" si="5"/>
        <v>3798801.4629999995</v>
      </c>
    </row>
    <row r="43" spans="1:18">
      <c r="A43" s="36" t="s">
        <v>2930</v>
      </c>
      <c r="B43" s="690"/>
      <c r="C43" s="690"/>
      <c r="D43" s="690"/>
      <c r="E43" s="690"/>
      <c r="F43" s="690"/>
      <c r="G43" s="690"/>
      <c r="H43" s="690"/>
      <c r="I43" s="1418"/>
      <c r="J43" s="1418"/>
      <c r="K43" s="1418"/>
      <c r="L43" s="1418"/>
      <c r="M43" s="1418"/>
      <c r="N43" s="1418"/>
      <c r="O43" s="570">
        <f t="shared" si="5"/>
        <v>0</v>
      </c>
    </row>
    <row r="44" spans="1:18">
      <c r="A44" s="606" t="s">
        <v>3240</v>
      </c>
      <c r="B44" s="690"/>
      <c r="C44" s="690"/>
      <c r="D44" s="690"/>
      <c r="E44" s="690"/>
      <c r="F44" s="690"/>
      <c r="G44" s="690"/>
      <c r="H44" s="690"/>
      <c r="I44" s="690"/>
      <c r="J44" s="690"/>
      <c r="K44" s="690"/>
      <c r="L44" s="690"/>
      <c r="M44" s="690"/>
      <c r="N44" s="690"/>
      <c r="O44" s="570">
        <f t="shared" si="5"/>
        <v>0</v>
      </c>
    </row>
    <row r="45" spans="1:18">
      <c r="A45" s="172" t="s">
        <v>208</v>
      </c>
      <c r="B45" s="625"/>
      <c r="C45" s="625">
        <f t="shared" ref="C45:D45" si="7">SUM(C32:C44)</f>
        <v>0</v>
      </c>
      <c r="D45" s="625">
        <f t="shared" si="7"/>
        <v>272601.23100000003</v>
      </c>
      <c r="E45" s="625">
        <f>+SUM(E32:E35)+E39+E41+E42+E43</f>
        <v>114056.64144510006</v>
      </c>
      <c r="F45" s="625">
        <f t="shared" ref="F45:M45" si="8">+SUM(F32:F35)+F39+F41+F42+F43</f>
        <v>1807599.4179999998</v>
      </c>
      <c r="G45" s="625">
        <f t="shared" si="8"/>
        <v>29465.332999999999</v>
      </c>
      <c r="H45" s="625">
        <f t="shared" si="8"/>
        <v>240837.20144510007</v>
      </c>
      <c r="I45" s="625">
        <f t="shared" si="8"/>
        <v>663019.76</v>
      </c>
      <c r="J45" s="625">
        <f t="shared" si="8"/>
        <v>454655.94400000002</v>
      </c>
      <c r="K45" s="625">
        <f>+SUM(K32:K35)+K39+K41+K42+K43</f>
        <v>372215.97044510004</v>
      </c>
      <c r="L45" s="625">
        <f t="shared" si="8"/>
        <v>359923.44199999998</v>
      </c>
      <c r="M45" s="625">
        <f t="shared" si="8"/>
        <v>251353.427</v>
      </c>
      <c r="N45" s="625">
        <f>+SUM(N32:N35)+N39+N41+N42+N43</f>
        <v>110779.46044510006</v>
      </c>
      <c r="O45" s="570">
        <f t="shared" si="5"/>
        <v>4676507.8287804006</v>
      </c>
    </row>
    <row r="46" spans="1:18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</row>
    <row r="47" spans="1:18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</row>
    <row r="48" spans="1:18">
      <c r="D48" s="558" t="s">
        <v>363</v>
      </c>
      <c r="E48" s="558"/>
      <c r="H48" s="10"/>
      <c r="I48" s="10"/>
    </row>
    <row r="49" spans="1:15">
      <c r="A49" s="627"/>
    </row>
    <row r="50" spans="1:15">
      <c r="A50" s="2"/>
      <c r="B50" s="685">
        <v>43435</v>
      </c>
      <c r="C50" s="658" t="s">
        <v>257</v>
      </c>
      <c r="D50" s="658" t="s">
        <v>258</v>
      </c>
      <c r="E50" s="658" t="s">
        <v>197</v>
      </c>
      <c r="F50" s="658" t="s">
        <v>198</v>
      </c>
      <c r="G50" s="658" t="s">
        <v>199</v>
      </c>
      <c r="H50" s="658" t="s">
        <v>200</v>
      </c>
      <c r="I50" s="658" t="s">
        <v>201</v>
      </c>
      <c r="J50" s="658" t="s">
        <v>222</v>
      </c>
      <c r="K50" s="658" t="s">
        <v>203</v>
      </c>
      <c r="L50" s="658" t="s">
        <v>204</v>
      </c>
      <c r="M50" s="658" t="s">
        <v>205</v>
      </c>
      <c r="N50" s="658" t="s">
        <v>206</v>
      </c>
      <c r="O50" s="658" t="s">
        <v>322</v>
      </c>
    </row>
    <row r="51" spans="1:15">
      <c r="A51" s="656" t="s">
        <v>1080</v>
      </c>
      <c r="B51" s="656"/>
      <c r="C51" s="603"/>
      <c r="D51" s="1418"/>
      <c r="E51" s="120"/>
      <c r="F51" s="120"/>
      <c r="G51" s="1418"/>
      <c r="H51" s="120"/>
      <c r="I51" s="120"/>
      <c r="J51" s="1418"/>
      <c r="K51" s="120"/>
      <c r="L51" s="120"/>
      <c r="M51" s="120"/>
      <c r="N51" s="120"/>
      <c r="O51" s="570">
        <f t="shared" ref="O51:O58" si="9">SUM(C51:N51)</f>
        <v>0</v>
      </c>
    </row>
    <row r="52" spans="1:15">
      <c r="A52" s="656" t="s">
        <v>1371</v>
      </c>
      <c r="B52" s="689"/>
      <c r="C52" s="570"/>
      <c r="D52" s="570"/>
      <c r="E52" s="570"/>
      <c r="F52" s="570"/>
      <c r="G52" s="570"/>
      <c r="H52" s="570"/>
      <c r="I52" s="570"/>
      <c r="J52" s="570"/>
      <c r="K52" s="570"/>
      <c r="L52" s="570"/>
      <c r="M52" s="570"/>
      <c r="N52" s="570"/>
      <c r="O52" s="570">
        <f t="shared" si="9"/>
        <v>0</v>
      </c>
    </row>
    <row r="53" spans="1:15">
      <c r="A53" s="656" t="s">
        <v>896</v>
      </c>
      <c r="B53" s="689"/>
      <c r="C53" s="570"/>
      <c r="D53" s="570"/>
      <c r="E53" s="570"/>
      <c r="F53" s="570"/>
      <c r="G53" s="570"/>
      <c r="H53" s="570"/>
      <c r="I53" s="570"/>
      <c r="J53" s="570"/>
      <c r="K53" s="570"/>
      <c r="L53" s="570"/>
      <c r="M53" s="570"/>
      <c r="N53" s="570"/>
      <c r="O53" s="570">
        <f t="shared" si="9"/>
        <v>0</v>
      </c>
    </row>
    <row r="54" spans="1:15">
      <c r="A54" s="656" t="s">
        <v>484</v>
      </c>
      <c r="B54" s="689"/>
      <c r="C54" s="570"/>
      <c r="D54" s="570"/>
      <c r="E54" s="570"/>
      <c r="F54" s="570"/>
      <c r="G54" s="570"/>
      <c r="H54" s="570"/>
      <c r="I54" s="570"/>
      <c r="J54" s="570"/>
      <c r="K54" s="570"/>
      <c r="L54" s="570"/>
      <c r="M54" s="570"/>
      <c r="N54" s="570"/>
      <c r="O54" s="570">
        <f t="shared" si="9"/>
        <v>0</v>
      </c>
    </row>
    <row r="55" spans="1:15">
      <c r="A55" s="656" t="s">
        <v>868</v>
      </c>
      <c r="B55" s="570"/>
      <c r="C55" s="575"/>
      <c r="D55" s="570"/>
      <c r="E55" s="575"/>
      <c r="F55" s="570"/>
      <c r="G55" s="575"/>
      <c r="H55" s="570"/>
      <c r="I55" s="575"/>
      <c r="J55" s="570"/>
      <c r="K55" s="575"/>
      <c r="L55" s="570"/>
      <c r="M55" s="570"/>
      <c r="N55" s="570"/>
      <c r="O55" s="570">
        <f t="shared" si="9"/>
        <v>0</v>
      </c>
    </row>
    <row r="56" spans="1:15">
      <c r="A56" s="656" t="s">
        <v>285</v>
      </c>
      <c r="B56" s="689"/>
      <c r="C56" s="570"/>
      <c r="D56" s="570"/>
      <c r="E56" s="570"/>
      <c r="F56" s="570"/>
      <c r="G56" s="570"/>
      <c r="H56" s="570"/>
      <c r="I56" s="570"/>
      <c r="J56" s="570"/>
      <c r="K56" s="570"/>
      <c r="L56" s="570"/>
      <c r="M56" s="570"/>
      <c r="N56" s="570"/>
      <c r="O56" s="570">
        <f t="shared" si="9"/>
        <v>0</v>
      </c>
    </row>
    <row r="57" spans="1:15">
      <c r="A57" s="36" t="s">
        <v>1374</v>
      </c>
      <c r="B57" s="690"/>
      <c r="C57" s="625"/>
      <c r="D57" s="690"/>
      <c r="E57" s="625"/>
      <c r="F57" s="625"/>
      <c r="G57" s="625"/>
      <c r="H57" s="625"/>
      <c r="I57" s="625"/>
      <c r="J57" s="625"/>
      <c r="K57" s="625"/>
      <c r="L57" s="625"/>
      <c r="M57" s="625"/>
      <c r="N57" s="625"/>
      <c r="O57" s="570">
        <f t="shared" si="9"/>
        <v>0</v>
      </c>
    </row>
    <row r="58" spans="1:15">
      <c r="A58" s="36" t="s">
        <v>2944</v>
      </c>
      <c r="B58" s="690"/>
      <c r="C58" s="1418"/>
      <c r="D58" s="690"/>
      <c r="E58" s="690"/>
      <c r="F58" s="690"/>
      <c r="G58" s="690"/>
      <c r="H58" s="690"/>
      <c r="I58" s="690"/>
      <c r="J58" s="1418"/>
      <c r="K58" s="690"/>
      <c r="L58" s="690"/>
      <c r="M58" s="690"/>
      <c r="N58" s="690"/>
      <c r="O58" s="570">
        <f t="shared" si="9"/>
        <v>0</v>
      </c>
    </row>
    <row r="59" spans="1:15">
      <c r="A59" s="172" t="s">
        <v>208</v>
      </c>
      <c r="B59" s="625"/>
      <c r="C59" s="625">
        <f t="shared" ref="C59:O59" si="10">SUM(C51:C58)</f>
        <v>0</v>
      </c>
      <c r="D59" s="625">
        <f t="shared" si="10"/>
        <v>0</v>
      </c>
      <c r="E59" s="625">
        <f t="shared" si="10"/>
        <v>0</v>
      </c>
      <c r="F59" s="625">
        <f t="shared" si="10"/>
        <v>0</v>
      </c>
      <c r="G59" s="625">
        <f t="shared" si="10"/>
        <v>0</v>
      </c>
      <c r="H59" s="625">
        <f t="shared" si="10"/>
        <v>0</v>
      </c>
      <c r="I59" s="625">
        <f t="shared" si="10"/>
        <v>0</v>
      </c>
      <c r="J59" s="625">
        <f t="shared" si="10"/>
        <v>0</v>
      </c>
      <c r="K59" s="625">
        <f t="shared" si="10"/>
        <v>0</v>
      </c>
      <c r="L59" s="625">
        <f t="shared" si="10"/>
        <v>0</v>
      </c>
      <c r="M59" s="625">
        <f t="shared" si="10"/>
        <v>0</v>
      </c>
      <c r="N59" s="625">
        <f t="shared" si="10"/>
        <v>0</v>
      </c>
      <c r="O59" s="625">
        <f t="shared" si="10"/>
        <v>0</v>
      </c>
    </row>
    <row r="62" spans="1:15">
      <c r="D62" s="558" t="s">
        <v>364</v>
      </c>
      <c r="E62" s="558"/>
    </row>
    <row r="64" spans="1:15">
      <c r="A64" s="2"/>
      <c r="B64" s="685">
        <v>43435</v>
      </c>
      <c r="C64" s="658" t="s">
        <v>257</v>
      </c>
      <c r="D64" s="658" t="s">
        <v>258</v>
      </c>
      <c r="E64" s="658" t="s">
        <v>197</v>
      </c>
      <c r="F64" s="658" t="s">
        <v>198</v>
      </c>
      <c r="G64" s="658" t="s">
        <v>199</v>
      </c>
      <c r="H64" s="658" t="s">
        <v>200</v>
      </c>
      <c r="I64" s="658" t="s">
        <v>201</v>
      </c>
      <c r="J64" s="658" t="s">
        <v>222</v>
      </c>
      <c r="K64" s="658" t="s">
        <v>203</v>
      </c>
      <c r="L64" s="658" t="s">
        <v>204</v>
      </c>
      <c r="M64" s="658" t="s">
        <v>205</v>
      </c>
      <c r="N64" s="658" t="s">
        <v>206</v>
      </c>
      <c r="O64" s="658" t="s">
        <v>322</v>
      </c>
    </row>
    <row r="65" spans="1:20">
      <c r="A65" s="656" t="s">
        <v>1080</v>
      </c>
      <c r="B65" s="1629"/>
      <c r="C65" s="1418"/>
      <c r="D65" s="1418"/>
      <c r="E65" s="1418"/>
      <c r="F65" s="1418"/>
      <c r="G65" s="1418"/>
      <c r="H65" s="1418"/>
      <c r="I65" s="1418"/>
      <c r="J65" s="1418"/>
      <c r="K65" s="570"/>
      <c r="L65" s="1418"/>
      <c r="M65" s="1418"/>
      <c r="N65" s="570"/>
      <c r="O65" s="570">
        <f t="shared" ref="O65:O72" si="11">SUM(C65:N65)</f>
        <v>0</v>
      </c>
    </row>
    <row r="66" spans="1:20">
      <c r="A66" s="656" t="s">
        <v>1371</v>
      </c>
      <c r="B66" s="689"/>
      <c r="C66" s="570"/>
      <c r="D66" s="690"/>
      <c r="E66" s="690"/>
      <c r="F66" s="690"/>
      <c r="G66" s="690"/>
      <c r="H66" s="570"/>
      <c r="I66" s="570"/>
      <c r="J66" s="570"/>
      <c r="K66" s="570"/>
      <c r="L66" s="570"/>
      <c r="M66" s="570"/>
      <c r="N66" s="570"/>
      <c r="O66" s="570">
        <f t="shared" si="11"/>
        <v>0</v>
      </c>
    </row>
    <row r="67" spans="1:20" ht="15.75">
      <c r="A67" s="656" t="s">
        <v>896</v>
      </c>
      <c r="B67" s="689"/>
      <c r="C67" s="570"/>
      <c r="D67" s="690"/>
      <c r="E67" s="690"/>
      <c r="F67" s="690"/>
      <c r="G67" s="690"/>
      <c r="H67" s="570"/>
      <c r="I67" s="570"/>
      <c r="J67" s="570"/>
      <c r="K67" s="1638"/>
      <c r="L67" s="570"/>
      <c r="M67" s="570"/>
      <c r="N67" s="570"/>
      <c r="O67" s="570">
        <f t="shared" si="11"/>
        <v>0</v>
      </c>
    </row>
    <row r="68" spans="1:20">
      <c r="A68" s="656" t="s">
        <v>484</v>
      </c>
      <c r="B68" s="689"/>
      <c r="C68" s="570"/>
      <c r="D68" s="690"/>
      <c r="E68" s="690"/>
      <c r="F68" s="690"/>
      <c r="G68" s="690"/>
      <c r="H68" s="570"/>
      <c r="I68" s="570"/>
      <c r="J68" s="570"/>
      <c r="K68" s="570"/>
      <c r="L68" s="570"/>
      <c r="M68" s="570"/>
      <c r="N68" s="570"/>
      <c r="O68" s="570">
        <f t="shared" si="11"/>
        <v>0</v>
      </c>
    </row>
    <row r="69" spans="1:20" ht="15.75">
      <c r="A69" s="656" t="s">
        <v>868</v>
      </c>
      <c r="B69" s="689"/>
      <c r="C69" s="570"/>
      <c r="D69" s="690"/>
      <c r="E69" s="690"/>
      <c r="F69" s="690"/>
      <c r="G69" s="690"/>
      <c r="H69" s="570"/>
      <c r="I69" s="570"/>
      <c r="J69" s="570"/>
      <c r="K69" s="1638"/>
      <c r="L69" s="570"/>
      <c r="M69" s="1495"/>
      <c r="N69" s="1495"/>
      <c r="O69" s="570">
        <f t="shared" si="11"/>
        <v>0</v>
      </c>
    </row>
    <row r="70" spans="1:20" ht="15">
      <c r="A70" s="656" t="s">
        <v>285</v>
      </c>
      <c r="B70" s="689"/>
      <c r="C70" s="570"/>
      <c r="D70" s="1418"/>
      <c r="E70" s="690"/>
      <c r="F70" s="690"/>
      <c r="G70" s="1601"/>
      <c r="H70" s="570"/>
      <c r="I70" s="570"/>
      <c r="J70" s="570"/>
      <c r="K70" s="570"/>
      <c r="L70" s="570"/>
      <c r="M70" s="570"/>
      <c r="N70" s="570"/>
      <c r="O70" s="570">
        <f t="shared" si="11"/>
        <v>0</v>
      </c>
    </row>
    <row r="71" spans="1:20">
      <c r="A71" s="36" t="s">
        <v>1374</v>
      </c>
      <c r="B71" s="690"/>
      <c r="C71" s="625"/>
      <c r="D71" s="1418"/>
      <c r="E71" s="1418"/>
      <c r="F71" s="1418"/>
      <c r="G71" s="625"/>
      <c r="H71" s="1418"/>
      <c r="I71" s="625"/>
      <c r="J71" s="1566"/>
      <c r="K71" s="1418"/>
      <c r="L71" s="1418"/>
      <c r="M71" s="1433"/>
      <c r="N71" s="1433"/>
      <c r="O71" s="570">
        <f t="shared" si="11"/>
        <v>0</v>
      </c>
    </row>
    <row r="72" spans="1:20">
      <c r="A72" s="36" t="s">
        <v>1657</v>
      </c>
      <c r="B72" s="690"/>
      <c r="C72" s="690"/>
      <c r="D72" s="690"/>
      <c r="E72" s="690"/>
      <c r="F72" s="690"/>
      <c r="G72" s="690"/>
      <c r="H72" s="690"/>
      <c r="I72" s="690"/>
      <c r="J72" s="690"/>
      <c r="K72" s="690"/>
      <c r="L72" s="690"/>
      <c r="M72" s="690"/>
      <c r="N72" s="690"/>
      <c r="O72" s="570">
        <f t="shared" si="11"/>
        <v>0</v>
      </c>
    </row>
    <row r="73" spans="1:20">
      <c r="A73" s="172" t="s">
        <v>208</v>
      </c>
      <c r="B73" s="625"/>
      <c r="C73" s="625">
        <f t="shared" ref="C73:O73" si="12">SUM(C65:C72)</f>
        <v>0</v>
      </c>
      <c r="D73" s="625">
        <f t="shared" si="12"/>
        <v>0</v>
      </c>
      <c r="E73" s="625">
        <f t="shared" si="12"/>
        <v>0</v>
      </c>
      <c r="F73" s="625">
        <f t="shared" si="12"/>
        <v>0</v>
      </c>
      <c r="G73" s="625">
        <f t="shared" si="12"/>
        <v>0</v>
      </c>
      <c r="H73" s="625">
        <f t="shared" si="12"/>
        <v>0</v>
      </c>
      <c r="I73" s="625">
        <f t="shared" si="12"/>
        <v>0</v>
      </c>
      <c r="J73" s="625">
        <f t="shared" si="12"/>
        <v>0</v>
      </c>
      <c r="K73" s="625">
        <f t="shared" si="12"/>
        <v>0</v>
      </c>
      <c r="L73" s="625">
        <f t="shared" si="12"/>
        <v>0</v>
      </c>
      <c r="M73" s="625">
        <f t="shared" si="12"/>
        <v>0</v>
      </c>
      <c r="N73" s="625">
        <f t="shared" si="12"/>
        <v>0</v>
      </c>
      <c r="O73" s="625">
        <f t="shared" si="12"/>
        <v>0</v>
      </c>
      <c r="S73" s="1644">
        <v>800000000</v>
      </c>
      <c r="T73" s="1605"/>
    </row>
    <row r="74" spans="1:20">
      <c r="S74" s="1605"/>
      <c r="T74" s="1605"/>
    </row>
    <row r="75" spans="1:20">
      <c r="S75" s="1605">
        <f>2/100</f>
        <v>0.02</v>
      </c>
      <c r="T75" s="1645">
        <f>+S73*S75</f>
        <v>16000000</v>
      </c>
    </row>
    <row r="76" spans="1:20">
      <c r="D76" s="558" t="s">
        <v>1627</v>
      </c>
      <c r="E76" s="558"/>
      <c r="S76" s="1605">
        <f>7.7/100</f>
        <v>7.6999999999999999E-2</v>
      </c>
      <c r="T76" s="1645">
        <f>+S73*S76</f>
        <v>61600000</v>
      </c>
    </row>
    <row r="77" spans="1:20">
      <c r="S77" s="1646">
        <f>+S73-T77</f>
        <v>722400000</v>
      </c>
      <c r="T77" s="1646">
        <f>+T75+T76</f>
        <v>77600000</v>
      </c>
    </row>
    <row r="78" spans="1:20">
      <c r="A78" s="2"/>
      <c r="B78" s="685">
        <v>43435</v>
      </c>
      <c r="C78" s="658" t="s">
        <v>257</v>
      </c>
      <c r="D78" s="658" t="s">
        <v>258</v>
      </c>
      <c r="E78" s="658" t="s">
        <v>197</v>
      </c>
      <c r="F78" s="658" t="s">
        <v>198</v>
      </c>
      <c r="G78" s="658" t="s">
        <v>199</v>
      </c>
      <c r="H78" s="658" t="s">
        <v>200</v>
      </c>
      <c r="I78" s="658" t="s">
        <v>201</v>
      </c>
      <c r="J78" s="658" t="s">
        <v>222</v>
      </c>
      <c r="K78" s="658" t="s">
        <v>203</v>
      </c>
      <c r="L78" s="658" t="s">
        <v>204</v>
      </c>
      <c r="M78" s="658" t="s">
        <v>205</v>
      </c>
      <c r="N78" s="658" t="s">
        <v>206</v>
      </c>
      <c r="O78" s="658" t="s">
        <v>206</v>
      </c>
    </row>
    <row r="79" spans="1:20">
      <c r="A79" s="171"/>
      <c r="B79" s="172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</row>
    <row r="80" spans="1:20">
      <c r="A80" s="171" t="s">
        <v>1627</v>
      </c>
      <c r="B80" s="625">
        <f>SUM(B81:B86)</f>
        <v>0</v>
      </c>
      <c r="C80" s="625">
        <f t="shared" ref="C80:N80" si="13">SUM(C81:C86)</f>
        <v>0</v>
      </c>
      <c r="D80" s="625">
        <f t="shared" si="13"/>
        <v>0</v>
      </c>
      <c r="E80" s="625">
        <f t="shared" si="13"/>
        <v>0</v>
      </c>
      <c r="F80" s="625">
        <f t="shared" si="13"/>
        <v>0</v>
      </c>
      <c r="G80" s="625">
        <f t="shared" si="13"/>
        <v>0</v>
      </c>
      <c r="H80" s="625">
        <f t="shared" si="13"/>
        <v>0</v>
      </c>
      <c r="I80" s="625">
        <f t="shared" si="13"/>
        <v>0</v>
      </c>
      <c r="J80" s="625">
        <f t="shared" si="13"/>
        <v>0</v>
      </c>
      <c r="K80" s="625">
        <f t="shared" si="13"/>
        <v>0</v>
      </c>
      <c r="L80" s="625">
        <f t="shared" si="13"/>
        <v>0</v>
      </c>
      <c r="M80" s="625">
        <f t="shared" si="13"/>
        <v>0</v>
      </c>
      <c r="N80" s="625">
        <f t="shared" si="13"/>
        <v>0</v>
      </c>
      <c r="O80" s="625">
        <f>SUM(O81:O86)</f>
        <v>0</v>
      </c>
    </row>
    <row r="81" spans="1:15">
      <c r="A81" s="572" t="s">
        <v>1080</v>
      </c>
      <c r="B81" s="686"/>
      <c r="C81" s="691">
        <f t="shared" ref="C81:O81" si="14">C5-C12</f>
        <v>0</v>
      </c>
      <c r="D81" s="691">
        <f t="shared" si="14"/>
        <v>0</v>
      </c>
      <c r="E81" s="691">
        <f t="shared" si="14"/>
        <v>0</v>
      </c>
      <c r="F81" s="691">
        <f t="shared" si="14"/>
        <v>0</v>
      </c>
      <c r="G81" s="691">
        <f t="shared" si="14"/>
        <v>0</v>
      </c>
      <c r="H81" s="691">
        <f t="shared" si="14"/>
        <v>0</v>
      </c>
      <c r="I81" s="691">
        <f t="shared" si="14"/>
        <v>0</v>
      </c>
      <c r="J81" s="691">
        <f t="shared" si="14"/>
        <v>0</v>
      </c>
      <c r="K81" s="691">
        <f t="shared" si="14"/>
        <v>0</v>
      </c>
      <c r="L81" s="691">
        <f t="shared" si="14"/>
        <v>0</v>
      </c>
      <c r="M81" s="691">
        <f t="shared" si="14"/>
        <v>0</v>
      </c>
      <c r="N81" s="691">
        <f t="shared" si="14"/>
        <v>0</v>
      </c>
      <c r="O81" s="691">
        <f t="shared" si="14"/>
        <v>0</v>
      </c>
    </row>
    <row r="82" spans="1:15">
      <c r="A82" s="572" t="s">
        <v>1371</v>
      </c>
      <c r="B82" s="686"/>
      <c r="C82" s="691">
        <f t="shared" ref="C82:O82" si="15">C6-C13</f>
        <v>0</v>
      </c>
      <c r="D82" s="691">
        <f t="shared" si="15"/>
        <v>0</v>
      </c>
      <c r="E82" s="691">
        <f t="shared" si="15"/>
        <v>0</v>
      </c>
      <c r="F82" s="691">
        <f t="shared" si="15"/>
        <v>0</v>
      </c>
      <c r="G82" s="691">
        <f t="shared" si="15"/>
        <v>0</v>
      </c>
      <c r="H82" s="691">
        <f t="shared" si="15"/>
        <v>0</v>
      </c>
      <c r="I82" s="691">
        <f t="shared" si="15"/>
        <v>0</v>
      </c>
      <c r="J82" s="691">
        <f t="shared" si="15"/>
        <v>0</v>
      </c>
      <c r="K82" s="691">
        <f t="shared" si="15"/>
        <v>0</v>
      </c>
      <c r="L82" s="691">
        <f t="shared" si="15"/>
        <v>0</v>
      </c>
      <c r="M82" s="691">
        <f t="shared" si="15"/>
        <v>0</v>
      </c>
      <c r="N82" s="691">
        <f t="shared" si="15"/>
        <v>0</v>
      </c>
      <c r="O82" s="691">
        <f t="shared" si="15"/>
        <v>0</v>
      </c>
    </row>
    <row r="83" spans="1:15">
      <c r="A83" s="572" t="s">
        <v>896</v>
      </c>
      <c r="B83" s="688"/>
      <c r="C83" s="691">
        <f t="shared" ref="C83:O83" si="16">C7-C14</f>
        <v>0</v>
      </c>
      <c r="D83" s="691">
        <f t="shared" si="16"/>
        <v>0</v>
      </c>
      <c r="E83" s="691">
        <f t="shared" si="16"/>
        <v>0</v>
      </c>
      <c r="F83" s="691">
        <f t="shared" si="16"/>
        <v>0</v>
      </c>
      <c r="G83" s="691">
        <f t="shared" si="16"/>
        <v>0</v>
      </c>
      <c r="H83" s="691">
        <f t="shared" si="16"/>
        <v>0</v>
      </c>
      <c r="I83" s="691">
        <f t="shared" si="16"/>
        <v>0</v>
      </c>
      <c r="J83" s="691">
        <f t="shared" si="16"/>
        <v>0</v>
      </c>
      <c r="K83" s="691">
        <f t="shared" si="16"/>
        <v>0</v>
      </c>
      <c r="L83" s="691">
        <f t="shared" si="16"/>
        <v>0</v>
      </c>
      <c r="M83" s="691">
        <f t="shared" si="16"/>
        <v>0</v>
      </c>
      <c r="N83" s="691">
        <f t="shared" si="16"/>
        <v>0</v>
      </c>
      <c r="O83" s="691">
        <f t="shared" si="16"/>
        <v>0</v>
      </c>
    </row>
    <row r="84" spans="1:15">
      <c r="A84" s="585" t="s">
        <v>484</v>
      </c>
      <c r="B84" s="688"/>
      <c r="C84" s="691">
        <f t="shared" ref="C84:O84" si="17">C8-C15</f>
        <v>0</v>
      </c>
      <c r="D84" s="691">
        <f t="shared" si="17"/>
        <v>0</v>
      </c>
      <c r="E84" s="691">
        <f t="shared" si="17"/>
        <v>0</v>
      </c>
      <c r="F84" s="691">
        <f t="shared" si="17"/>
        <v>0</v>
      </c>
      <c r="G84" s="691">
        <f t="shared" si="17"/>
        <v>0</v>
      </c>
      <c r="H84" s="691">
        <f t="shared" si="17"/>
        <v>0</v>
      </c>
      <c r="I84" s="691">
        <f t="shared" si="17"/>
        <v>0</v>
      </c>
      <c r="J84" s="691">
        <f t="shared" si="17"/>
        <v>0</v>
      </c>
      <c r="K84" s="691">
        <f t="shared" si="17"/>
        <v>0</v>
      </c>
      <c r="L84" s="691">
        <f t="shared" si="17"/>
        <v>0</v>
      </c>
      <c r="M84" s="691">
        <f t="shared" si="17"/>
        <v>0</v>
      </c>
      <c r="N84" s="691">
        <f t="shared" si="17"/>
        <v>0</v>
      </c>
      <c r="O84" s="691">
        <f t="shared" si="17"/>
        <v>0</v>
      </c>
    </row>
    <row r="85" spans="1:15">
      <c r="A85" s="585" t="s">
        <v>868</v>
      </c>
      <c r="B85" s="688"/>
      <c r="C85" s="691">
        <f t="shared" ref="C85:O85" si="18">C9-C17</f>
        <v>0</v>
      </c>
      <c r="D85" s="691">
        <f t="shared" si="18"/>
        <v>0</v>
      </c>
      <c r="E85" s="691">
        <f t="shared" si="18"/>
        <v>0</v>
      </c>
      <c r="F85" s="691">
        <f t="shared" si="18"/>
        <v>0</v>
      </c>
      <c r="G85" s="691">
        <f t="shared" si="18"/>
        <v>0</v>
      </c>
      <c r="H85" s="691">
        <f t="shared" si="18"/>
        <v>0</v>
      </c>
      <c r="I85" s="691">
        <f t="shared" si="18"/>
        <v>0</v>
      </c>
      <c r="J85" s="691">
        <f t="shared" si="18"/>
        <v>0</v>
      </c>
      <c r="K85" s="691">
        <f t="shared" si="18"/>
        <v>0</v>
      </c>
      <c r="L85" s="691">
        <f t="shared" si="18"/>
        <v>0</v>
      </c>
      <c r="M85" s="691">
        <f t="shared" si="18"/>
        <v>0</v>
      </c>
      <c r="N85" s="691">
        <f t="shared" si="18"/>
        <v>0</v>
      </c>
      <c r="O85" s="691">
        <f t="shared" si="18"/>
        <v>0</v>
      </c>
    </row>
    <row r="86" spans="1:15">
      <c r="A86" s="656" t="s">
        <v>285</v>
      </c>
      <c r="B86" s="688"/>
      <c r="C86" s="691">
        <f t="shared" ref="C86:O86" si="19">C10-C18</f>
        <v>0</v>
      </c>
      <c r="D86" s="691">
        <f t="shared" si="19"/>
        <v>0</v>
      </c>
      <c r="E86" s="691">
        <f t="shared" si="19"/>
        <v>0</v>
      </c>
      <c r="F86" s="691">
        <f t="shared" si="19"/>
        <v>0</v>
      </c>
      <c r="G86" s="691">
        <f t="shared" si="19"/>
        <v>0</v>
      </c>
      <c r="H86" s="691">
        <f t="shared" si="19"/>
        <v>0</v>
      </c>
      <c r="I86" s="691">
        <f t="shared" si="19"/>
        <v>0</v>
      </c>
      <c r="J86" s="691">
        <f t="shared" si="19"/>
        <v>0</v>
      </c>
      <c r="K86" s="691">
        <f t="shared" si="19"/>
        <v>0</v>
      </c>
      <c r="L86" s="691">
        <f t="shared" si="19"/>
        <v>0</v>
      </c>
      <c r="M86" s="691">
        <f t="shared" si="19"/>
        <v>0</v>
      </c>
      <c r="N86" s="691">
        <f t="shared" si="19"/>
        <v>0</v>
      </c>
      <c r="O86" s="691">
        <f t="shared" si="19"/>
        <v>0</v>
      </c>
    </row>
    <row r="87" spans="1:15">
      <c r="A87" s="172" t="s">
        <v>208</v>
      </c>
      <c r="B87" s="625"/>
      <c r="C87" s="625">
        <f>SUM(C81:C86)</f>
        <v>0</v>
      </c>
      <c r="D87" s="625">
        <f t="shared" ref="D87:O87" si="20">SUM(D81:D86)</f>
        <v>0</v>
      </c>
      <c r="E87" s="625">
        <f t="shared" si="20"/>
        <v>0</v>
      </c>
      <c r="F87" s="625">
        <f t="shared" si="20"/>
        <v>0</v>
      </c>
      <c r="G87" s="625">
        <f t="shared" si="20"/>
        <v>0</v>
      </c>
      <c r="H87" s="625">
        <f t="shared" si="20"/>
        <v>0</v>
      </c>
      <c r="I87" s="625">
        <f t="shared" si="20"/>
        <v>0</v>
      </c>
      <c r="J87" s="625">
        <f t="shared" si="20"/>
        <v>0</v>
      </c>
      <c r="K87" s="625">
        <f t="shared" si="20"/>
        <v>0</v>
      </c>
      <c r="L87" s="625">
        <f t="shared" si="20"/>
        <v>0</v>
      </c>
      <c r="M87" s="625">
        <f t="shared" si="20"/>
        <v>0</v>
      </c>
      <c r="N87" s="625">
        <f t="shared" si="20"/>
        <v>0</v>
      </c>
      <c r="O87" s="625">
        <f t="shared" si="20"/>
        <v>0</v>
      </c>
    </row>
  </sheetData>
  <phoneticPr fontId="0" type="noConversion"/>
  <printOptions horizontalCentered="1"/>
  <pageMargins left="0.18" right="0.19" top="0.42" bottom="0.28999999999999998" header="0.17" footer="0.18"/>
  <pageSetup paperSize="9" scale="7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4"/>
  <dimension ref="A1:BB132"/>
  <sheetViews>
    <sheetView zoomScale="80" zoomScaleNormal="80" workbookViewId="0">
      <pane xSplit="1" ySplit="7" topLeftCell="J8" activePane="bottomRight" state="frozen"/>
      <selection pane="topRight" activeCell="B1" sqref="B1"/>
      <selection pane="bottomLeft" activeCell="A8" sqref="A8"/>
      <selection pane="bottomRight" activeCell="K14" sqref="K14"/>
    </sheetView>
  </sheetViews>
  <sheetFormatPr defaultRowHeight="12.75"/>
  <cols>
    <col min="1" max="1" width="32.140625" customWidth="1"/>
    <col min="2" max="2" width="14.28515625" hidden="1" customWidth="1"/>
    <col min="3" max="3" width="15.7109375" customWidth="1"/>
    <col min="4" max="4" width="14.5703125" customWidth="1"/>
    <col min="5" max="5" width="14.28515625" customWidth="1"/>
    <col min="6" max="6" width="13.85546875" bestFit="1" customWidth="1"/>
    <col min="7" max="7" width="17.7109375" customWidth="1"/>
    <col min="8" max="8" width="12.85546875" customWidth="1"/>
    <col min="9" max="9" width="12.7109375" customWidth="1"/>
    <col min="10" max="10" width="16" customWidth="1"/>
    <col min="11" max="11" width="14.140625" customWidth="1"/>
    <col min="12" max="12" width="13.7109375" bestFit="1" customWidth="1"/>
    <col min="13" max="13" width="10.85546875" customWidth="1"/>
    <col min="14" max="14" width="14.28515625" customWidth="1"/>
    <col min="15" max="15" width="17.28515625" customWidth="1"/>
    <col min="16" max="16" width="13.28515625" customWidth="1"/>
    <col min="17" max="17" width="11.42578125" customWidth="1"/>
    <col min="18" max="18" width="15.7109375" bestFit="1" customWidth="1"/>
    <col min="19" max="19" width="13.42578125" bestFit="1" customWidth="1"/>
    <col min="20" max="20" width="14.140625" customWidth="1"/>
    <col min="21" max="21" width="10.28515625" customWidth="1"/>
    <col min="22" max="22" width="14" customWidth="1"/>
    <col min="23" max="24" width="14.5703125" bestFit="1" customWidth="1"/>
    <col min="25" max="25" width="10.140625" customWidth="1"/>
    <col min="26" max="26" width="14.5703125" customWidth="1"/>
    <col min="27" max="27" width="13.28515625" customWidth="1"/>
    <col min="28" max="28" width="14.5703125" customWidth="1"/>
    <col min="29" max="29" width="13.140625" customWidth="1"/>
    <col min="30" max="30" width="14.7109375" customWidth="1"/>
    <col min="31" max="31" width="14.5703125" bestFit="1" customWidth="1"/>
    <col min="32" max="32" width="13.7109375" customWidth="1"/>
    <col min="33" max="33" width="10.42578125" customWidth="1"/>
    <col min="34" max="34" width="15.28515625" customWidth="1"/>
    <col min="35" max="35" width="14.42578125" customWidth="1"/>
    <col min="36" max="36" width="13.42578125" bestFit="1" customWidth="1"/>
    <col min="37" max="38" width="11.42578125" customWidth="1"/>
    <col min="39" max="39" width="15" customWidth="1"/>
    <col min="40" max="40" width="14.28515625" customWidth="1"/>
    <col min="41" max="41" width="16.5703125" customWidth="1"/>
    <col min="42" max="42" width="15.5703125" customWidth="1"/>
    <col min="43" max="43" width="14.85546875" customWidth="1"/>
    <col min="44" max="44" width="12.5703125" customWidth="1"/>
    <col min="45" max="45" width="11.42578125" customWidth="1"/>
    <col min="46" max="46" width="15.7109375" customWidth="1"/>
    <col min="47" max="47" width="15.28515625" customWidth="1"/>
    <col min="48" max="48" width="14.140625" customWidth="1"/>
    <col min="49" max="49" width="9.140625" customWidth="1"/>
    <col min="50" max="50" width="15.28515625" customWidth="1"/>
  </cols>
  <sheetData>
    <row r="1" spans="1:54" ht="23.25">
      <c r="D1" s="10"/>
      <c r="E1" s="10"/>
      <c r="F1" s="661"/>
      <c r="H1" s="1197" t="s">
        <v>3024</v>
      </c>
      <c r="J1" s="1496"/>
      <c r="K1" s="22"/>
      <c r="M1" s="10"/>
      <c r="N1" s="1198"/>
      <c r="P1" s="10"/>
      <c r="Q1" s="10"/>
      <c r="R1" s="10"/>
      <c r="S1" s="10"/>
      <c r="T1" s="10"/>
      <c r="U1" s="10"/>
      <c r="V1" s="10"/>
      <c r="W1" s="10"/>
      <c r="X1" s="10"/>
      <c r="Y1" s="1198" t="s">
        <v>2883</v>
      </c>
      <c r="AB1" s="10"/>
      <c r="AC1" s="10"/>
      <c r="AF1" s="10"/>
      <c r="AJ1" s="1198" t="s">
        <v>2883</v>
      </c>
      <c r="AK1" s="10"/>
      <c r="AT1" s="1198" t="s">
        <v>2883</v>
      </c>
    </row>
    <row r="2" spans="1:54">
      <c r="A2" s="731" t="s">
        <v>256</v>
      </c>
      <c r="B2" s="732" t="s">
        <v>894</v>
      </c>
      <c r="C2" s="732"/>
      <c r="D2" s="732"/>
      <c r="E2" s="732"/>
      <c r="F2" s="733"/>
      <c r="G2" s="732"/>
      <c r="H2" s="732"/>
      <c r="I2" s="732"/>
      <c r="J2" s="732"/>
      <c r="K2" s="732"/>
      <c r="L2" s="734"/>
      <c r="M2" s="732"/>
      <c r="N2" s="732"/>
      <c r="O2" s="732"/>
      <c r="P2" s="732"/>
      <c r="Q2" s="732"/>
      <c r="R2" s="732"/>
      <c r="S2" s="732"/>
      <c r="T2" s="732"/>
      <c r="U2" s="732"/>
      <c r="V2" s="732"/>
      <c r="W2" s="732"/>
      <c r="X2" s="732"/>
      <c r="Y2" s="732"/>
      <c r="Z2" s="732"/>
      <c r="AA2" s="732"/>
      <c r="AB2" s="732"/>
      <c r="AC2" s="732"/>
      <c r="AD2" s="732"/>
      <c r="AE2" s="732"/>
      <c r="AF2" s="732"/>
      <c r="AG2" s="732"/>
      <c r="AH2" s="732"/>
      <c r="AI2" s="732"/>
      <c r="AJ2" s="732"/>
      <c r="AK2" s="732"/>
      <c r="AL2" s="732"/>
      <c r="AM2" s="732"/>
      <c r="AN2" s="732"/>
      <c r="AO2" s="732"/>
      <c r="AP2" s="732"/>
      <c r="AQ2" s="732"/>
      <c r="AR2" s="732"/>
      <c r="AS2" s="732"/>
      <c r="AT2" s="732"/>
      <c r="AU2" s="732"/>
      <c r="AV2" s="732"/>
      <c r="AW2" s="732"/>
      <c r="AX2" s="732"/>
      <c r="AY2" s="732"/>
      <c r="AZ2" s="732"/>
      <c r="BA2" s="732"/>
      <c r="BB2" s="732"/>
    </row>
    <row r="3" spans="1:54">
      <c r="A3" s="732"/>
      <c r="B3" s="735"/>
      <c r="C3" s="736"/>
      <c r="D3" s="726" t="s">
        <v>2247</v>
      </c>
      <c r="E3" s="726"/>
      <c r="F3" s="737"/>
      <c r="G3" s="725"/>
      <c r="H3" s="726" t="s">
        <v>2246</v>
      </c>
      <c r="I3" s="726"/>
      <c r="J3" s="737"/>
      <c r="K3" s="725"/>
      <c r="L3" s="726" t="s">
        <v>2245</v>
      </c>
      <c r="M3" s="726"/>
      <c r="N3" s="737"/>
      <c r="O3" s="725"/>
      <c r="P3" s="726" t="s">
        <v>2244</v>
      </c>
      <c r="Q3" s="726"/>
      <c r="R3" s="737"/>
      <c r="S3" s="725"/>
      <c r="T3" s="726" t="s">
        <v>2243</v>
      </c>
      <c r="U3" s="726"/>
      <c r="V3" s="737"/>
      <c r="W3" s="725"/>
      <c r="X3" s="726" t="s">
        <v>2242</v>
      </c>
      <c r="Y3" s="726"/>
      <c r="Z3" s="737"/>
      <c r="AA3" s="725"/>
      <c r="AB3" s="726" t="s">
        <v>2241</v>
      </c>
      <c r="AC3" s="726"/>
      <c r="AD3" s="737"/>
      <c r="AE3" s="725"/>
      <c r="AF3" s="726" t="s">
        <v>2240</v>
      </c>
      <c r="AG3" s="726"/>
      <c r="AH3" s="737"/>
      <c r="AI3" s="725"/>
      <c r="AJ3" s="726" t="s">
        <v>2239</v>
      </c>
      <c r="AK3" s="726"/>
      <c r="AL3" s="737"/>
      <c r="AM3" s="725"/>
      <c r="AN3" s="726" t="s">
        <v>2237</v>
      </c>
      <c r="AO3" s="726"/>
      <c r="AP3" s="737"/>
      <c r="AQ3" s="725"/>
      <c r="AR3" s="726" t="s">
        <v>2238</v>
      </c>
      <c r="AS3" s="726"/>
      <c r="AT3" s="737"/>
      <c r="AU3" s="725"/>
      <c r="AW3" s="726" t="s">
        <v>2236</v>
      </c>
      <c r="AX3" s="737"/>
      <c r="AY3" s="725"/>
      <c r="AZ3" s="726" t="s">
        <v>2235</v>
      </c>
      <c r="BA3" s="726"/>
      <c r="BB3" s="737"/>
    </row>
    <row r="4" spans="1:54" ht="51">
      <c r="A4" s="668" t="s">
        <v>223</v>
      </c>
      <c r="B4" s="728" t="s">
        <v>2248</v>
      </c>
      <c r="C4" s="729" t="s">
        <v>1680</v>
      </c>
      <c r="D4" s="729" t="s">
        <v>1681</v>
      </c>
      <c r="E4" s="729" t="s">
        <v>895</v>
      </c>
      <c r="F4" s="730" t="s">
        <v>1682</v>
      </c>
      <c r="G4" s="729" t="s">
        <v>1680</v>
      </c>
      <c r="H4" s="729" t="s">
        <v>1681</v>
      </c>
      <c r="I4" s="729" t="s">
        <v>895</v>
      </c>
      <c r="J4" s="730" t="s">
        <v>1683</v>
      </c>
      <c r="K4" s="729" t="s">
        <v>1680</v>
      </c>
      <c r="L4" s="729" t="s">
        <v>1681</v>
      </c>
      <c r="M4" s="729" t="s">
        <v>895</v>
      </c>
      <c r="N4" s="730" t="s">
        <v>1684</v>
      </c>
      <c r="O4" s="729" t="s">
        <v>1680</v>
      </c>
      <c r="P4" s="729" t="s">
        <v>1681</v>
      </c>
      <c r="Q4" s="729" t="s">
        <v>895</v>
      </c>
      <c r="R4" s="730" t="s">
        <v>1685</v>
      </c>
      <c r="S4" s="729" t="s">
        <v>1680</v>
      </c>
      <c r="T4" s="729" t="s">
        <v>1681</v>
      </c>
      <c r="U4" s="729" t="s">
        <v>895</v>
      </c>
      <c r="V4" s="730" t="s">
        <v>1686</v>
      </c>
      <c r="W4" s="729" t="s">
        <v>1680</v>
      </c>
      <c r="X4" s="729" t="s">
        <v>1681</v>
      </c>
      <c r="Y4" s="729" t="s">
        <v>895</v>
      </c>
      <c r="Z4" s="730" t="s">
        <v>1687</v>
      </c>
      <c r="AA4" s="729" t="s">
        <v>1680</v>
      </c>
      <c r="AB4" s="729" t="s">
        <v>1681</v>
      </c>
      <c r="AC4" s="729" t="s">
        <v>895</v>
      </c>
      <c r="AD4" s="730" t="s">
        <v>1688</v>
      </c>
      <c r="AE4" s="729" t="s">
        <v>1680</v>
      </c>
      <c r="AF4" s="729" t="s">
        <v>1681</v>
      </c>
      <c r="AG4" s="729" t="s">
        <v>895</v>
      </c>
      <c r="AH4" s="730" t="s">
        <v>1689</v>
      </c>
      <c r="AI4" s="729" t="s">
        <v>1680</v>
      </c>
      <c r="AJ4" s="729" t="s">
        <v>1681</v>
      </c>
      <c r="AK4" s="729" t="s">
        <v>895</v>
      </c>
      <c r="AL4" s="730" t="s">
        <v>1690</v>
      </c>
      <c r="AM4" s="729" t="s">
        <v>1680</v>
      </c>
      <c r="AN4" s="729" t="s">
        <v>1681</v>
      </c>
      <c r="AO4" s="729" t="s">
        <v>895</v>
      </c>
      <c r="AP4" s="730" t="s">
        <v>1691</v>
      </c>
      <c r="AQ4" s="729" t="s">
        <v>1680</v>
      </c>
      <c r="AR4" s="729" t="s">
        <v>1681</v>
      </c>
      <c r="AS4" s="729" t="s">
        <v>895</v>
      </c>
      <c r="AT4" s="730" t="s">
        <v>1692</v>
      </c>
      <c r="AU4" s="729" t="s">
        <v>1680</v>
      </c>
      <c r="AV4" s="729" t="s">
        <v>1681</v>
      </c>
      <c r="AW4" s="729" t="s">
        <v>895</v>
      </c>
      <c r="AX4" s="730" t="s">
        <v>1695</v>
      </c>
      <c r="AY4" s="729" t="s">
        <v>1680</v>
      </c>
      <c r="AZ4" s="729" t="s">
        <v>1681</v>
      </c>
      <c r="BA4" s="729" t="s">
        <v>895</v>
      </c>
      <c r="BB4" s="730" t="s">
        <v>1695</v>
      </c>
    </row>
    <row r="5" spans="1:54">
      <c r="A5" s="11" t="s">
        <v>224</v>
      </c>
      <c r="B5" s="15"/>
      <c r="C5" s="15"/>
      <c r="D5" s="15"/>
      <c r="E5" s="15"/>
      <c r="F5" s="662">
        <v>0</v>
      </c>
      <c r="G5" s="15"/>
      <c r="H5" s="15"/>
      <c r="I5" s="15"/>
      <c r="J5" s="662">
        <v>0</v>
      </c>
      <c r="K5" s="15"/>
      <c r="L5" s="15"/>
      <c r="M5" s="15"/>
      <c r="N5" s="661">
        <f>K5-L5</f>
        <v>0</v>
      </c>
      <c r="O5" s="15"/>
      <c r="P5" s="15"/>
      <c r="Q5" s="15"/>
      <c r="R5" s="662">
        <v>0</v>
      </c>
      <c r="S5" s="15"/>
      <c r="T5" s="15"/>
      <c r="U5" s="15"/>
      <c r="V5" s="662">
        <v>0</v>
      </c>
      <c r="W5" s="15"/>
      <c r="X5" s="15"/>
      <c r="Y5" s="15"/>
      <c r="Z5" s="662">
        <v>0</v>
      </c>
      <c r="AA5" s="15"/>
      <c r="AB5" s="15"/>
      <c r="AC5" s="15"/>
      <c r="AD5" s="662">
        <v>0</v>
      </c>
      <c r="AE5" s="15"/>
      <c r="AF5" s="15"/>
      <c r="AG5" s="15"/>
      <c r="AH5" s="662">
        <v>0</v>
      </c>
      <c r="AI5" s="15"/>
      <c r="AJ5" s="15"/>
      <c r="AK5" s="15"/>
      <c r="AL5" s="662">
        <v>0</v>
      </c>
      <c r="AM5" s="15"/>
      <c r="AN5" s="15"/>
      <c r="AO5" s="15"/>
      <c r="AP5" s="662">
        <v>0</v>
      </c>
      <c r="AQ5" s="15"/>
      <c r="AR5" s="15"/>
      <c r="AS5" s="15"/>
      <c r="AT5" s="662">
        <v>0</v>
      </c>
      <c r="AU5" s="15"/>
      <c r="AV5" s="15"/>
      <c r="AW5" s="15"/>
      <c r="AX5" s="662">
        <v>0</v>
      </c>
      <c r="AY5" s="15"/>
      <c r="AZ5" s="15"/>
      <c r="BA5" s="15"/>
      <c r="BB5" s="662">
        <v>0</v>
      </c>
    </row>
    <row r="6" spans="1:54">
      <c r="A6" s="12" t="s">
        <v>225</v>
      </c>
      <c r="B6" s="15">
        <f t="shared" ref="B6:AG6" si="0">B7+B26</f>
        <v>0</v>
      </c>
      <c r="C6" s="15">
        <f>C7+C26</f>
        <v>166758.93841249999</v>
      </c>
      <c r="D6" s="15">
        <f t="shared" si="0"/>
        <v>166758.93841249999</v>
      </c>
      <c r="E6" s="15">
        <f t="shared" si="0"/>
        <v>0</v>
      </c>
      <c r="F6" s="662">
        <f t="shared" si="0"/>
        <v>0</v>
      </c>
      <c r="G6" s="15">
        <f t="shared" si="0"/>
        <v>161668.26415025</v>
      </c>
      <c r="H6" s="844">
        <f t="shared" si="0"/>
        <v>161668.26415025</v>
      </c>
      <c r="I6" s="844">
        <f t="shared" si="0"/>
        <v>0</v>
      </c>
      <c r="J6" s="846">
        <f t="shared" si="0"/>
        <v>0</v>
      </c>
      <c r="K6" s="15">
        <f t="shared" si="0"/>
        <v>208992.39620359999</v>
      </c>
      <c r="L6" s="15">
        <f t="shared" si="0"/>
        <v>129884.1812036</v>
      </c>
      <c r="M6" s="15">
        <f t="shared" si="0"/>
        <v>0</v>
      </c>
      <c r="N6" s="662">
        <f t="shared" si="0"/>
        <v>79108.214999999997</v>
      </c>
      <c r="O6" s="15">
        <f t="shared" si="0"/>
        <v>341244.28076133004</v>
      </c>
      <c r="P6" s="15">
        <f t="shared" si="0"/>
        <v>341244.28076133004</v>
      </c>
      <c r="Q6" s="15">
        <f t="shared" si="0"/>
        <v>0</v>
      </c>
      <c r="R6" s="662">
        <f t="shared" si="0"/>
        <v>0</v>
      </c>
      <c r="S6" s="15">
        <f t="shared" si="0"/>
        <v>146734.5</v>
      </c>
      <c r="T6" s="844">
        <f t="shared" si="0"/>
        <v>146734.5</v>
      </c>
      <c r="U6" s="844">
        <f t="shared" si="0"/>
        <v>0</v>
      </c>
      <c r="V6" s="662">
        <f t="shared" si="0"/>
        <v>0</v>
      </c>
      <c r="W6" s="15">
        <f t="shared" si="0"/>
        <v>211025.24588551998</v>
      </c>
      <c r="X6" s="15">
        <f t="shared" si="0"/>
        <v>211025.24588551998</v>
      </c>
      <c r="Y6" s="15">
        <f t="shared" si="0"/>
        <v>0</v>
      </c>
      <c r="Z6" s="662">
        <f t="shared" si="0"/>
        <v>0</v>
      </c>
      <c r="AA6" s="15">
        <f t="shared" si="0"/>
        <v>446954.85599999997</v>
      </c>
      <c r="AB6" s="15">
        <f>AB7+AB26</f>
        <v>118204.856</v>
      </c>
      <c r="AC6" s="15">
        <f t="shared" si="0"/>
        <v>0</v>
      </c>
      <c r="AD6" s="662">
        <f t="shared" si="0"/>
        <v>328750</v>
      </c>
      <c r="AE6" s="15">
        <f t="shared" si="0"/>
        <v>159878.886</v>
      </c>
      <c r="AF6" s="15">
        <f t="shared" si="0"/>
        <v>159878.886</v>
      </c>
      <c r="AG6" s="15">
        <f t="shared" si="0"/>
        <v>0</v>
      </c>
      <c r="AH6" s="662">
        <f t="shared" ref="AH6:BB6" si="1">AH7+AH26</f>
        <v>0</v>
      </c>
      <c r="AI6" s="15">
        <f t="shared" si="1"/>
        <v>273286.26199999999</v>
      </c>
      <c r="AJ6" s="15">
        <f t="shared" si="1"/>
        <v>69572.861000000004</v>
      </c>
      <c r="AK6" s="15">
        <f t="shared" si="1"/>
        <v>0</v>
      </c>
      <c r="AL6" s="662">
        <f t="shared" si="1"/>
        <v>203713.40100000001</v>
      </c>
      <c r="AM6" s="15">
        <f t="shared" si="1"/>
        <v>509501.68685250002</v>
      </c>
      <c r="AN6" s="15">
        <f t="shared" si="1"/>
        <v>206251.68685250002</v>
      </c>
      <c r="AO6" s="15">
        <f t="shared" si="1"/>
        <v>0</v>
      </c>
      <c r="AP6" s="662">
        <f t="shared" si="1"/>
        <v>303250</v>
      </c>
      <c r="AQ6" s="15">
        <f t="shared" si="1"/>
        <v>149487.76217</v>
      </c>
      <c r="AR6" s="15">
        <f t="shared" si="1"/>
        <v>149487.76217</v>
      </c>
      <c r="AS6" s="15">
        <f t="shared" si="1"/>
        <v>0</v>
      </c>
      <c r="AT6" s="662">
        <f t="shared" si="1"/>
        <v>0</v>
      </c>
      <c r="AU6" s="15">
        <f t="shared" si="1"/>
        <v>922841.45</v>
      </c>
      <c r="AV6" s="15">
        <f t="shared" si="1"/>
        <v>857180</v>
      </c>
      <c r="AW6" s="15">
        <f t="shared" si="1"/>
        <v>0</v>
      </c>
      <c r="AX6" s="662">
        <f t="shared" si="1"/>
        <v>65661.45</v>
      </c>
      <c r="AY6" s="15">
        <f t="shared" si="1"/>
        <v>0</v>
      </c>
      <c r="AZ6" s="15">
        <f t="shared" si="1"/>
        <v>0</v>
      </c>
      <c r="BA6" s="15">
        <f t="shared" si="1"/>
        <v>0</v>
      </c>
      <c r="BB6" s="662">
        <f t="shared" si="1"/>
        <v>0</v>
      </c>
    </row>
    <row r="7" spans="1:54">
      <c r="A7" s="13" t="s">
        <v>226</v>
      </c>
      <c r="B7" s="16">
        <f t="shared" ref="B7:AG7" si="2">SUM(B8:B25)</f>
        <v>0</v>
      </c>
      <c r="C7" s="16">
        <f t="shared" si="2"/>
        <v>166758.93841249999</v>
      </c>
      <c r="D7" s="16">
        <f t="shared" si="2"/>
        <v>166758.93841249999</v>
      </c>
      <c r="E7" s="16">
        <f t="shared" si="2"/>
        <v>0</v>
      </c>
      <c r="F7" s="663">
        <f t="shared" si="2"/>
        <v>0</v>
      </c>
      <c r="G7" s="16">
        <f t="shared" si="2"/>
        <v>161668.26415025</v>
      </c>
      <c r="H7" s="845">
        <f t="shared" si="2"/>
        <v>161668.26415025</v>
      </c>
      <c r="I7" s="845">
        <f t="shared" si="2"/>
        <v>0</v>
      </c>
      <c r="J7" s="847">
        <f t="shared" si="2"/>
        <v>0</v>
      </c>
      <c r="K7" s="16">
        <f t="shared" si="2"/>
        <v>208992.39620359999</v>
      </c>
      <c r="L7" s="16">
        <f t="shared" si="2"/>
        <v>129884.1812036</v>
      </c>
      <c r="M7" s="16">
        <f t="shared" si="2"/>
        <v>0</v>
      </c>
      <c r="N7" s="663">
        <f t="shared" si="2"/>
        <v>79108.214999999997</v>
      </c>
      <c r="O7" s="16">
        <f t="shared" si="2"/>
        <v>341244.28076133004</v>
      </c>
      <c r="P7" s="16">
        <f t="shared" si="2"/>
        <v>341244.28076133004</v>
      </c>
      <c r="Q7" s="16">
        <f t="shared" si="2"/>
        <v>0</v>
      </c>
      <c r="R7" s="663">
        <f t="shared" si="2"/>
        <v>0</v>
      </c>
      <c r="S7" s="16">
        <f t="shared" si="2"/>
        <v>0</v>
      </c>
      <c r="T7" s="845">
        <f t="shared" si="2"/>
        <v>0</v>
      </c>
      <c r="U7" s="845">
        <f t="shared" si="2"/>
        <v>0</v>
      </c>
      <c r="V7" s="663">
        <f t="shared" si="2"/>
        <v>0</v>
      </c>
      <c r="W7" s="16">
        <f t="shared" si="2"/>
        <v>211025.24588551998</v>
      </c>
      <c r="X7" s="16">
        <f t="shared" si="2"/>
        <v>211025.24588551998</v>
      </c>
      <c r="Y7" s="16">
        <f t="shared" si="2"/>
        <v>0</v>
      </c>
      <c r="Z7" s="663">
        <f t="shared" si="2"/>
        <v>0</v>
      </c>
      <c r="AA7" s="16">
        <f t="shared" si="2"/>
        <v>446954.85599999997</v>
      </c>
      <c r="AB7" s="16">
        <f t="shared" si="2"/>
        <v>118204.856</v>
      </c>
      <c r="AC7" s="16">
        <f t="shared" si="2"/>
        <v>0</v>
      </c>
      <c r="AD7" s="663">
        <f t="shared" si="2"/>
        <v>328750</v>
      </c>
      <c r="AE7" s="16">
        <f t="shared" si="2"/>
        <v>159878.886</v>
      </c>
      <c r="AF7" s="16">
        <f t="shared" si="2"/>
        <v>159878.886</v>
      </c>
      <c r="AG7" s="16">
        <f t="shared" si="2"/>
        <v>0</v>
      </c>
      <c r="AH7" s="663">
        <f t="shared" ref="AH7:BB7" si="3">SUM(AH8:AH25)</f>
        <v>0</v>
      </c>
      <c r="AI7" s="16">
        <f t="shared" si="3"/>
        <v>273286.26199999999</v>
      </c>
      <c r="AJ7" s="16">
        <f t="shared" si="3"/>
        <v>69572.861000000004</v>
      </c>
      <c r="AK7" s="16">
        <f t="shared" si="3"/>
        <v>0</v>
      </c>
      <c r="AL7" s="663">
        <f t="shared" si="3"/>
        <v>203713.40100000001</v>
      </c>
      <c r="AM7" s="1652">
        <f t="shared" si="3"/>
        <v>509501.68685250002</v>
      </c>
      <c r="AN7" s="16">
        <f t="shared" si="3"/>
        <v>206251.68685250002</v>
      </c>
      <c r="AO7" s="16">
        <f t="shared" si="3"/>
        <v>0</v>
      </c>
      <c r="AP7" s="663">
        <f t="shared" si="3"/>
        <v>303250</v>
      </c>
      <c r="AQ7" s="16">
        <f t="shared" si="3"/>
        <v>0</v>
      </c>
      <c r="AR7" s="16">
        <f t="shared" si="3"/>
        <v>0</v>
      </c>
      <c r="AS7" s="16">
        <f t="shared" si="3"/>
        <v>0</v>
      </c>
      <c r="AT7" s="663">
        <f t="shared" si="3"/>
        <v>0</v>
      </c>
      <c r="AU7" s="16">
        <f t="shared" si="3"/>
        <v>922841.45</v>
      </c>
      <c r="AV7" s="16">
        <f t="shared" si="3"/>
        <v>857180</v>
      </c>
      <c r="AW7" s="16">
        <f t="shared" si="3"/>
        <v>0</v>
      </c>
      <c r="AX7" s="663">
        <f t="shared" si="3"/>
        <v>65661.45</v>
      </c>
      <c r="AY7" s="16">
        <f t="shared" si="3"/>
        <v>0</v>
      </c>
      <c r="AZ7" s="16">
        <f t="shared" si="3"/>
        <v>0</v>
      </c>
      <c r="BA7" s="16">
        <f t="shared" si="3"/>
        <v>0</v>
      </c>
      <c r="BB7" s="663">
        <f t="shared" si="3"/>
        <v>0</v>
      </c>
    </row>
    <row r="8" spans="1:54">
      <c r="A8" s="2" t="s">
        <v>227</v>
      </c>
      <c r="B8" s="17"/>
      <c r="C8" s="17">
        <v>2983.2338031999998</v>
      </c>
      <c r="D8" s="17">
        <v>2983.2338031999998</v>
      </c>
      <c r="E8" s="17"/>
      <c r="F8" s="661">
        <f>+C8-D8-E8</f>
        <v>0</v>
      </c>
      <c r="G8" s="17">
        <f>144777.54179025+16890.72236</f>
        <v>161668.26415025</v>
      </c>
      <c r="H8" s="17">
        <f>144777.54179025+16890.72236</f>
        <v>161668.26415025</v>
      </c>
      <c r="I8" s="655"/>
      <c r="J8" s="850">
        <f>G8-H8</f>
        <v>0</v>
      </c>
      <c r="K8" s="872"/>
      <c r="L8" s="872"/>
      <c r="M8" s="17"/>
      <c r="N8" s="661">
        <f>K8-L8</f>
        <v>0</v>
      </c>
      <c r="O8" s="873"/>
      <c r="P8" s="873"/>
      <c r="Q8" s="17"/>
      <c r="R8" s="661">
        <f>O8-P8</f>
        <v>0</v>
      </c>
      <c r="S8" s="18"/>
      <c r="T8" s="18"/>
      <c r="U8" s="655"/>
      <c r="V8" s="661">
        <f>S8-T8</f>
        <v>0</v>
      </c>
      <c r="W8" s="864"/>
      <c r="X8" s="864"/>
      <c r="Y8" s="17"/>
      <c r="Z8" s="661">
        <f>W8-X8</f>
        <v>0</v>
      </c>
      <c r="AA8" s="17"/>
      <c r="AB8" s="17"/>
      <c r="AC8" s="17"/>
      <c r="AD8" s="661">
        <f>AA8-AB8</f>
        <v>0</v>
      </c>
      <c r="AE8" s="17">
        <v>159878.886</v>
      </c>
      <c r="AF8" s="17">
        <v>159878.886</v>
      </c>
      <c r="AG8" s="17"/>
      <c r="AH8" s="661">
        <f>AE8-AF8</f>
        <v>0</v>
      </c>
      <c r="AI8" s="864"/>
      <c r="AJ8" s="864"/>
      <c r="AK8" s="17"/>
      <c r="AL8" s="661">
        <f>AI8-AJ8</f>
        <v>0</v>
      </c>
      <c r="AM8" s="17">
        <v>166310</v>
      </c>
      <c r="AN8" s="17">
        <v>166310</v>
      </c>
      <c r="AO8" s="17"/>
      <c r="AP8" s="661">
        <f>AM8-AN8</f>
        <v>0</v>
      </c>
      <c r="AQ8" s="17"/>
      <c r="AR8" s="17"/>
      <c r="AS8" s="17"/>
      <c r="AT8" s="661">
        <f>AQ8-AR8</f>
        <v>0</v>
      </c>
      <c r="AU8" s="17"/>
      <c r="AV8" s="17"/>
      <c r="AW8" s="17"/>
      <c r="AX8" s="661">
        <f>AU8-AV8</f>
        <v>0</v>
      </c>
      <c r="AY8" s="17"/>
      <c r="AZ8" s="17"/>
      <c r="BA8" s="17"/>
      <c r="BB8" s="661">
        <f>AY8-AZ8</f>
        <v>0</v>
      </c>
    </row>
    <row r="9" spans="1:54">
      <c r="A9" s="3" t="s">
        <v>228</v>
      </c>
      <c r="B9" s="17"/>
      <c r="C9" s="17"/>
      <c r="D9" s="17"/>
      <c r="E9" s="17"/>
      <c r="F9" s="661">
        <f t="shared" ref="F9:F25" si="4">C9-D9</f>
        <v>0</v>
      </c>
      <c r="G9" s="17"/>
      <c r="H9" s="1591"/>
      <c r="I9" s="848"/>
      <c r="J9" s="661">
        <f t="shared" ref="J9:J25" si="5">G9-H9</f>
        <v>0</v>
      </c>
      <c r="K9" s="17"/>
      <c r="L9" s="17"/>
      <c r="M9" s="17"/>
      <c r="N9" s="661">
        <f t="shared" ref="N9:N25" si="6">K9-L9</f>
        <v>0</v>
      </c>
      <c r="O9" s="17"/>
      <c r="P9" s="17"/>
      <c r="Q9" s="17"/>
      <c r="R9" s="661">
        <f t="shared" ref="R9:R25" si="7">O9-P9</f>
        <v>0</v>
      </c>
      <c r="S9" s="1496"/>
      <c r="T9" s="1496"/>
      <c r="U9" s="655"/>
      <c r="V9" s="661">
        <f t="shared" ref="V9:V25" si="8">S9-T9</f>
        <v>0</v>
      </c>
      <c r="W9" s="864"/>
      <c r="X9" s="864"/>
      <c r="Y9" s="17"/>
      <c r="Z9" s="661">
        <f t="shared" ref="Z9:Z25" si="9">W9-X9</f>
        <v>0</v>
      </c>
      <c r="AA9" s="17"/>
      <c r="AB9" s="17"/>
      <c r="AC9" s="17"/>
      <c r="AD9" s="661">
        <f t="shared" ref="AD9:AD25" si="10">AA9-AB9</f>
        <v>0</v>
      </c>
      <c r="AE9" s="17"/>
      <c r="AF9" s="17"/>
      <c r="AG9" s="17"/>
      <c r="AH9" s="661">
        <f t="shared" ref="AH9:AH25" si="11">AE9-AF9</f>
        <v>0</v>
      </c>
      <c r="AI9" s="18"/>
      <c r="AJ9" s="18"/>
      <c r="AK9" s="18"/>
      <c r="AL9" s="661">
        <f t="shared" ref="AL9:AL25" si="12">AI9-AJ9</f>
        <v>0</v>
      </c>
      <c r="AM9" s="18"/>
      <c r="AN9" s="18"/>
      <c r="AO9" s="18"/>
      <c r="AP9" s="661">
        <f t="shared" ref="AP9:AP25" si="13">AM9-AN9</f>
        <v>0</v>
      </c>
      <c r="AQ9" s="18"/>
      <c r="AR9" s="18"/>
      <c r="AS9" s="18"/>
      <c r="AT9" s="661">
        <f t="shared" ref="AT9:AT25" si="14">AQ9-AR9</f>
        <v>0</v>
      </c>
      <c r="AU9" s="18"/>
      <c r="AV9" s="18"/>
      <c r="AW9" s="18"/>
      <c r="AX9" s="661">
        <f t="shared" ref="AX9:AX25" si="15">AU9-AV9</f>
        <v>0</v>
      </c>
      <c r="AY9" s="18"/>
      <c r="AZ9" s="18"/>
      <c r="BA9" s="18"/>
      <c r="BB9" s="661">
        <f t="shared" ref="BB9:BB25" si="16">AY9-AZ9</f>
        <v>0</v>
      </c>
    </row>
    <row r="10" spans="1:54" ht="15">
      <c r="A10" s="14" t="s">
        <v>229</v>
      </c>
      <c r="B10" s="18"/>
      <c r="C10" s="17"/>
      <c r="D10" s="17"/>
      <c r="E10" s="18"/>
      <c r="F10" s="661">
        <f t="shared" si="4"/>
        <v>0</v>
      </c>
      <c r="G10" s="864"/>
      <c r="H10" s="864"/>
      <c r="I10" s="849"/>
      <c r="J10" s="661">
        <f t="shared" si="5"/>
        <v>0</v>
      </c>
      <c r="K10" s="864">
        <v>117250</v>
      </c>
      <c r="L10" s="864">
        <v>117250</v>
      </c>
      <c r="M10" s="18"/>
      <c r="N10" s="661">
        <f t="shared" si="6"/>
        <v>0</v>
      </c>
      <c r="O10" s="864">
        <v>301059.08685000002</v>
      </c>
      <c r="P10" s="864">
        <v>301059.08685000002</v>
      </c>
      <c r="Q10" s="18"/>
      <c r="R10" s="661">
        <f t="shared" si="7"/>
        <v>0</v>
      </c>
      <c r="S10" s="1565"/>
      <c r="T10" s="1565"/>
      <c r="U10" s="843"/>
      <c r="V10" s="661">
        <f>S10-T10</f>
        <v>0</v>
      </c>
      <c r="W10" s="864"/>
      <c r="X10" s="864"/>
      <c r="Y10" s="18"/>
      <c r="Z10" s="661">
        <f t="shared" si="9"/>
        <v>0</v>
      </c>
      <c r="AA10" s="18">
        <v>328750</v>
      </c>
      <c r="AB10" s="1434"/>
      <c r="AC10" s="18"/>
      <c r="AD10" s="661">
        <f t="shared" si="10"/>
        <v>328750</v>
      </c>
      <c r="AE10" s="18"/>
      <c r="AF10" s="18"/>
      <c r="AG10" s="18"/>
      <c r="AH10" s="661">
        <f t="shared" si="11"/>
        <v>0</v>
      </c>
      <c r="AI10" s="18">
        <v>121253.501</v>
      </c>
      <c r="AJ10" s="2017"/>
      <c r="AK10" s="18"/>
      <c r="AL10" s="661">
        <f t="shared" si="12"/>
        <v>121253.501</v>
      </c>
      <c r="AM10" s="18">
        <v>303250</v>
      </c>
      <c r="AN10" s="2017"/>
      <c r="AO10" s="18"/>
      <c r="AP10" s="661">
        <f t="shared" si="13"/>
        <v>303250</v>
      </c>
      <c r="AQ10" s="18"/>
      <c r="AR10" s="18"/>
      <c r="AS10" s="18"/>
      <c r="AT10" s="661">
        <f t="shared" si="14"/>
        <v>0</v>
      </c>
      <c r="AU10" s="18">
        <v>857180</v>
      </c>
      <c r="AV10" s="18">
        <v>857180</v>
      </c>
      <c r="AW10" s="18"/>
      <c r="AX10" s="661">
        <f t="shared" si="15"/>
        <v>0</v>
      </c>
      <c r="AY10" s="18"/>
      <c r="AZ10" s="18"/>
      <c r="BA10" s="18"/>
      <c r="BB10" s="661">
        <f t="shared" si="16"/>
        <v>0</v>
      </c>
    </row>
    <row r="11" spans="1:54">
      <c r="A11" s="3" t="s">
        <v>230</v>
      </c>
      <c r="B11" s="17"/>
      <c r="C11" s="17"/>
      <c r="D11" s="17"/>
      <c r="E11" s="17"/>
      <c r="F11" s="661">
        <f t="shared" si="4"/>
        <v>0</v>
      </c>
      <c r="G11" s="17"/>
      <c r="H11" s="17"/>
      <c r="I11" s="17"/>
      <c r="J11" s="661">
        <f>G11-H11</f>
        <v>0</v>
      </c>
      <c r="K11" s="17">
        <v>12634.181203599999</v>
      </c>
      <c r="L11" s="17">
        <v>12634.181203599999</v>
      </c>
      <c r="M11" s="17"/>
      <c r="N11" s="661">
        <f t="shared" si="6"/>
        <v>0</v>
      </c>
      <c r="O11" s="872"/>
      <c r="P11" s="872"/>
      <c r="Q11" s="17"/>
      <c r="R11" s="661">
        <f t="shared" si="7"/>
        <v>0</v>
      </c>
      <c r="S11" s="864"/>
      <c r="T11" s="864"/>
      <c r="U11" s="655"/>
      <c r="V11" s="661">
        <f t="shared" si="8"/>
        <v>0</v>
      </c>
      <c r="W11" s="864"/>
      <c r="X11" s="864"/>
      <c r="Y11" s="17"/>
      <c r="Z11" s="661">
        <f t="shared" si="9"/>
        <v>0</v>
      </c>
      <c r="AA11" s="17">
        <v>64961.49</v>
      </c>
      <c r="AB11" s="17">
        <v>64961.49</v>
      </c>
      <c r="AC11" s="17"/>
      <c r="AD11" s="661">
        <f t="shared" si="10"/>
        <v>0</v>
      </c>
      <c r="AE11" s="17"/>
      <c r="AF11" s="17"/>
      <c r="AG11" s="17"/>
      <c r="AH11" s="661">
        <f t="shared" si="11"/>
        <v>0</v>
      </c>
      <c r="AI11" s="17">
        <v>69572.861000000004</v>
      </c>
      <c r="AJ11" s="17">
        <v>69572.861000000004</v>
      </c>
      <c r="AK11" s="17"/>
      <c r="AL11" s="661">
        <f t="shared" si="12"/>
        <v>0</v>
      </c>
      <c r="AM11" s="17"/>
      <c r="AN11" s="17"/>
      <c r="AO11" s="17"/>
      <c r="AP11" s="661">
        <f t="shared" si="13"/>
        <v>0</v>
      </c>
      <c r="AQ11" s="17"/>
      <c r="AR11" s="17"/>
      <c r="AS11" s="17"/>
      <c r="AT11" s="661">
        <f t="shared" si="14"/>
        <v>0</v>
      </c>
      <c r="AU11" s="17">
        <v>65661.45</v>
      </c>
      <c r="AV11" s="2017"/>
      <c r="AW11" s="17"/>
      <c r="AX11" s="661">
        <f t="shared" si="15"/>
        <v>65661.45</v>
      </c>
      <c r="AY11" s="17"/>
      <c r="AZ11" s="17"/>
      <c r="BA11" s="17"/>
      <c r="BB11" s="661">
        <f t="shared" si="16"/>
        <v>0</v>
      </c>
    </row>
    <row r="12" spans="1:54">
      <c r="A12" s="3" t="s">
        <v>231</v>
      </c>
      <c r="B12" s="17"/>
      <c r="C12" s="17"/>
      <c r="D12" s="17"/>
      <c r="E12" s="17"/>
      <c r="F12" s="661">
        <f t="shared" si="4"/>
        <v>0</v>
      </c>
      <c r="G12" s="17"/>
      <c r="H12" s="17"/>
      <c r="I12" s="848"/>
      <c r="J12" s="661">
        <f>G12-H12</f>
        <v>0</v>
      </c>
      <c r="K12" s="17"/>
      <c r="L12" s="17"/>
      <c r="M12" s="17"/>
      <c r="N12" s="661">
        <f t="shared" si="6"/>
        <v>0</v>
      </c>
      <c r="O12" s="17"/>
      <c r="P12" s="872"/>
      <c r="Q12" s="17"/>
      <c r="R12" s="661">
        <f t="shared" si="7"/>
        <v>0</v>
      </c>
      <c r="S12" s="17"/>
      <c r="T12" s="655"/>
      <c r="U12" s="655"/>
      <c r="V12" s="661">
        <f t="shared" si="8"/>
        <v>0</v>
      </c>
      <c r="W12" s="864"/>
      <c r="X12" s="864"/>
      <c r="Y12" s="17"/>
      <c r="Z12" s="661">
        <f t="shared" si="9"/>
        <v>0</v>
      </c>
      <c r="AA12" s="17"/>
      <c r="AB12" s="17"/>
      <c r="AC12" s="17"/>
      <c r="AD12" s="661">
        <f t="shared" si="10"/>
        <v>0</v>
      </c>
      <c r="AE12" s="17"/>
      <c r="AF12" s="17"/>
      <c r="AG12" s="17"/>
      <c r="AH12" s="661">
        <f t="shared" si="11"/>
        <v>0</v>
      </c>
      <c r="AI12" s="17"/>
      <c r="AJ12" s="17"/>
      <c r="AK12" s="17"/>
      <c r="AL12" s="661">
        <f t="shared" si="12"/>
        <v>0</v>
      </c>
      <c r="AM12" s="17"/>
      <c r="AN12" s="17"/>
      <c r="AO12" s="17"/>
      <c r="AP12" s="661">
        <f t="shared" si="13"/>
        <v>0</v>
      </c>
      <c r="AQ12" s="17"/>
      <c r="AR12" s="17"/>
      <c r="AS12" s="17"/>
      <c r="AT12" s="661">
        <f t="shared" si="14"/>
        <v>0</v>
      </c>
      <c r="AU12" s="17"/>
      <c r="AV12" s="17"/>
      <c r="AW12" s="17"/>
      <c r="AX12" s="661">
        <f t="shared" si="15"/>
        <v>0</v>
      </c>
      <c r="AY12" s="17"/>
      <c r="AZ12" s="17"/>
      <c r="BA12" s="17"/>
      <c r="BB12" s="661">
        <f t="shared" si="16"/>
        <v>0</v>
      </c>
    </row>
    <row r="13" spans="1:54">
      <c r="A13" s="3" t="s">
        <v>232</v>
      </c>
      <c r="B13" s="17"/>
      <c r="C13" s="872"/>
      <c r="D13" s="872"/>
      <c r="E13" s="17"/>
      <c r="F13" s="661">
        <f t="shared" si="4"/>
        <v>0</v>
      </c>
      <c r="G13" s="17"/>
      <c r="H13" s="17"/>
      <c r="I13" s="17"/>
      <c r="J13" s="661">
        <f>G13-H13</f>
        <v>0</v>
      </c>
      <c r="K13" s="18">
        <f>[37]Folha1!$K$29/1000</f>
        <v>79108.214999999997</v>
      </c>
      <c r="L13" s="18"/>
      <c r="M13" s="17"/>
      <c r="N13" s="661">
        <f t="shared" si="6"/>
        <v>79108.214999999997</v>
      </c>
      <c r="O13" s="872"/>
      <c r="P13" s="872"/>
      <c r="Q13" s="17"/>
      <c r="R13" s="661">
        <f t="shared" si="7"/>
        <v>0</v>
      </c>
      <c r="S13" s="17"/>
      <c r="T13" s="17"/>
      <c r="U13" s="655"/>
      <c r="V13" s="661">
        <f t="shared" si="8"/>
        <v>0</v>
      </c>
      <c r="W13" s="864"/>
      <c r="X13" s="864"/>
      <c r="Y13" s="17"/>
      <c r="Z13" s="661">
        <f t="shared" si="9"/>
        <v>0</v>
      </c>
      <c r="AA13" s="17"/>
      <c r="AB13" s="17"/>
      <c r="AC13" s="17"/>
      <c r="AD13" s="661">
        <f t="shared" si="10"/>
        <v>0</v>
      </c>
      <c r="AE13" s="17"/>
      <c r="AF13" s="17"/>
      <c r="AG13" s="17"/>
      <c r="AH13" s="661">
        <f t="shared" si="11"/>
        <v>0</v>
      </c>
      <c r="AI13" s="17">
        <f>[37]Folha1!$K$73/1000</f>
        <v>82459.899999999994</v>
      </c>
      <c r="AJ13" s="2017"/>
      <c r="AK13" s="17"/>
      <c r="AL13" s="661">
        <f t="shared" si="12"/>
        <v>82459.899999999994</v>
      </c>
      <c r="AM13" s="17"/>
      <c r="AN13" s="17"/>
      <c r="AO13" s="17"/>
      <c r="AP13" s="661">
        <f t="shared" si="13"/>
        <v>0</v>
      </c>
      <c r="AQ13" s="17"/>
      <c r="AR13" s="17"/>
      <c r="AS13" s="17"/>
      <c r="AT13" s="661">
        <f t="shared" si="14"/>
        <v>0</v>
      </c>
      <c r="AU13" s="17"/>
      <c r="AV13" s="17"/>
      <c r="AW13" s="17"/>
      <c r="AX13" s="661">
        <f t="shared" si="15"/>
        <v>0</v>
      </c>
      <c r="AY13" s="17"/>
      <c r="AZ13" s="17"/>
      <c r="BA13" s="17"/>
      <c r="BB13" s="661">
        <f t="shared" si="16"/>
        <v>0</v>
      </c>
    </row>
    <row r="14" spans="1:54">
      <c r="A14" s="3" t="s">
        <v>233</v>
      </c>
      <c r="B14" s="17"/>
      <c r="C14" s="872"/>
      <c r="D14" s="872"/>
      <c r="E14" s="17"/>
      <c r="F14" s="661">
        <f t="shared" si="4"/>
        <v>0</v>
      </c>
      <c r="G14" s="17"/>
      <c r="H14" s="17"/>
      <c r="I14" s="848"/>
      <c r="J14" s="661">
        <f t="shared" si="5"/>
        <v>0</v>
      </c>
      <c r="K14" s="17"/>
      <c r="L14" s="17"/>
      <c r="M14" s="17"/>
      <c r="N14" s="661">
        <f t="shared" si="6"/>
        <v>0</v>
      </c>
      <c r="O14" s="17"/>
      <c r="P14" s="872"/>
      <c r="Q14" s="17"/>
      <c r="R14" s="661">
        <f t="shared" si="7"/>
        <v>0</v>
      </c>
      <c r="S14" s="17"/>
      <c r="T14" s="655"/>
      <c r="U14" s="655"/>
      <c r="V14" s="661">
        <f t="shared" si="8"/>
        <v>0</v>
      </c>
      <c r="W14" s="864"/>
      <c r="X14" s="864"/>
      <c r="Y14" s="17"/>
      <c r="Z14" s="661">
        <f t="shared" si="9"/>
        <v>0</v>
      </c>
      <c r="AA14" s="17"/>
      <c r="AB14" s="17"/>
      <c r="AC14" s="17"/>
      <c r="AD14" s="661">
        <f t="shared" si="10"/>
        <v>0</v>
      </c>
      <c r="AE14" s="17"/>
      <c r="AF14" s="17"/>
      <c r="AG14" s="17"/>
      <c r="AH14" s="661">
        <f t="shared" si="11"/>
        <v>0</v>
      </c>
      <c r="AI14" s="17"/>
      <c r="AJ14" s="17"/>
      <c r="AK14" s="17"/>
      <c r="AL14" s="661">
        <f t="shared" si="12"/>
        <v>0</v>
      </c>
      <c r="AM14" s="17"/>
      <c r="AN14" s="17"/>
      <c r="AO14" s="17"/>
      <c r="AP14" s="661">
        <f t="shared" si="13"/>
        <v>0</v>
      </c>
      <c r="AQ14" s="17"/>
      <c r="AR14" s="17"/>
      <c r="AS14" s="17"/>
      <c r="AT14" s="661">
        <f t="shared" si="14"/>
        <v>0</v>
      </c>
      <c r="AU14" s="17"/>
      <c r="AV14" s="17"/>
      <c r="AW14" s="17"/>
      <c r="AX14" s="661">
        <f t="shared" si="15"/>
        <v>0</v>
      </c>
      <c r="AY14" s="17"/>
      <c r="AZ14" s="17"/>
      <c r="BA14" s="17"/>
      <c r="BB14" s="661">
        <f t="shared" si="16"/>
        <v>0</v>
      </c>
    </row>
    <row r="15" spans="1:54">
      <c r="A15" s="3" t="s">
        <v>234</v>
      </c>
      <c r="B15" s="17"/>
      <c r="C15" s="872"/>
      <c r="D15" s="872"/>
      <c r="E15" s="17"/>
      <c r="F15" s="661">
        <f t="shared" si="4"/>
        <v>0</v>
      </c>
      <c r="G15" s="17"/>
      <c r="H15" s="17"/>
      <c r="I15" s="848"/>
      <c r="J15" s="661">
        <f t="shared" si="5"/>
        <v>0</v>
      </c>
      <c r="K15" s="17"/>
      <c r="L15" s="17"/>
      <c r="M15" s="17"/>
      <c r="N15" s="661">
        <f t="shared" si="6"/>
        <v>0</v>
      </c>
      <c r="O15" s="872"/>
      <c r="P15" s="872"/>
      <c r="Q15" s="17"/>
      <c r="R15" s="661">
        <f t="shared" si="7"/>
        <v>0</v>
      </c>
      <c r="S15" s="17"/>
      <c r="T15" s="655"/>
      <c r="U15" s="655"/>
      <c r="V15" s="661">
        <f t="shared" si="8"/>
        <v>0</v>
      </c>
      <c r="W15" s="864"/>
      <c r="X15" s="864"/>
      <c r="Y15" s="17"/>
      <c r="Z15" s="661">
        <f t="shared" si="9"/>
        <v>0</v>
      </c>
      <c r="AA15" s="17">
        <v>53243.366000000002</v>
      </c>
      <c r="AB15" s="17">
        <v>53243.366000000002</v>
      </c>
      <c r="AC15" s="17"/>
      <c r="AD15" s="661">
        <f t="shared" si="10"/>
        <v>0</v>
      </c>
      <c r="AE15" s="17"/>
      <c r="AF15" s="17"/>
      <c r="AG15" s="17"/>
      <c r="AH15" s="661">
        <f t="shared" si="11"/>
        <v>0</v>
      </c>
      <c r="AI15" s="17"/>
      <c r="AJ15" s="17"/>
      <c r="AK15" s="17"/>
      <c r="AL15" s="661">
        <f t="shared" si="12"/>
        <v>0</v>
      </c>
      <c r="AM15" s="17"/>
      <c r="AN15" s="17"/>
      <c r="AO15" s="17"/>
      <c r="AP15" s="661">
        <f t="shared" si="13"/>
        <v>0</v>
      </c>
      <c r="AQ15" s="17"/>
      <c r="AR15" s="17"/>
      <c r="AS15" s="17"/>
      <c r="AT15" s="661">
        <f t="shared" si="14"/>
        <v>0</v>
      </c>
      <c r="AU15" s="17"/>
      <c r="AV15" s="17"/>
      <c r="AW15" s="17"/>
      <c r="AX15" s="661">
        <f t="shared" si="15"/>
        <v>0</v>
      </c>
      <c r="AY15" s="17"/>
      <c r="AZ15" s="17"/>
      <c r="BA15" s="17"/>
      <c r="BB15" s="661">
        <f t="shared" si="16"/>
        <v>0</v>
      </c>
    </row>
    <row r="16" spans="1:54">
      <c r="A16" s="1491" t="s">
        <v>2933</v>
      </c>
      <c r="B16" s="17"/>
      <c r="C16" s="872">
        <v>52321.549707699996</v>
      </c>
      <c r="D16" s="872">
        <v>52321.549707699996</v>
      </c>
      <c r="E16" s="17"/>
      <c r="F16" s="661">
        <f t="shared" si="4"/>
        <v>0</v>
      </c>
      <c r="G16" s="17"/>
      <c r="H16" s="17"/>
      <c r="I16" s="848"/>
      <c r="J16" s="661">
        <f t="shared" si="5"/>
        <v>0</v>
      </c>
      <c r="K16" s="17"/>
      <c r="L16" s="17"/>
      <c r="M16" s="17"/>
      <c r="N16" s="661">
        <f t="shared" si="6"/>
        <v>0</v>
      </c>
      <c r="O16" s="872"/>
      <c r="P16" s="872"/>
      <c r="Q16" s="17"/>
      <c r="R16" s="661">
        <f t="shared" si="7"/>
        <v>0</v>
      </c>
      <c r="S16" s="17"/>
      <c r="T16" s="655"/>
      <c r="U16" s="655"/>
      <c r="V16" s="661">
        <f>S16-T16</f>
        <v>0</v>
      </c>
      <c r="W16" s="864"/>
      <c r="X16" s="864"/>
      <c r="Y16" s="17"/>
      <c r="Z16" s="661">
        <f>W16-X16</f>
        <v>0</v>
      </c>
      <c r="AA16" s="872"/>
      <c r="AB16" s="872"/>
      <c r="AC16" s="17"/>
      <c r="AD16" s="661">
        <f>AA16-AB16</f>
        <v>0</v>
      </c>
      <c r="AE16" s="17"/>
      <c r="AF16" s="17"/>
      <c r="AG16" s="17"/>
      <c r="AH16" s="661">
        <f>AE16-AF16</f>
        <v>0</v>
      </c>
      <c r="AI16" s="17"/>
      <c r="AJ16" s="17"/>
      <c r="AK16" s="17"/>
      <c r="AL16" s="661">
        <f>AI16-AJ16</f>
        <v>0</v>
      </c>
      <c r="AM16" s="17"/>
      <c r="AN16" s="17"/>
      <c r="AO16" s="17"/>
      <c r="AP16" s="661">
        <f>AM16-AN16</f>
        <v>0</v>
      </c>
      <c r="AQ16" s="17"/>
      <c r="AR16" s="17"/>
      <c r="AS16" s="17"/>
      <c r="AT16" s="661">
        <f>AQ16-AR16</f>
        <v>0</v>
      </c>
      <c r="AU16" s="17"/>
      <c r="AV16" s="17"/>
      <c r="AW16" s="17"/>
      <c r="AX16" s="661">
        <f>AU16-AV16</f>
        <v>0</v>
      </c>
      <c r="AY16" s="17"/>
      <c r="AZ16" s="17"/>
      <c r="BA16" s="17"/>
      <c r="BB16" s="661">
        <f>AY16-AZ16</f>
        <v>0</v>
      </c>
    </row>
    <row r="17" spans="1:54">
      <c r="A17" s="710" t="s">
        <v>2722</v>
      </c>
      <c r="B17" s="17"/>
      <c r="C17" s="17"/>
      <c r="D17" s="17"/>
      <c r="E17" s="17"/>
      <c r="F17" s="661">
        <f t="shared" si="4"/>
        <v>0</v>
      </c>
      <c r="G17" s="17"/>
      <c r="H17" s="17"/>
      <c r="I17" s="848"/>
      <c r="J17" s="661">
        <f t="shared" si="5"/>
        <v>0</v>
      </c>
      <c r="K17" s="17"/>
      <c r="L17" s="17"/>
      <c r="M17" s="17"/>
      <c r="N17" s="661">
        <f t="shared" si="6"/>
        <v>0</v>
      </c>
      <c r="O17" s="17"/>
      <c r="P17" s="17"/>
      <c r="Q17" s="17"/>
      <c r="R17" s="661">
        <f t="shared" si="7"/>
        <v>0</v>
      </c>
      <c r="S17" s="17"/>
      <c r="T17" s="655"/>
      <c r="U17" s="655"/>
      <c r="V17" s="661">
        <f t="shared" si="8"/>
        <v>0</v>
      </c>
      <c r="W17" s="864"/>
      <c r="X17" s="864"/>
      <c r="Y17" s="17"/>
      <c r="Z17" s="661">
        <f t="shared" si="9"/>
        <v>0</v>
      </c>
      <c r="AA17" s="17"/>
      <c r="AB17" s="17"/>
      <c r="AC17" s="17"/>
      <c r="AD17" s="661">
        <f t="shared" si="10"/>
        <v>0</v>
      </c>
      <c r="AE17" s="17"/>
      <c r="AF17" s="17"/>
      <c r="AG17" s="17"/>
      <c r="AH17" s="661">
        <f t="shared" si="11"/>
        <v>0</v>
      </c>
      <c r="AI17" s="17"/>
      <c r="AJ17" s="17"/>
      <c r="AK17" s="17"/>
      <c r="AL17" s="661">
        <f t="shared" si="12"/>
        <v>0</v>
      </c>
      <c r="AM17" s="17"/>
      <c r="AN17" s="17"/>
      <c r="AO17" s="17"/>
      <c r="AP17" s="661">
        <f t="shared" si="13"/>
        <v>0</v>
      </c>
      <c r="AQ17" s="17"/>
      <c r="AR17" s="17"/>
      <c r="AS17" s="17"/>
      <c r="AT17" s="661">
        <f t="shared" si="14"/>
        <v>0</v>
      </c>
      <c r="AU17" s="17"/>
      <c r="AV17" s="17"/>
      <c r="AW17" s="17"/>
      <c r="AX17" s="661">
        <f t="shared" si="15"/>
        <v>0</v>
      </c>
      <c r="AY17" s="17"/>
      <c r="AZ17" s="17"/>
      <c r="BA17" s="17"/>
      <c r="BB17" s="661">
        <f t="shared" si="16"/>
        <v>0</v>
      </c>
    </row>
    <row r="18" spans="1:54">
      <c r="A18" s="3" t="s">
        <v>236</v>
      </c>
      <c r="B18" s="17"/>
      <c r="C18" s="17"/>
      <c r="D18" s="17"/>
      <c r="E18" s="17"/>
      <c r="F18" s="661">
        <f t="shared" si="4"/>
        <v>0</v>
      </c>
      <c r="G18" s="17"/>
      <c r="H18" s="17"/>
      <c r="I18" s="848"/>
      <c r="J18" s="661">
        <f t="shared" si="5"/>
        <v>0</v>
      </c>
      <c r="K18" s="17"/>
      <c r="L18" s="17"/>
      <c r="M18" s="17"/>
      <c r="N18" s="661">
        <f t="shared" si="6"/>
        <v>0</v>
      </c>
      <c r="O18" s="848"/>
      <c r="P18" s="17"/>
      <c r="Q18" s="17"/>
      <c r="R18" s="661">
        <f t="shared" si="7"/>
        <v>0</v>
      </c>
      <c r="S18" s="17"/>
      <c r="T18" s="655"/>
      <c r="U18" s="655"/>
      <c r="V18" s="661">
        <f t="shared" si="8"/>
        <v>0</v>
      </c>
      <c r="W18" s="1592"/>
      <c r="X18" s="864"/>
      <c r="Y18" s="17"/>
      <c r="Z18" s="661">
        <f t="shared" si="9"/>
        <v>0</v>
      </c>
      <c r="AA18" s="17"/>
      <c r="AB18" s="17"/>
      <c r="AC18" s="17"/>
      <c r="AD18" s="661">
        <f t="shared" si="10"/>
        <v>0</v>
      </c>
      <c r="AE18" s="17"/>
      <c r="AF18" s="17"/>
      <c r="AG18" s="17"/>
      <c r="AH18" s="661">
        <f t="shared" si="11"/>
        <v>0</v>
      </c>
      <c r="AI18" s="17"/>
      <c r="AJ18" s="17"/>
      <c r="AK18" s="17"/>
      <c r="AL18" s="661">
        <f t="shared" si="12"/>
        <v>0</v>
      </c>
      <c r="AM18" s="17"/>
      <c r="AN18" s="17"/>
      <c r="AO18" s="17"/>
      <c r="AP18" s="661">
        <f t="shared" si="13"/>
        <v>0</v>
      </c>
      <c r="AQ18" s="17"/>
      <c r="AR18" s="17"/>
      <c r="AS18" s="17"/>
      <c r="AT18" s="661">
        <f t="shared" si="14"/>
        <v>0</v>
      </c>
      <c r="AU18" s="17"/>
      <c r="AV18" s="17"/>
      <c r="AW18" s="17"/>
      <c r="AX18" s="661">
        <f t="shared" si="15"/>
        <v>0</v>
      </c>
      <c r="AY18" s="17"/>
      <c r="AZ18" s="17"/>
      <c r="BA18" s="17"/>
      <c r="BB18" s="661">
        <f t="shared" si="16"/>
        <v>0</v>
      </c>
    </row>
    <row r="19" spans="1:54">
      <c r="A19" s="14" t="s">
        <v>241</v>
      </c>
      <c r="B19" s="18"/>
      <c r="C19" s="18">
        <v>101198.9764072</v>
      </c>
      <c r="D19" s="18">
        <v>101198.9764072</v>
      </c>
      <c r="E19" s="18"/>
      <c r="F19" s="661">
        <f t="shared" si="4"/>
        <v>0</v>
      </c>
      <c r="G19" s="17"/>
      <c r="H19" s="17"/>
      <c r="I19" s="849"/>
      <c r="J19" s="661">
        <f t="shared" si="5"/>
        <v>0</v>
      </c>
      <c r="K19" s="18"/>
      <c r="L19" s="18"/>
      <c r="M19" s="18"/>
      <c r="N19" s="661">
        <f t="shared" si="6"/>
        <v>0</v>
      </c>
      <c r="O19" s="18">
        <v>40185.193911330003</v>
      </c>
      <c r="P19" s="18">
        <v>40185.193911330003</v>
      </c>
      <c r="Q19" s="17"/>
      <c r="R19" s="661">
        <f t="shared" si="7"/>
        <v>0</v>
      </c>
      <c r="S19" s="864"/>
      <c r="T19" s="864"/>
      <c r="U19" s="843"/>
      <c r="V19" s="661">
        <f t="shared" si="8"/>
        <v>0</v>
      </c>
      <c r="W19" s="864">
        <v>199837.84335899999</v>
      </c>
      <c r="X19" s="864">
        <v>199837.84335899999</v>
      </c>
      <c r="Y19" s="18"/>
      <c r="Z19" s="661">
        <f t="shared" si="9"/>
        <v>0</v>
      </c>
      <c r="AA19" s="18"/>
      <c r="AB19" s="18"/>
      <c r="AC19" s="18"/>
      <c r="AD19" s="661">
        <f t="shared" si="10"/>
        <v>0</v>
      </c>
      <c r="AE19" s="18"/>
      <c r="AF19" s="18"/>
      <c r="AG19" s="18"/>
      <c r="AH19" s="661">
        <f t="shared" si="11"/>
        <v>0</v>
      </c>
      <c r="AI19" s="18"/>
      <c r="AJ19" s="18"/>
      <c r="AK19" s="18"/>
      <c r="AL19" s="661">
        <f t="shared" si="12"/>
        <v>0</v>
      </c>
      <c r="AM19" s="18">
        <f>3739.8531625+21613.60273+14588.23096</f>
        <v>39941.686852500003</v>
      </c>
      <c r="AN19" s="18">
        <f>3739.8531625+21613.60273+14588.23096</f>
        <v>39941.686852500003</v>
      </c>
      <c r="AO19" s="18"/>
      <c r="AP19" s="661">
        <f>+AM19-AN19-AO19</f>
        <v>0</v>
      </c>
      <c r="AQ19" s="18"/>
      <c r="AR19" s="18"/>
      <c r="AS19" s="18"/>
      <c r="AT19" s="661">
        <f t="shared" si="14"/>
        <v>0</v>
      </c>
      <c r="AU19" s="18"/>
      <c r="AV19" s="18"/>
      <c r="AW19" s="18"/>
      <c r="AX19" s="661">
        <f t="shared" si="15"/>
        <v>0</v>
      </c>
      <c r="AY19" s="18"/>
      <c r="AZ19" s="18"/>
      <c r="BA19" s="18"/>
      <c r="BB19" s="661">
        <f t="shared" si="16"/>
        <v>0</v>
      </c>
    </row>
    <row r="20" spans="1:54">
      <c r="A20" s="1391" t="s">
        <v>242</v>
      </c>
      <c r="B20" s="18"/>
      <c r="C20" s="1537"/>
      <c r="D20" s="1537"/>
      <c r="E20" s="843"/>
      <c r="F20" s="661">
        <f t="shared" si="4"/>
        <v>0</v>
      </c>
      <c r="G20" s="18"/>
      <c r="H20" s="18"/>
      <c r="I20" s="849"/>
      <c r="J20" s="661">
        <f t="shared" si="5"/>
        <v>0</v>
      </c>
      <c r="K20" s="18"/>
      <c r="L20" s="18"/>
      <c r="M20" s="18"/>
      <c r="N20" s="661">
        <f t="shared" si="6"/>
        <v>0</v>
      </c>
      <c r="O20" s="18"/>
      <c r="P20" s="18"/>
      <c r="Q20" s="18"/>
      <c r="R20" s="661">
        <f t="shared" si="7"/>
        <v>0</v>
      </c>
      <c r="S20" s="18"/>
      <c r="T20" s="18"/>
      <c r="U20" s="843"/>
      <c r="V20" s="661">
        <f t="shared" si="8"/>
        <v>0</v>
      </c>
      <c r="W20" s="18"/>
      <c r="X20" s="18"/>
      <c r="Y20" s="18"/>
      <c r="Z20" s="661">
        <f t="shared" si="9"/>
        <v>0</v>
      </c>
      <c r="AA20" s="18"/>
      <c r="AB20" s="18"/>
      <c r="AC20" s="18"/>
      <c r="AD20" s="661">
        <f t="shared" si="10"/>
        <v>0</v>
      </c>
      <c r="AE20" s="18"/>
      <c r="AF20" s="18"/>
      <c r="AG20" s="18"/>
      <c r="AH20" s="661">
        <f t="shared" si="11"/>
        <v>0</v>
      </c>
      <c r="AI20" s="18"/>
      <c r="AJ20" s="18"/>
      <c r="AK20" s="18"/>
      <c r="AL20" s="661">
        <f t="shared" si="12"/>
        <v>0</v>
      </c>
      <c r="AM20" s="1537"/>
      <c r="AN20" s="1537"/>
      <c r="AO20" s="18"/>
      <c r="AP20" s="661">
        <f t="shared" si="13"/>
        <v>0</v>
      </c>
      <c r="AQ20" s="18"/>
      <c r="AR20" s="18"/>
      <c r="AS20" s="18"/>
      <c r="AT20" s="661">
        <f t="shared" si="14"/>
        <v>0</v>
      </c>
      <c r="AU20" s="18"/>
      <c r="AV20" s="18"/>
      <c r="AW20" s="18"/>
      <c r="AX20" s="661">
        <f t="shared" si="15"/>
        <v>0</v>
      </c>
      <c r="AY20" s="18"/>
      <c r="AZ20" s="18"/>
      <c r="BA20" s="18"/>
      <c r="BB20" s="661">
        <f t="shared" si="16"/>
        <v>0</v>
      </c>
    </row>
    <row r="21" spans="1:54">
      <c r="A21" s="1391" t="s">
        <v>2932</v>
      </c>
      <c r="B21" s="18"/>
      <c r="C21" s="864">
        <v>10255.178494400001</v>
      </c>
      <c r="D21" s="864">
        <v>10255.178494400001</v>
      </c>
      <c r="E21" s="843"/>
      <c r="F21" s="661">
        <f t="shared" si="4"/>
        <v>0</v>
      </c>
      <c r="G21" s="18"/>
      <c r="H21" s="18"/>
      <c r="I21" s="849"/>
      <c r="J21" s="661">
        <f t="shared" si="5"/>
        <v>0</v>
      </c>
      <c r="K21" s="18"/>
      <c r="L21" s="18"/>
      <c r="M21" s="18"/>
      <c r="N21" s="661">
        <f t="shared" si="6"/>
        <v>0</v>
      </c>
      <c r="O21" s="18"/>
      <c r="P21" s="18"/>
      <c r="Q21" s="18"/>
      <c r="R21" s="661">
        <f t="shared" si="7"/>
        <v>0</v>
      </c>
      <c r="S21" s="18"/>
      <c r="T21" s="18"/>
      <c r="U21" s="843"/>
      <c r="V21" s="661">
        <f t="shared" si="8"/>
        <v>0</v>
      </c>
      <c r="W21" s="18">
        <v>11187.40252652</v>
      </c>
      <c r="X21" s="18">
        <v>11187.40252652</v>
      </c>
      <c r="Y21" s="18"/>
      <c r="Z21" s="661">
        <f t="shared" si="9"/>
        <v>0</v>
      </c>
      <c r="AA21" s="18"/>
      <c r="AB21" s="18"/>
      <c r="AC21" s="18"/>
      <c r="AD21" s="661">
        <f t="shared" si="10"/>
        <v>0</v>
      </c>
      <c r="AE21" s="18"/>
      <c r="AF21" s="18"/>
      <c r="AG21" s="18"/>
      <c r="AH21" s="661">
        <f t="shared" si="11"/>
        <v>0</v>
      </c>
      <c r="AI21" s="18"/>
      <c r="AJ21" s="18"/>
      <c r="AK21" s="18"/>
      <c r="AL21" s="661">
        <f t="shared" si="12"/>
        <v>0</v>
      </c>
      <c r="AM21" s="18"/>
      <c r="AN21" s="18"/>
      <c r="AO21" s="18"/>
      <c r="AP21" s="661">
        <f t="shared" si="13"/>
        <v>0</v>
      </c>
      <c r="AQ21" s="18"/>
      <c r="AR21" s="18"/>
      <c r="AS21" s="18"/>
      <c r="AT21" s="661">
        <f t="shared" si="14"/>
        <v>0</v>
      </c>
      <c r="AU21" s="18"/>
      <c r="AV21" s="18"/>
      <c r="AW21" s="18"/>
      <c r="AX21" s="661">
        <f t="shared" si="15"/>
        <v>0</v>
      </c>
      <c r="AY21" s="18"/>
      <c r="AZ21" s="18"/>
      <c r="BA21" s="18"/>
      <c r="BB21" s="661">
        <f t="shared" si="16"/>
        <v>0</v>
      </c>
    </row>
    <row r="22" spans="1:54">
      <c r="A22" s="1391" t="s">
        <v>2936</v>
      </c>
      <c r="B22" s="18"/>
      <c r="C22" s="864"/>
      <c r="D22" s="864"/>
      <c r="E22" s="843"/>
      <c r="F22" s="661">
        <f>C22-D22</f>
        <v>0</v>
      </c>
      <c r="G22" s="18"/>
      <c r="H22" s="18"/>
      <c r="I22" s="849"/>
      <c r="J22" s="661">
        <f>G22-H22</f>
        <v>0</v>
      </c>
      <c r="K22" s="18"/>
      <c r="L22" s="18"/>
      <c r="M22" s="18"/>
      <c r="N22" s="661">
        <f>K22-L22</f>
        <v>0</v>
      </c>
      <c r="O22" s="18"/>
      <c r="P22" s="18"/>
      <c r="Q22" s="18"/>
      <c r="R22" s="661">
        <f>O22-P22</f>
        <v>0</v>
      </c>
      <c r="S22" s="18"/>
      <c r="T22" s="18"/>
      <c r="U22" s="843"/>
      <c r="V22" s="661">
        <f t="shared" si="8"/>
        <v>0</v>
      </c>
      <c r="W22" s="18"/>
      <c r="X22" s="18"/>
      <c r="Y22" s="18"/>
      <c r="Z22" s="661">
        <f t="shared" si="9"/>
        <v>0</v>
      </c>
      <c r="AA22" s="18"/>
      <c r="AB22" s="18"/>
      <c r="AC22" s="18"/>
      <c r="AD22" s="661">
        <f t="shared" si="10"/>
        <v>0</v>
      </c>
      <c r="AE22" s="18"/>
      <c r="AF22" s="18"/>
      <c r="AG22" s="18"/>
      <c r="AH22" s="661">
        <f t="shared" si="11"/>
        <v>0</v>
      </c>
      <c r="AI22" s="18"/>
      <c r="AJ22" s="18"/>
      <c r="AK22" s="18"/>
      <c r="AL22" s="661">
        <f t="shared" si="12"/>
        <v>0</v>
      </c>
      <c r="AM22" s="864"/>
      <c r="AN22" s="864"/>
      <c r="AO22" s="18"/>
      <c r="AP22" s="661">
        <f t="shared" si="13"/>
        <v>0</v>
      </c>
      <c r="AQ22" s="18"/>
      <c r="AR22" s="18"/>
      <c r="AS22" s="18"/>
      <c r="AT22" s="661">
        <f t="shared" si="14"/>
        <v>0</v>
      </c>
      <c r="AU22" s="18"/>
      <c r="AV22" s="18"/>
      <c r="AW22" s="18"/>
      <c r="AX22" s="661">
        <f t="shared" si="15"/>
        <v>0</v>
      </c>
      <c r="AY22" s="18"/>
      <c r="AZ22" s="18"/>
      <c r="BA22" s="18"/>
      <c r="BB22" s="661">
        <f t="shared" si="16"/>
        <v>0</v>
      </c>
    </row>
    <row r="23" spans="1:54">
      <c r="A23" s="3" t="s">
        <v>2835</v>
      </c>
      <c r="B23" s="17"/>
      <c r="C23" s="18"/>
      <c r="D23" s="18"/>
      <c r="E23" s="655"/>
      <c r="F23" s="661">
        <f t="shared" si="4"/>
        <v>0</v>
      </c>
      <c r="G23" s="17"/>
      <c r="H23" s="17"/>
      <c r="I23" s="848"/>
      <c r="J23" s="661">
        <f t="shared" si="5"/>
        <v>0</v>
      </c>
      <c r="K23" s="17"/>
      <c r="L23" s="17"/>
      <c r="M23" s="17"/>
      <c r="N23" s="661">
        <f t="shared" si="6"/>
        <v>0</v>
      </c>
      <c r="O23" s="17"/>
      <c r="P23" s="17"/>
      <c r="Q23" s="17"/>
      <c r="R23" s="661">
        <f t="shared" si="7"/>
        <v>0</v>
      </c>
      <c r="S23" s="17"/>
      <c r="T23" s="655"/>
      <c r="U23" s="655"/>
      <c r="V23" s="661">
        <f t="shared" si="8"/>
        <v>0</v>
      </c>
      <c r="W23" s="17"/>
      <c r="X23" s="17"/>
      <c r="Y23" s="17"/>
      <c r="Z23" s="661">
        <f t="shared" si="9"/>
        <v>0</v>
      </c>
      <c r="AA23" s="17"/>
      <c r="AB23" s="17"/>
      <c r="AC23" s="17"/>
      <c r="AD23" s="661">
        <f t="shared" si="10"/>
        <v>0</v>
      </c>
      <c r="AE23" s="17"/>
      <c r="AF23" s="17"/>
      <c r="AG23" s="17"/>
      <c r="AH23" s="661">
        <f t="shared" si="11"/>
        <v>0</v>
      </c>
      <c r="AI23" s="17"/>
      <c r="AJ23" s="17"/>
      <c r="AK23" s="17"/>
      <c r="AL23" s="661">
        <f t="shared" si="12"/>
        <v>0</v>
      </c>
      <c r="AM23" s="17"/>
      <c r="AN23" s="17"/>
      <c r="AO23" s="17"/>
      <c r="AP23" s="661">
        <f t="shared" si="13"/>
        <v>0</v>
      </c>
      <c r="AQ23" s="17"/>
      <c r="AR23" s="17"/>
      <c r="AS23" s="17"/>
      <c r="AT23" s="661">
        <f t="shared" si="14"/>
        <v>0</v>
      </c>
      <c r="AU23" s="17"/>
      <c r="AV23" s="17"/>
      <c r="AW23" s="17"/>
      <c r="AX23" s="661">
        <f t="shared" si="15"/>
        <v>0</v>
      </c>
      <c r="AY23" s="17"/>
      <c r="AZ23" s="17"/>
      <c r="BA23" s="17"/>
      <c r="BB23" s="661">
        <f t="shared" si="16"/>
        <v>0</v>
      </c>
    </row>
    <row r="24" spans="1:54">
      <c r="A24" s="3" t="s">
        <v>1445</v>
      </c>
      <c r="B24" s="17"/>
      <c r="C24" s="17"/>
      <c r="D24" s="17"/>
      <c r="E24" s="17"/>
      <c r="F24" s="661">
        <f t="shared" si="4"/>
        <v>0</v>
      </c>
      <c r="G24" s="17"/>
      <c r="H24" s="17"/>
      <c r="I24" s="17"/>
      <c r="J24" s="661">
        <f t="shared" si="5"/>
        <v>0</v>
      </c>
      <c r="K24" s="17"/>
      <c r="L24" s="17"/>
      <c r="M24" s="17"/>
      <c r="N24" s="661">
        <f t="shared" si="6"/>
        <v>0</v>
      </c>
      <c r="O24" s="17"/>
      <c r="P24" s="17"/>
      <c r="Q24" s="17"/>
      <c r="R24" s="661">
        <f t="shared" si="7"/>
        <v>0</v>
      </c>
      <c r="S24" s="17"/>
      <c r="T24" s="655"/>
      <c r="U24" s="655"/>
      <c r="V24" s="661">
        <f t="shared" si="8"/>
        <v>0</v>
      </c>
      <c r="W24" s="17"/>
      <c r="X24" s="17"/>
      <c r="Y24" s="17"/>
      <c r="Z24" s="661">
        <f t="shared" si="9"/>
        <v>0</v>
      </c>
      <c r="AA24" s="17"/>
      <c r="AB24" s="17"/>
      <c r="AC24" s="17"/>
      <c r="AD24" s="661">
        <f t="shared" si="10"/>
        <v>0</v>
      </c>
      <c r="AE24" s="17"/>
      <c r="AF24" s="17"/>
      <c r="AG24" s="17"/>
      <c r="AH24" s="661">
        <f t="shared" si="11"/>
        <v>0</v>
      </c>
      <c r="AI24" s="17"/>
      <c r="AJ24" s="17"/>
      <c r="AK24" s="17"/>
      <c r="AL24" s="661">
        <f t="shared" si="12"/>
        <v>0</v>
      </c>
      <c r="AM24" s="17"/>
      <c r="AN24" s="17"/>
      <c r="AO24" s="17"/>
      <c r="AP24" s="661">
        <f t="shared" si="13"/>
        <v>0</v>
      </c>
      <c r="AQ24" s="17"/>
      <c r="AR24" s="17"/>
      <c r="AS24" s="17"/>
      <c r="AT24" s="661">
        <f t="shared" si="14"/>
        <v>0</v>
      </c>
      <c r="AU24" s="17"/>
      <c r="AV24" s="17"/>
      <c r="AW24" s="17"/>
      <c r="AX24" s="661">
        <f t="shared" si="15"/>
        <v>0</v>
      </c>
      <c r="AY24" s="17"/>
      <c r="AZ24" s="17"/>
      <c r="BA24" s="17"/>
      <c r="BB24" s="661">
        <f t="shared" si="16"/>
        <v>0</v>
      </c>
    </row>
    <row r="25" spans="1:54" ht="15.75">
      <c r="A25" s="670" t="s">
        <v>1446</v>
      </c>
      <c r="B25" s="17"/>
      <c r="C25" s="17"/>
      <c r="D25" s="17"/>
      <c r="E25" s="17"/>
      <c r="F25" s="661">
        <f t="shared" si="4"/>
        <v>0</v>
      </c>
      <c r="G25" s="17"/>
      <c r="H25" s="17"/>
      <c r="I25" s="17"/>
      <c r="J25" s="661">
        <f t="shared" si="5"/>
        <v>0</v>
      </c>
      <c r="K25" s="17"/>
      <c r="L25" s="17"/>
      <c r="M25" s="17"/>
      <c r="N25" s="661">
        <f t="shared" si="6"/>
        <v>0</v>
      </c>
      <c r="O25" s="17"/>
      <c r="P25" s="17"/>
      <c r="Q25" s="17"/>
      <c r="R25" s="661">
        <f t="shared" si="7"/>
        <v>0</v>
      </c>
      <c r="S25" s="17"/>
      <c r="T25" s="17"/>
      <c r="U25" s="17"/>
      <c r="V25" s="661">
        <f t="shared" si="8"/>
        <v>0</v>
      </c>
      <c r="W25" s="17"/>
      <c r="X25" s="17"/>
      <c r="Y25" s="17"/>
      <c r="Z25" s="661">
        <f t="shared" si="9"/>
        <v>0</v>
      </c>
      <c r="AA25" s="17"/>
      <c r="AB25" s="17"/>
      <c r="AC25" s="17"/>
      <c r="AD25" s="661">
        <f t="shared" si="10"/>
        <v>0</v>
      </c>
      <c r="AE25" s="17"/>
      <c r="AF25" s="17"/>
      <c r="AG25" s="17"/>
      <c r="AH25" s="661">
        <f t="shared" si="11"/>
        <v>0</v>
      </c>
      <c r="AI25" s="17"/>
      <c r="AJ25" s="17"/>
      <c r="AK25" s="17"/>
      <c r="AL25" s="661">
        <f t="shared" si="12"/>
        <v>0</v>
      </c>
      <c r="AM25" s="17"/>
      <c r="AN25" s="17"/>
      <c r="AO25" s="17"/>
      <c r="AP25" s="661">
        <f t="shared" si="13"/>
        <v>0</v>
      </c>
      <c r="AQ25" s="17"/>
      <c r="AR25" s="17"/>
      <c r="AS25" s="17"/>
      <c r="AT25" s="661">
        <f t="shared" si="14"/>
        <v>0</v>
      </c>
      <c r="AU25" s="17"/>
      <c r="AV25" s="17"/>
      <c r="AW25" s="17"/>
      <c r="AX25" s="661">
        <f t="shared" si="15"/>
        <v>0</v>
      </c>
      <c r="AY25" s="17"/>
      <c r="AZ25" s="17"/>
      <c r="BA25" s="17"/>
      <c r="BB25" s="661">
        <f t="shared" si="16"/>
        <v>0</v>
      </c>
    </row>
    <row r="26" spans="1:54">
      <c r="A26" s="12" t="s">
        <v>244</v>
      </c>
      <c r="B26" s="15">
        <v>0</v>
      </c>
      <c r="C26" s="15">
        <f>C27+C40</f>
        <v>0</v>
      </c>
      <c r="D26" s="15">
        <f t="shared" ref="D26:AX26" si="17">D27+D40</f>
        <v>0</v>
      </c>
      <c r="E26" s="15">
        <f t="shared" si="17"/>
        <v>0</v>
      </c>
      <c r="F26" s="662">
        <f t="shared" si="17"/>
        <v>0</v>
      </c>
      <c r="G26" s="15">
        <f t="shared" si="17"/>
        <v>0</v>
      </c>
      <c r="H26" s="15">
        <f t="shared" si="17"/>
        <v>0</v>
      </c>
      <c r="I26" s="15">
        <f t="shared" si="17"/>
        <v>0</v>
      </c>
      <c r="J26" s="662">
        <f t="shared" si="17"/>
        <v>0</v>
      </c>
      <c r="K26" s="15">
        <f t="shared" si="17"/>
        <v>0</v>
      </c>
      <c r="L26" s="15">
        <f t="shared" si="17"/>
        <v>0</v>
      </c>
      <c r="M26" s="15">
        <f t="shared" si="17"/>
        <v>0</v>
      </c>
      <c r="N26" s="662">
        <f t="shared" si="17"/>
        <v>0</v>
      </c>
      <c r="O26" s="15">
        <f t="shared" si="17"/>
        <v>0</v>
      </c>
      <c r="P26" s="15">
        <f t="shared" si="17"/>
        <v>0</v>
      </c>
      <c r="Q26" s="15">
        <f t="shared" si="17"/>
        <v>0</v>
      </c>
      <c r="R26" s="662">
        <f t="shared" si="17"/>
        <v>0</v>
      </c>
      <c r="S26" s="15">
        <f t="shared" si="17"/>
        <v>146734.5</v>
      </c>
      <c r="T26" s="15">
        <f t="shared" si="17"/>
        <v>146734.5</v>
      </c>
      <c r="U26" s="15">
        <f t="shared" si="17"/>
        <v>0</v>
      </c>
      <c r="V26" s="662">
        <f t="shared" si="17"/>
        <v>0</v>
      </c>
      <c r="W26" s="15">
        <f t="shared" si="17"/>
        <v>0</v>
      </c>
      <c r="X26" s="15">
        <f t="shared" si="17"/>
        <v>0</v>
      </c>
      <c r="Y26" s="15">
        <f t="shared" si="17"/>
        <v>0</v>
      </c>
      <c r="Z26" s="662">
        <f t="shared" si="17"/>
        <v>0</v>
      </c>
      <c r="AA26" s="15">
        <f t="shared" si="17"/>
        <v>0</v>
      </c>
      <c r="AB26" s="15">
        <f t="shared" si="17"/>
        <v>0</v>
      </c>
      <c r="AC26" s="15">
        <f t="shared" si="17"/>
        <v>0</v>
      </c>
      <c r="AD26" s="662">
        <f t="shared" si="17"/>
        <v>0</v>
      </c>
      <c r="AE26" s="15">
        <f t="shared" si="17"/>
        <v>0</v>
      </c>
      <c r="AF26" s="15">
        <f t="shared" si="17"/>
        <v>0</v>
      </c>
      <c r="AG26" s="15">
        <f t="shared" si="17"/>
        <v>0</v>
      </c>
      <c r="AH26" s="662">
        <f t="shared" si="17"/>
        <v>0</v>
      </c>
      <c r="AI26" s="15">
        <f t="shared" si="17"/>
        <v>0</v>
      </c>
      <c r="AJ26" s="15">
        <f t="shared" si="17"/>
        <v>0</v>
      </c>
      <c r="AK26" s="15">
        <f t="shared" si="17"/>
        <v>0</v>
      </c>
      <c r="AL26" s="662">
        <f t="shared" si="17"/>
        <v>0</v>
      </c>
      <c r="AM26" s="15">
        <f t="shared" si="17"/>
        <v>0</v>
      </c>
      <c r="AN26" s="15">
        <f t="shared" si="17"/>
        <v>0</v>
      </c>
      <c r="AO26" s="15">
        <f t="shared" si="17"/>
        <v>0</v>
      </c>
      <c r="AP26" s="662">
        <f t="shared" si="17"/>
        <v>0</v>
      </c>
      <c r="AQ26" s="15">
        <f t="shared" si="17"/>
        <v>149487.76217</v>
      </c>
      <c r="AR26" s="15">
        <f t="shared" si="17"/>
        <v>149487.76217</v>
      </c>
      <c r="AS26" s="15">
        <f t="shared" si="17"/>
        <v>0</v>
      </c>
      <c r="AT26" s="662">
        <f t="shared" si="17"/>
        <v>0</v>
      </c>
      <c r="AU26" s="15">
        <f t="shared" si="17"/>
        <v>0</v>
      </c>
      <c r="AV26" s="15">
        <f t="shared" si="17"/>
        <v>0</v>
      </c>
      <c r="AW26" s="15">
        <f t="shared" si="17"/>
        <v>0</v>
      </c>
      <c r="AX26" s="662">
        <f t="shared" si="17"/>
        <v>0</v>
      </c>
      <c r="AY26" s="15">
        <f>AY27+AY40</f>
        <v>0</v>
      </c>
      <c r="AZ26" s="15">
        <f>AZ27+AZ40</f>
        <v>0</v>
      </c>
      <c r="BA26" s="15">
        <f>BA27+BA40</f>
        <v>0</v>
      </c>
      <c r="BB26" s="662">
        <f>BB27+BB40</f>
        <v>0</v>
      </c>
    </row>
    <row r="27" spans="1:54">
      <c r="A27" s="8" t="s">
        <v>245</v>
      </c>
      <c r="B27" s="20">
        <v>0</v>
      </c>
      <c r="C27" s="20">
        <f t="shared" ref="C27:AX27" si="18">SUM(C28:C39)</f>
        <v>0</v>
      </c>
      <c r="D27" s="20">
        <f t="shared" si="18"/>
        <v>0</v>
      </c>
      <c r="E27" s="20">
        <f t="shared" si="18"/>
        <v>0</v>
      </c>
      <c r="F27" s="664">
        <f t="shared" si="18"/>
        <v>0</v>
      </c>
      <c r="G27" s="20">
        <f t="shared" si="18"/>
        <v>0</v>
      </c>
      <c r="H27" s="20">
        <f t="shared" si="18"/>
        <v>0</v>
      </c>
      <c r="I27" s="20">
        <f t="shared" si="18"/>
        <v>0</v>
      </c>
      <c r="J27" s="664">
        <f t="shared" si="18"/>
        <v>0</v>
      </c>
      <c r="K27" s="20">
        <f t="shared" si="18"/>
        <v>0</v>
      </c>
      <c r="L27" s="20">
        <f t="shared" si="18"/>
        <v>0</v>
      </c>
      <c r="M27" s="20">
        <f t="shared" si="18"/>
        <v>0</v>
      </c>
      <c r="N27" s="664">
        <f t="shared" si="18"/>
        <v>0</v>
      </c>
      <c r="O27" s="20">
        <f t="shared" si="18"/>
        <v>0</v>
      </c>
      <c r="P27" s="20">
        <f t="shared" si="18"/>
        <v>0</v>
      </c>
      <c r="Q27" s="20">
        <f t="shared" si="18"/>
        <v>0</v>
      </c>
      <c r="R27" s="664">
        <f t="shared" si="18"/>
        <v>0</v>
      </c>
      <c r="S27" s="20">
        <f t="shared" si="18"/>
        <v>146734.5</v>
      </c>
      <c r="T27" s="20">
        <f t="shared" si="18"/>
        <v>146734.5</v>
      </c>
      <c r="U27" s="20">
        <f t="shared" si="18"/>
        <v>0</v>
      </c>
      <c r="V27" s="664">
        <f t="shared" si="18"/>
        <v>0</v>
      </c>
      <c r="W27" s="20">
        <f t="shared" si="18"/>
        <v>0</v>
      </c>
      <c r="X27" s="20">
        <f t="shared" si="18"/>
        <v>0</v>
      </c>
      <c r="Y27" s="20">
        <f t="shared" si="18"/>
        <v>0</v>
      </c>
      <c r="Z27" s="664">
        <f t="shared" si="18"/>
        <v>0</v>
      </c>
      <c r="AA27" s="20">
        <f t="shared" si="18"/>
        <v>0</v>
      </c>
      <c r="AB27" s="20">
        <f t="shared" si="18"/>
        <v>0</v>
      </c>
      <c r="AC27" s="20">
        <f t="shared" si="18"/>
        <v>0</v>
      </c>
      <c r="AD27" s="664">
        <f t="shared" si="18"/>
        <v>0</v>
      </c>
      <c r="AE27" s="20">
        <f t="shared" si="18"/>
        <v>0</v>
      </c>
      <c r="AF27" s="20">
        <f t="shared" si="18"/>
        <v>0</v>
      </c>
      <c r="AG27" s="20">
        <f t="shared" si="18"/>
        <v>0</v>
      </c>
      <c r="AH27" s="664">
        <f t="shared" si="18"/>
        <v>0</v>
      </c>
      <c r="AI27" s="20">
        <f t="shared" si="18"/>
        <v>0</v>
      </c>
      <c r="AJ27" s="20">
        <f t="shared" si="18"/>
        <v>0</v>
      </c>
      <c r="AK27" s="20">
        <f t="shared" si="18"/>
        <v>0</v>
      </c>
      <c r="AL27" s="664">
        <f t="shared" si="18"/>
        <v>0</v>
      </c>
      <c r="AM27" s="20">
        <f t="shared" si="18"/>
        <v>0</v>
      </c>
      <c r="AN27" s="20">
        <f t="shared" si="18"/>
        <v>0</v>
      </c>
      <c r="AO27" s="20">
        <f t="shared" si="18"/>
        <v>0</v>
      </c>
      <c r="AP27" s="664">
        <f t="shared" si="18"/>
        <v>0</v>
      </c>
      <c r="AQ27" s="20">
        <f t="shared" si="18"/>
        <v>149487.76217</v>
      </c>
      <c r="AR27" s="20">
        <f t="shared" si="18"/>
        <v>149487.76217</v>
      </c>
      <c r="AS27" s="20">
        <f t="shared" si="18"/>
        <v>0</v>
      </c>
      <c r="AT27" s="664">
        <f t="shared" si="18"/>
        <v>0</v>
      </c>
      <c r="AU27" s="20">
        <f t="shared" si="18"/>
        <v>0</v>
      </c>
      <c r="AV27" s="20">
        <f t="shared" si="18"/>
        <v>0</v>
      </c>
      <c r="AW27" s="20">
        <f t="shared" si="18"/>
        <v>0</v>
      </c>
      <c r="AX27" s="664">
        <f t="shared" si="18"/>
        <v>0</v>
      </c>
      <c r="AY27" s="20">
        <f>SUM(AY28:AY39)</f>
        <v>0</v>
      </c>
      <c r="AZ27" s="20">
        <f>SUM(AZ28:AZ39)</f>
        <v>0</v>
      </c>
      <c r="BA27" s="20">
        <f>SUM(BA28:BA39)</f>
        <v>0</v>
      </c>
      <c r="BB27" s="664">
        <f>SUM(BB28:BB39)</f>
        <v>0</v>
      </c>
    </row>
    <row r="28" spans="1:54">
      <c r="A28" s="3" t="s">
        <v>246</v>
      </c>
      <c r="B28" s="17"/>
      <c r="C28" s="17"/>
      <c r="D28" s="17"/>
      <c r="E28" s="17"/>
      <c r="F28" s="661">
        <f>C28-D28</f>
        <v>0</v>
      </c>
      <c r="G28" s="17"/>
      <c r="H28" s="17"/>
      <c r="I28" s="17"/>
      <c r="J28" s="661">
        <f>G28-H28</f>
        <v>0</v>
      </c>
      <c r="K28" s="17"/>
      <c r="L28" s="17"/>
      <c r="M28" s="17"/>
      <c r="N28" s="661">
        <f>K28-L28</f>
        <v>0</v>
      </c>
      <c r="O28" s="17"/>
      <c r="P28" s="17"/>
      <c r="Q28" s="17"/>
      <c r="R28" s="661">
        <f>O28-P28</f>
        <v>0</v>
      </c>
      <c r="S28" s="17"/>
      <c r="T28" s="17"/>
      <c r="U28" s="17"/>
      <c r="V28" s="661">
        <f>S28-T28</f>
        <v>0</v>
      </c>
      <c r="W28" s="17"/>
      <c r="X28" s="17"/>
      <c r="Y28" s="17"/>
      <c r="Z28" s="661">
        <f>W28-X28</f>
        <v>0</v>
      </c>
      <c r="AA28" s="17"/>
      <c r="AB28" s="17"/>
      <c r="AC28" s="17"/>
      <c r="AD28" s="661">
        <f>AA28-AB28</f>
        <v>0</v>
      </c>
      <c r="AE28" s="17"/>
      <c r="AF28" s="17"/>
      <c r="AG28" s="17"/>
      <c r="AH28" s="661">
        <f>AE28-AF28</f>
        <v>0</v>
      </c>
      <c r="AI28" s="17"/>
      <c r="AJ28" s="17"/>
      <c r="AK28" s="17"/>
      <c r="AL28" s="661">
        <f>AI28-AJ28</f>
        <v>0</v>
      </c>
      <c r="AM28" s="17"/>
      <c r="AN28" s="17"/>
      <c r="AO28" s="17"/>
      <c r="AP28" s="661">
        <f>AM28-AN28</f>
        <v>0</v>
      </c>
      <c r="AQ28" s="17"/>
      <c r="AR28" s="17"/>
      <c r="AS28" s="17"/>
      <c r="AT28" s="661">
        <f>AQ28-AR28</f>
        <v>0</v>
      </c>
      <c r="AU28" s="17"/>
      <c r="AV28" s="17"/>
      <c r="AW28" s="17"/>
      <c r="AX28" s="661">
        <f>AU28-AV28</f>
        <v>0</v>
      </c>
      <c r="AY28" s="17"/>
      <c r="AZ28" s="17"/>
      <c r="BA28" s="17"/>
      <c r="BB28" s="661">
        <f>AY28-AZ28</f>
        <v>0</v>
      </c>
    </row>
    <row r="29" spans="1:54">
      <c r="A29" s="14" t="s">
        <v>247</v>
      </c>
      <c r="B29" s="18"/>
      <c r="C29" s="18"/>
      <c r="D29" s="18"/>
      <c r="E29" s="18"/>
      <c r="F29" s="661">
        <f t="shared" ref="F29:F39" si="19">C29-D29</f>
        <v>0</v>
      </c>
      <c r="G29" s="18"/>
      <c r="H29" s="18"/>
      <c r="I29" s="18"/>
      <c r="J29" s="661">
        <f t="shared" ref="J29:J39" si="20">G29-H29</f>
        <v>0</v>
      </c>
      <c r="K29" s="18"/>
      <c r="L29" s="18"/>
      <c r="M29" s="18"/>
      <c r="N29" s="661">
        <f t="shared" ref="N29:N39" si="21">K29-L29</f>
        <v>0</v>
      </c>
      <c r="O29" s="18"/>
      <c r="P29" s="18"/>
      <c r="Q29" s="18"/>
      <c r="R29" s="661">
        <f t="shared" ref="R29:R39" si="22">O29-P29</f>
        <v>0</v>
      </c>
      <c r="S29" s="18"/>
      <c r="T29" s="18"/>
      <c r="U29" s="18"/>
      <c r="V29" s="661">
        <f t="shared" ref="V29:V39" si="23">S29-T29</f>
        <v>0</v>
      </c>
      <c r="W29" s="18"/>
      <c r="X29" s="18"/>
      <c r="Y29" s="18"/>
      <c r="Z29" s="661">
        <f t="shared" ref="Z29:Z39" si="24">W29-X29</f>
        <v>0</v>
      </c>
      <c r="AA29" s="18"/>
      <c r="AB29" s="18"/>
      <c r="AC29" s="18"/>
      <c r="AD29" s="661">
        <f t="shared" ref="AD29:AD39" si="25">AA29-AB29</f>
        <v>0</v>
      </c>
      <c r="AE29" s="18"/>
      <c r="AF29" s="18"/>
      <c r="AG29" s="18"/>
      <c r="AH29" s="661">
        <f t="shared" ref="AH29:AH39" si="26">AE29-AF29</f>
        <v>0</v>
      </c>
      <c r="AI29" s="18"/>
      <c r="AJ29" s="18"/>
      <c r="AK29" s="18"/>
      <c r="AL29" s="661">
        <f t="shared" ref="AL29:AL39" si="27">AI29-AJ29</f>
        <v>0</v>
      </c>
      <c r="AM29" s="18"/>
      <c r="AN29" s="18"/>
      <c r="AO29" s="18"/>
      <c r="AP29" s="661">
        <f t="shared" ref="AP29:AP39" si="28">AM29-AN29</f>
        <v>0</v>
      </c>
      <c r="AQ29" s="18"/>
      <c r="AR29" s="18"/>
      <c r="AS29" s="18"/>
      <c r="AT29" s="661">
        <f t="shared" ref="AT29:AT39" si="29">AQ29-AR29</f>
        <v>0</v>
      </c>
      <c r="AU29" s="18"/>
      <c r="AV29" s="18"/>
      <c r="AW29" s="18"/>
      <c r="AX29" s="661">
        <f t="shared" ref="AX29:AX39" si="30">AU29-AV29</f>
        <v>0</v>
      </c>
      <c r="AY29" s="18"/>
      <c r="AZ29" s="18"/>
      <c r="BA29" s="18"/>
      <c r="BB29" s="661">
        <f t="shared" ref="BB29:BB39" si="31">AY29-AZ29</f>
        <v>0</v>
      </c>
    </row>
    <row r="30" spans="1:54">
      <c r="A30" s="3" t="s">
        <v>1702</v>
      </c>
      <c r="B30" s="17"/>
      <c r="C30" s="17"/>
      <c r="D30" s="17"/>
      <c r="E30" s="17"/>
      <c r="F30" s="661">
        <f t="shared" si="19"/>
        <v>0</v>
      </c>
      <c r="G30" s="17"/>
      <c r="H30" s="17"/>
      <c r="I30" s="17"/>
      <c r="J30" s="661">
        <f t="shared" si="20"/>
        <v>0</v>
      </c>
      <c r="K30" s="17"/>
      <c r="L30" s="17"/>
      <c r="M30" s="17"/>
      <c r="N30" s="661">
        <f t="shared" si="21"/>
        <v>0</v>
      </c>
      <c r="O30" s="17"/>
      <c r="P30" s="17"/>
      <c r="Q30" s="17"/>
      <c r="R30" s="661">
        <f t="shared" si="22"/>
        <v>0</v>
      </c>
      <c r="S30" s="17"/>
      <c r="T30" s="17"/>
      <c r="U30" s="17"/>
      <c r="V30" s="661">
        <f t="shared" si="23"/>
        <v>0</v>
      </c>
      <c r="W30" s="17"/>
      <c r="X30" s="17"/>
      <c r="Y30" s="17"/>
      <c r="Z30" s="661">
        <f t="shared" si="24"/>
        <v>0</v>
      </c>
      <c r="AA30" s="17"/>
      <c r="AB30" s="17"/>
      <c r="AC30" s="17"/>
      <c r="AD30" s="661">
        <f t="shared" si="25"/>
        <v>0</v>
      </c>
      <c r="AE30" s="17"/>
      <c r="AF30" s="17"/>
      <c r="AG30" s="17"/>
      <c r="AH30" s="661">
        <f t="shared" si="26"/>
        <v>0</v>
      </c>
      <c r="AI30" s="17"/>
      <c r="AJ30" s="17"/>
      <c r="AK30" s="17"/>
      <c r="AL30" s="661">
        <f t="shared" si="27"/>
        <v>0</v>
      </c>
      <c r="AM30" s="17"/>
      <c r="AN30" s="17"/>
      <c r="AO30" s="17"/>
      <c r="AP30" s="661">
        <f t="shared" si="28"/>
        <v>0</v>
      </c>
      <c r="AQ30" s="17"/>
      <c r="AR30" s="17"/>
      <c r="AS30" s="17"/>
      <c r="AT30" s="661">
        <f t="shared" si="29"/>
        <v>0</v>
      </c>
      <c r="AU30" s="17"/>
      <c r="AV30" s="17"/>
      <c r="AW30" s="17"/>
      <c r="AX30" s="661">
        <f t="shared" si="30"/>
        <v>0</v>
      </c>
      <c r="AY30" s="17"/>
      <c r="AZ30" s="17"/>
      <c r="BA30" s="17"/>
      <c r="BB30" s="661">
        <f t="shared" si="31"/>
        <v>0</v>
      </c>
    </row>
    <row r="31" spans="1:54">
      <c r="A31" s="3" t="s">
        <v>1703</v>
      </c>
      <c r="B31" s="17"/>
      <c r="C31" s="17"/>
      <c r="D31" s="17"/>
      <c r="E31" s="17"/>
      <c r="F31" s="661">
        <f t="shared" si="19"/>
        <v>0</v>
      </c>
      <c r="G31" s="17"/>
      <c r="H31" s="17"/>
      <c r="I31" s="17"/>
      <c r="J31" s="661">
        <f t="shared" si="20"/>
        <v>0</v>
      </c>
      <c r="K31" s="17"/>
      <c r="L31" s="17"/>
      <c r="M31" s="17"/>
      <c r="N31" s="661">
        <f t="shared" si="21"/>
        <v>0</v>
      </c>
      <c r="O31" s="17"/>
      <c r="P31" s="17"/>
      <c r="Q31" s="17"/>
      <c r="R31" s="661">
        <f t="shared" si="22"/>
        <v>0</v>
      </c>
      <c r="S31" s="17"/>
      <c r="T31" s="17"/>
      <c r="U31" s="17"/>
      <c r="V31" s="661">
        <f t="shared" si="23"/>
        <v>0</v>
      </c>
      <c r="W31" s="17"/>
      <c r="X31" s="17"/>
      <c r="Y31" s="17"/>
      <c r="Z31" s="661">
        <f t="shared" si="24"/>
        <v>0</v>
      </c>
      <c r="AA31" s="17"/>
      <c r="AB31" s="17"/>
      <c r="AC31" s="17"/>
      <c r="AD31" s="661">
        <f t="shared" si="25"/>
        <v>0</v>
      </c>
      <c r="AE31" s="17"/>
      <c r="AF31" s="17"/>
      <c r="AG31" s="17"/>
      <c r="AH31" s="661">
        <f t="shared" si="26"/>
        <v>0</v>
      </c>
      <c r="AI31" s="17"/>
      <c r="AJ31" s="17"/>
      <c r="AK31" s="17"/>
      <c r="AL31" s="661">
        <f t="shared" si="27"/>
        <v>0</v>
      </c>
      <c r="AM31" s="17"/>
      <c r="AN31" s="17"/>
      <c r="AO31" s="17"/>
      <c r="AP31" s="661">
        <f t="shared" si="28"/>
        <v>0</v>
      </c>
      <c r="AQ31" s="17"/>
      <c r="AR31" s="17"/>
      <c r="AS31" s="17"/>
      <c r="AT31" s="661">
        <f t="shared" si="29"/>
        <v>0</v>
      </c>
      <c r="AU31" s="17"/>
      <c r="AV31" s="17"/>
      <c r="AW31" s="17"/>
      <c r="AX31" s="661">
        <f t="shared" si="30"/>
        <v>0</v>
      </c>
      <c r="AY31" s="17"/>
      <c r="AZ31" s="17"/>
      <c r="BA31" s="17"/>
      <c r="BB31" s="661">
        <f t="shared" si="31"/>
        <v>0</v>
      </c>
    </row>
    <row r="32" spans="1:54">
      <c r="A32" s="3" t="s">
        <v>1710</v>
      </c>
      <c r="B32" s="17"/>
      <c r="C32" s="17"/>
      <c r="D32" s="17"/>
      <c r="E32" s="17"/>
      <c r="F32" s="661">
        <f t="shared" si="19"/>
        <v>0</v>
      </c>
      <c r="G32" s="17"/>
      <c r="H32" s="17"/>
      <c r="I32" s="17"/>
      <c r="J32" s="661">
        <f t="shared" si="20"/>
        <v>0</v>
      </c>
      <c r="K32" s="17"/>
      <c r="L32" s="17"/>
      <c r="M32" s="17"/>
      <c r="N32" s="661">
        <f t="shared" si="21"/>
        <v>0</v>
      </c>
      <c r="O32" s="17"/>
      <c r="P32" s="17"/>
      <c r="Q32" s="17"/>
      <c r="R32" s="661">
        <f t="shared" si="22"/>
        <v>0</v>
      </c>
      <c r="S32" s="17"/>
      <c r="T32" s="17"/>
      <c r="U32" s="17"/>
      <c r="V32" s="661">
        <f t="shared" si="23"/>
        <v>0</v>
      </c>
      <c r="W32" s="17"/>
      <c r="X32" s="17"/>
      <c r="Y32" s="17"/>
      <c r="Z32" s="661">
        <f t="shared" si="24"/>
        <v>0</v>
      </c>
      <c r="AA32" s="17"/>
      <c r="AB32" s="17"/>
      <c r="AC32" s="17"/>
      <c r="AD32" s="661">
        <f t="shared" si="25"/>
        <v>0</v>
      </c>
      <c r="AE32" s="17"/>
      <c r="AF32" s="17"/>
      <c r="AG32" s="17"/>
      <c r="AH32" s="661">
        <f t="shared" si="26"/>
        <v>0</v>
      </c>
      <c r="AI32" s="17"/>
      <c r="AJ32" s="17"/>
      <c r="AK32" s="17"/>
      <c r="AL32" s="661">
        <f t="shared" si="27"/>
        <v>0</v>
      </c>
      <c r="AM32" s="17"/>
      <c r="AN32" s="17"/>
      <c r="AO32" s="17"/>
      <c r="AP32" s="661">
        <f t="shared" si="28"/>
        <v>0</v>
      </c>
      <c r="AQ32" s="17"/>
      <c r="AR32" s="17"/>
      <c r="AS32" s="17"/>
      <c r="AT32" s="661">
        <f t="shared" si="29"/>
        <v>0</v>
      </c>
      <c r="AU32" s="17"/>
      <c r="AV32" s="17"/>
      <c r="AW32" s="17"/>
      <c r="AX32" s="661">
        <f t="shared" si="30"/>
        <v>0</v>
      </c>
      <c r="AY32" s="17"/>
      <c r="AZ32" s="17"/>
      <c r="BA32" s="17"/>
      <c r="BB32" s="661">
        <f t="shared" si="31"/>
        <v>0</v>
      </c>
    </row>
    <row r="33" spans="1:54">
      <c r="A33" s="3" t="s">
        <v>1711</v>
      </c>
      <c r="B33" s="17"/>
      <c r="C33" s="17"/>
      <c r="D33" s="17"/>
      <c r="E33" s="17"/>
      <c r="F33" s="661">
        <f t="shared" si="19"/>
        <v>0</v>
      </c>
      <c r="G33" s="17"/>
      <c r="H33" s="17"/>
      <c r="I33" s="17"/>
      <c r="J33" s="661">
        <f t="shared" si="20"/>
        <v>0</v>
      </c>
      <c r="K33" s="17"/>
      <c r="L33" s="17"/>
      <c r="M33" s="17"/>
      <c r="N33" s="661">
        <f t="shared" si="21"/>
        <v>0</v>
      </c>
      <c r="O33" s="17"/>
      <c r="P33" s="17"/>
      <c r="Q33" s="17"/>
      <c r="R33" s="661">
        <f t="shared" si="22"/>
        <v>0</v>
      </c>
      <c r="S33" s="17"/>
      <c r="T33" s="17"/>
      <c r="U33" s="17"/>
      <c r="V33" s="661">
        <f t="shared" si="23"/>
        <v>0</v>
      </c>
      <c r="W33" s="17"/>
      <c r="X33" s="17"/>
      <c r="Y33" s="17"/>
      <c r="Z33" s="661">
        <f t="shared" si="24"/>
        <v>0</v>
      </c>
      <c r="AA33" s="19"/>
      <c r="AB33" s="17"/>
      <c r="AC33" s="17"/>
      <c r="AD33" s="661">
        <f t="shared" si="25"/>
        <v>0</v>
      </c>
      <c r="AE33" s="17"/>
      <c r="AF33" s="17"/>
      <c r="AG33" s="17"/>
      <c r="AH33" s="661">
        <f t="shared" si="26"/>
        <v>0</v>
      </c>
      <c r="AI33" s="17"/>
      <c r="AJ33" s="17"/>
      <c r="AK33" s="17"/>
      <c r="AL33" s="661">
        <f t="shared" si="27"/>
        <v>0</v>
      </c>
      <c r="AM33" s="17"/>
      <c r="AN33" s="17"/>
      <c r="AO33" s="17"/>
      <c r="AP33" s="661">
        <f t="shared" si="28"/>
        <v>0</v>
      </c>
      <c r="AQ33" s="864"/>
      <c r="AR33" s="864"/>
      <c r="AS33" s="17"/>
      <c r="AT33" s="661">
        <f t="shared" si="29"/>
        <v>0</v>
      </c>
      <c r="AU33" s="17"/>
      <c r="AV33" s="17"/>
      <c r="AW33" s="17"/>
      <c r="AX33" s="661">
        <f t="shared" si="30"/>
        <v>0</v>
      </c>
      <c r="AY33" s="17"/>
      <c r="AZ33" s="17"/>
      <c r="BA33" s="17"/>
      <c r="BB33" s="661">
        <f t="shared" si="31"/>
        <v>0</v>
      </c>
    </row>
    <row r="34" spans="1:54">
      <c r="A34" s="3" t="s">
        <v>248</v>
      </c>
      <c r="B34" s="17"/>
      <c r="C34" s="17"/>
      <c r="D34" s="17"/>
      <c r="E34" s="17"/>
      <c r="F34" s="661">
        <f t="shared" si="19"/>
        <v>0</v>
      </c>
      <c r="G34" s="17"/>
      <c r="H34" s="17"/>
      <c r="I34" s="17"/>
      <c r="J34" s="661">
        <f t="shared" si="20"/>
        <v>0</v>
      </c>
      <c r="K34" s="17"/>
      <c r="L34" s="17"/>
      <c r="M34" s="17"/>
      <c r="N34" s="661">
        <f t="shared" si="21"/>
        <v>0</v>
      </c>
      <c r="O34" s="17"/>
      <c r="P34" s="17"/>
      <c r="Q34" s="17"/>
      <c r="R34" s="661">
        <f t="shared" si="22"/>
        <v>0</v>
      </c>
      <c r="S34" s="17"/>
      <c r="T34" s="17"/>
      <c r="U34" s="17"/>
      <c r="V34" s="661">
        <f t="shared" si="23"/>
        <v>0</v>
      </c>
      <c r="W34" s="17"/>
      <c r="X34" s="17"/>
      <c r="Y34" s="17"/>
      <c r="Z34" s="661">
        <f t="shared" si="24"/>
        <v>0</v>
      </c>
      <c r="AA34" s="17"/>
      <c r="AB34" s="17"/>
      <c r="AC34" s="17"/>
      <c r="AD34" s="661">
        <f t="shared" si="25"/>
        <v>0</v>
      </c>
      <c r="AE34" s="17"/>
      <c r="AF34" s="17"/>
      <c r="AG34" s="17"/>
      <c r="AH34" s="661">
        <f t="shared" si="26"/>
        <v>0</v>
      </c>
      <c r="AI34" s="17"/>
      <c r="AJ34" s="17"/>
      <c r="AK34" s="17"/>
      <c r="AL34" s="661">
        <f t="shared" si="27"/>
        <v>0</v>
      </c>
      <c r="AM34" s="17"/>
      <c r="AN34" s="17"/>
      <c r="AO34" s="17"/>
      <c r="AP34" s="661">
        <f t="shared" si="28"/>
        <v>0</v>
      </c>
      <c r="AQ34" s="17"/>
      <c r="AR34" s="17"/>
      <c r="AS34" s="17"/>
      <c r="AT34" s="661">
        <f t="shared" si="29"/>
        <v>0</v>
      </c>
      <c r="AU34" s="17"/>
      <c r="AV34" s="17"/>
      <c r="AW34" s="17"/>
      <c r="AX34" s="661">
        <f t="shared" si="30"/>
        <v>0</v>
      </c>
      <c r="AY34" s="17"/>
      <c r="AZ34" s="17"/>
      <c r="BA34" s="17"/>
      <c r="BB34" s="661">
        <f t="shared" si="31"/>
        <v>0</v>
      </c>
    </row>
    <row r="35" spans="1:54">
      <c r="A35" s="3" t="s">
        <v>1696</v>
      </c>
      <c r="B35" s="17"/>
      <c r="C35" s="17"/>
      <c r="D35" s="17"/>
      <c r="E35" s="17"/>
      <c r="F35" s="661">
        <f t="shared" si="19"/>
        <v>0</v>
      </c>
      <c r="G35" s="17"/>
      <c r="H35" s="17"/>
      <c r="I35" s="17"/>
      <c r="J35" s="661">
        <f t="shared" si="20"/>
        <v>0</v>
      </c>
      <c r="K35" s="17"/>
      <c r="L35" s="17"/>
      <c r="M35" s="17"/>
      <c r="N35" s="661">
        <f t="shared" si="21"/>
        <v>0</v>
      </c>
      <c r="O35" s="17"/>
      <c r="P35" s="17"/>
      <c r="Q35" s="17"/>
      <c r="R35" s="661">
        <f t="shared" si="22"/>
        <v>0</v>
      </c>
      <c r="S35" s="17"/>
      <c r="T35" s="17"/>
      <c r="U35" s="17"/>
      <c r="V35" s="661">
        <f t="shared" si="23"/>
        <v>0</v>
      </c>
      <c r="W35" s="17"/>
      <c r="X35" s="17"/>
      <c r="Y35" s="17"/>
      <c r="Z35" s="661">
        <f t="shared" si="24"/>
        <v>0</v>
      </c>
      <c r="AA35" s="17"/>
      <c r="AB35" s="17"/>
      <c r="AC35" s="17"/>
      <c r="AD35" s="661">
        <f t="shared" si="25"/>
        <v>0</v>
      </c>
      <c r="AE35" s="17"/>
      <c r="AF35" s="17"/>
      <c r="AG35" s="17"/>
      <c r="AH35" s="661">
        <f t="shared" si="26"/>
        <v>0</v>
      </c>
      <c r="AI35" s="17"/>
      <c r="AJ35" s="17"/>
      <c r="AK35" s="17"/>
      <c r="AL35" s="661">
        <f t="shared" si="27"/>
        <v>0</v>
      </c>
      <c r="AM35" s="17"/>
      <c r="AN35" s="17"/>
      <c r="AO35" s="17"/>
      <c r="AP35" s="661">
        <f t="shared" si="28"/>
        <v>0</v>
      </c>
      <c r="AQ35" s="17"/>
      <c r="AR35" s="17"/>
      <c r="AS35" s="17"/>
      <c r="AT35" s="661">
        <f t="shared" si="29"/>
        <v>0</v>
      </c>
      <c r="AU35" s="17"/>
      <c r="AV35" s="17"/>
      <c r="AW35" s="17"/>
      <c r="AX35" s="661">
        <f t="shared" si="30"/>
        <v>0</v>
      </c>
      <c r="AY35" s="17"/>
      <c r="AZ35" s="17"/>
      <c r="BA35" s="17"/>
      <c r="BB35" s="661">
        <f t="shared" si="31"/>
        <v>0</v>
      </c>
    </row>
    <row r="36" spans="1:54">
      <c r="A36" s="1424" t="s">
        <v>2857</v>
      </c>
      <c r="B36" s="17"/>
      <c r="C36" s="17"/>
      <c r="D36" s="17"/>
      <c r="E36" s="17"/>
      <c r="F36" s="661">
        <f>C36-D36</f>
        <v>0</v>
      </c>
      <c r="G36" s="17"/>
      <c r="H36" s="17"/>
      <c r="I36" s="17"/>
      <c r="J36" s="661">
        <f>G36-H36</f>
        <v>0</v>
      </c>
      <c r="K36" s="17"/>
      <c r="L36" s="17"/>
      <c r="M36" s="17"/>
      <c r="N36" s="661">
        <f>K36-L36</f>
        <v>0</v>
      </c>
      <c r="O36" s="17"/>
      <c r="P36" s="17"/>
      <c r="Q36" s="17"/>
      <c r="R36" s="661">
        <f>O36-P36</f>
        <v>0</v>
      </c>
      <c r="S36" s="17"/>
      <c r="T36" s="17"/>
      <c r="U36" s="17"/>
      <c r="V36" s="661">
        <f>S36-T36</f>
        <v>0</v>
      </c>
      <c r="W36" s="17"/>
      <c r="X36" s="17"/>
      <c r="Y36" s="17"/>
      <c r="Z36" s="661">
        <f>W36-X36</f>
        <v>0</v>
      </c>
      <c r="AA36" s="17"/>
      <c r="AB36" s="17"/>
      <c r="AC36" s="17"/>
      <c r="AD36" s="661">
        <f>AA36-AB36</f>
        <v>0</v>
      </c>
      <c r="AE36" s="17"/>
      <c r="AF36" s="17"/>
      <c r="AG36" s="17"/>
      <c r="AH36" s="661">
        <f>AE36-AF36</f>
        <v>0</v>
      </c>
      <c r="AI36" s="17"/>
      <c r="AJ36" s="17"/>
      <c r="AK36" s="17"/>
      <c r="AL36" s="661">
        <f>AI36-AJ36</f>
        <v>0</v>
      </c>
      <c r="AM36" s="17"/>
      <c r="AN36" s="17"/>
      <c r="AO36" s="17"/>
      <c r="AP36" s="661">
        <f>AM36-AN36</f>
        <v>0</v>
      </c>
      <c r="AQ36" s="17"/>
      <c r="AR36" s="17"/>
      <c r="AS36" s="17"/>
      <c r="AT36" s="661">
        <f>AQ36-AR36</f>
        <v>0</v>
      </c>
      <c r="AU36" s="17"/>
      <c r="AV36" s="17"/>
      <c r="AW36" s="17"/>
      <c r="AX36" s="661">
        <f>AU36-AV36</f>
        <v>0</v>
      </c>
      <c r="AY36" s="17"/>
      <c r="AZ36" s="17"/>
      <c r="BA36" s="17"/>
      <c r="BB36" s="661">
        <f>AY36-AZ36</f>
        <v>0</v>
      </c>
    </row>
    <row r="37" spans="1:54" ht="15">
      <c r="A37" s="1424" t="s">
        <v>2938</v>
      </c>
      <c r="B37" s="17"/>
      <c r="C37" s="17"/>
      <c r="D37" s="17"/>
      <c r="E37" s="17"/>
      <c r="F37" s="661">
        <f>C37-D37</f>
        <v>0</v>
      </c>
      <c r="G37" s="17"/>
      <c r="H37" s="17"/>
      <c r="I37" s="17"/>
      <c r="J37" s="661">
        <f>G37-H37</f>
        <v>0</v>
      </c>
      <c r="K37" s="17"/>
      <c r="L37" s="17"/>
      <c r="M37" s="17"/>
      <c r="N37" s="661">
        <f>K37-L37</f>
        <v>0</v>
      </c>
      <c r="O37" s="17"/>
      <c r="P37" s="17"/>
      <c r="Q37" s="17"/>
      <c r="R37" s="661">
        <f>O37-P37</f>
        <v>0</v>
      </c>
      <c r="S37" s="1561">
        <v>146734.5</v>
      </c>
      <c r="T37" s="1561">
        <v>146734.5</v>
      </c>
      <c r="U37" s="17"/>
      <c r="V37" s="661">
        <f>S37-T37</f>
        <v>0</v>
      </c>
      <c r="W37" s="17"/>
      <c r="X37" s="17"/>
      <c r="Y37" s="17"/>
      <c r="Z37" s="661">
        <f>W37-X37</f>
        <v>0</v>
      </c>
      <c r="AA37" s="17"/>
      <c r="AB37" s="17"/>
      <c r="AC37" s="17"/>
      <c r="AD37" s="661">
        <f>AA37-AB37</f>
        <v>0</v>
      </c>
      <c r="AE37" s="17"/>
      <c r="AF37" s="17"/>
      <c r="AG37" s="17"/>
      <c r="AH37" s="661">
        <f>AE37-AF37</f>
        <v>0</v>
      </c>
      <c r="AI37" s="17"/>
      <c r="AJ37" s="17"/>
      <c r="AK37" s="17"/>
      <c r="AL37" s="661">
        <f>AI37-AJ37</f>
        <v>0</v>
      </c>
      <c r="AM37" s="17"/>
      <c r="AN37" s="17"/>
      <c r="AO37" s="17"/>
      <c r="AP37" s="661">
        <f>AM37-AN37</f>
        <v>0</v>
      </c>
      <c r="AQ37" s="17">
        <f>146980+2507.76217</f>
        <v>149487.76217</v>
      </c>
      <c r="AR37" s="17">
        <f>146980+2507.76217</f>
        <v>149487.76217</v>
      </c>
      <c r="AS37" s="17"/>
      <c r="AT37" s="661">
        <f>AQ37-AR37</f>
        <v>0</v>
      </c>
      <c r="AU37" s="17"/>
      <c r="AV37" s="17"/>
      <c r="AW37" s="17"/>
      <c r="AX37" s="661">
        <f>AU37-AV37</f>
        <v>0</v>
      </c>
      <c r="AY37" s="17"/>
      <c r="AZ37" s="17"/>
      <c r="BA37" s="17"/>
      <c r="BB37" s="661">
        <f>AY37-AZ37</f>
        <v>0</v>
      </c>
    </row>
    <row r="38" spans="1:54">
      <c r="A38" s="3" t="s">
        <v>1697</v>
      </c>
      <c r="B38" s="17"/>
      <c r="C38" s="17"/>
      <c r="D38" s="17"/>
      <c r="E38" s="17"/>
      <c r="F38" s="661">
        <f t="shared" si="19"/>
        <v>0</v>
      </c>
      <c r="G38" s="17"/>
      <c r="H38" s="17"/>
      <c r="I38" s="17"/>
      <c r="J38" s="661">
        <f t="shared" si="20"/>
        <v>0</v>
      </c>
      <c r="K38" s="17"/>
      <c r="L38" s="17"/>
      <c r="M38" s="17"/>
      <c r="N38" s="661">
        <f t="shared" si="21"/>
        <v>0</v>
      </c>
      <c r="O38" s="17"/>
      <c r="P38" s="17"/>
      <c r="Q38" s="17"/>
      <c r="R38" s="661">
        <f t="shared" si="22"/>
        <v>0</v>
      </c>
      <c r="S38" s="17"/>
      <c r="T38" s="17"/>
      <c r="U38" s="17"/>
      <c r="V38" s="661">
        <f t="shared" si="23"/>
        <v>0</v>
      </c>
      <c r="W38" s="17"/>
      <c r="X38" s="17"/>
      <c r="Y38" s="17"/>
      <c r="Z38" s="661">
        <f t="shared" si="24"/>
        <v>0</v>
      </c>
      <c r="AA38" s="17"/>
      <c r="AB38" s="17"/>
      <c r="AC38" s="17"/>
      <c r="AD38" s="661">
        <f t="shared" si="25"/>
        <v>0</v>
      </c>
      <c r="AE38" s="17"/>
      <c r="AF38" s="17"/>
      <c r="AG38" s="17"/>
      <c r="AH38" s="661">
        <f t="shared" si="26"/>
        <v>0</v>
      </c>
      <c r="AI38" s="17"/>
      <c r="AJ38" s="17"/>
      <c r="AK38" s="17"/>
      <c r="AL38" s="661">
        <f t="shared" si="27"/>
        <v>0</v>
      </c>
      <c r="AM38" s="17"/>
      <c r="AN38" s="17"/>
      <c r="AO38" s="17"/>
      <c r="AP38" s="661">
        <f t="shared" si="28"/>
        <v>0</v>
      </c>
      <c r="AQ38" s="17"/>
      <c r="AR38" s="17"/>
      <c r="AS38" s="17"/>
      <c r="AT38" s="661">
        <f t="shared" si="29"/>
        <v>0</v>
      </c>
      <c r="AU38" s="17"/>
      <c r="AV38" s="17"/>
      <c r="AW38" s="17"/>
      <c r="AX38" s="661">
        <f t="shared" si="30"/>
        <v>0</v>
      </c>
      <c r="AY38" s="17"/>
      <c r="AZ38" s="17"/>
      <c r="BA38" s="17"/>
      <c r="BB38" s="661">
        <f t="shared" si="31"/>
        <v>0</v>
      </c>
    </row>
    <row r="39" spans="1:54">
      <c r="A39" s="856" t="s">
        <v>2998</v>
      </c>
      <c r="B39" s="17"/>
      <c r="C39" s="17"/>
      <c r="D39" s="17"/>
      <c r="E39" s="17"/>
      <c r="F39" s="661">
        <f t="shared" si="19"/>
        <v>0</v>
      </c>
      <c r="G39" s="17"/>
      <c r="H39" s="17"/>
      <c r="I39" s="17"/>
      <c r="J39" s="661">
        <f t="shared" si="20"/>
        <v>0</v>
      </c>
      <c r="K39" s="17"/>
      <c r="L39" s="17"/>
      <c r="M39" s="17"/>
      <c r="N39" s="661">
        <f t="shared" si="21"/>
        <v>0</v>
      </c>
      <c r="O39" s="17"/>
      <c r="P39" s="17"/>
      <c r="Q39" s="17"/>
      <c r="R39" s="661">
        <f t="shared" si="22"/>
        <v>0</v>
      </c>
      <c r="S39" s="17"/>
      <c r="T39" s="17"/>
      <c r="U39" s="17"/>
      <c r="V39" s="661">
        <f t="shared" si="23"/>
        <v>0</v>
      </c>
      <c r="W39" s="17"/>
      <c r="X39" s="17"/>
      <c r="Y39" s="17"/>
      <c r="Z39" s="661">
        <f t="shared" si="24"/>
        <v>0</v>
      </c>
      <c r="AA39" s="17"/>
      <c r="AB39" s="17"/>
      <c r="AC39" s="17"/>
      <c r="AD39" s="661">
        <f t="shared" si="25"/>
        <v>0</v>
      </c>
      <c r="AE39" s="17"/>
      <c r="AF39" s="17"/>
      <c r="AG39" s="17"/>
      <c r="AH39" s="661">
        <f t="shared" si="26"/>
        <v>0</v>
      </c>
      <c r="AI39" s="17"/>
      <c r="AJ39" s="17"/>
      <c r="AK39" s="17"/>
      <c r="AL39" s="661">
        <f t="shared" si="27"/>
        <v>0</v>
      </c>
      <c r="AM39" s="17"/>
      <c r="AN39" s="17"/>
      <c r="AO39" s="17"/>
      <c r="AP39" s="661">
        <f t="shared" si="28"/>
        <v>0</v>
      </c>
      <c r="AQ39" s="17"/>
      <c r="AR39" s="17"/>
      <c r="AS39" s="17"/>
      <c r="AT39" s="661">
        <f t="shared" si="29"/>
        <v>0</v>
      </c>
      <c r="AU39" s="17"/>
      <c r="AV39" s="17"/>
      <c r="AW39" s="17"/>
      <c r="AX39" s="661">
        <f t="shared" si="30"/>
        <v>0</v>
      </c>
      <c r="AY39" s="17"/>
      <c r="AZ39" s="17"/>
      <c r="BA39" s="17"/>
      <c r="BB39" s="661">
        <f t="shared" si="31"/>
        <v>0</v>
      </c>
    </row>
    <row r="40" spans="1:54">
      <c r="A40" s="8" t="s">
        <v>249</v>
      </c>
      <c r="B40" s="20">
        <v>0</v>
      </c>
      <c r="C40" s="20">
        <f>C41+C48</f>
        <v>0</v>
      </c>
      <c r="D40" s="20">
        <f t="shared" ref="D40:AH40" si="32">D41+D48</f>
        <v>0</v>
      </c>
      <c r="E40" s="20">
        <f t="shared" si="32"/>
        <v>0</v>
      </c>
      <c r="F40" s="664">
        <f t="shared" si="32"/>
        <v>0</v>
      </c>
      <c r="G40" s="20">
        <f t="shared" si="32"/>
        <v>0</v>
      </c>
      <c r="H40" s="20">
        <f t="shared" si="32"/>
        <v>0</v>
      </c>
      <c r="I40" s="20">
        <f t="shared" si="32"/>
        <v>0</v>
      </c>
      <c r="J40" s="664">
        <f t="shared" si="32"/>
        <v>0</v>
      </c>
      <c r="K40" s="20">
        <f t="shared" si="32"/>
        <v>0</v>
      </c>
      <c r="L40" s="20">
        <f t="shared" si="32"/>
        <v>0</v>
      </c>
      <c r="M40" s="20">
        <f t="shared" si="32"/>
        <v>0</v>
      </c>
      <c r="N40" s="664">
        <f t="shared" si="32"/>
        <v>0</v>
      </c>
      <c r="O40" s="20">
        <f t="shared" si="32"/>
        <v>0</v>
      </c>
      <c r="P40" s="20">
        <f t="shared" si="32"/>
        <v>0</v>
      </c>
      <c r="Q40" s="20">
        <f t="shared" si="32"/>
        <v>0</v>
      </c>
      <c r="R40" s="664">
        <f t="shared" si="32"/>
        <v>0</v>
      </c>
      <c r="S40" s="20">
        <f t="shared" si="32"/>
        <v>0</v>
      </c>
      <c r="T40" s="20">
        <f t="shared" si="32"/>
        <v>0</v>
      </c>
      <c r="U40" s="20">
        <f t="shared" si="32"/>
        <v>0</v>
      </c>
      <c r="V40" s="664">
        <f t="shared" si="32"/>
        <v>0</v>
      </c>
      <c r="W40" s="20">
        <f t="shared" si="32"/>
        <v>0</v>
      </c>
      <c r="X40" s="20">
        <f t="shared" si="32"/>
        <v>0</v>
      </c>
      <c r="Y40" s="20">
        <f t="shared" si="32"/>
        <v>0</v>
      </c>
      <c r="Z40" s="664">
        <f t="shared" si="32"/>
        <v>0</v>
      </c>
      <c r="AA40" s="20">
        <f t="shared" si="32"/>
        <v>0</v>
      </c>
      <c r="AB40" s="20">
        <f t="shared" si="32"/>
        <v>0</v>
      </c>
      <c r="AC40" s="20">
        <f t="shared" si="32"/>
        <v>0</v>
      </c>
      <c r="AD40" s="664">
        <f t="shared" si="32"/>
        <v>0</v>
      </c>
      <c r="AE40" s="20">
        <f t="shared" si="32"/>
        <v>0</v>
      </c>
      <c r="AF40" s="20">
        <f t="shared" si="32"/>
        <v>0</v>
      </c>
      <c r="AG40" s="20">
        <f t="shared" si="32"/>
        <v>0</v>
      </c>
      <c r="AH40" s="664">
        <f t="shared" si="32"/>
        <v>0</v>
      </c>
      <c r="AI40" s="20">
        <f t="shared" ref="AI40:BB40" si="33">AI41+AI48</f>
        <v>0</v>
      </c>
      <c r="AJ40" s="20">
        <f t="shared" si="33"/>
        <v>0</v>
      </c>
      <c r="AK40" s="20">
        <f t="shared" si="33"/>
        <v>0</v>
      </c>
      <c r="AL40" s="664">
        <f t="shared" si="33"/>
        <v>0</v>
      </c>
      <c r="AM40" s="20">
        <f t="shared" si="33"/>
        <v>0</v>
      </c>
      <c r="AN40" s="20">
        <f t="shared" si="33"/>
        <v>0</v>
      </c>
      <c r="AO40" s="20">
        <f t="shared" si="33"/>
        <v>0</v>
      </c>
      <c r="AP40" s="664">
        <f t="shared" si="33"/>
        <v>0</v>
      </c>
      <c r="AQ40" s="20">
        <f t="shared" si="33"/>
        <v>0</v>
      </c>
      <c r="AR40" s="20">
        <f t="shared" si="33"/>
        <v>0</v>
      </c>
      <c r="AS40" s="20">
        <f t="shared" si="33"/>
        <v>0</v>
      </c>
      <c r="AT40" s="664">
        <f t="shared" si="33"/>
        <v>0</v>
      </c>
      <c r="AU40" s="20">
        <f t="shared" si="33"/>
        <v>0</v>
      </c>
      <c r="AV40" s="20">
        <f t="shared" si="33"/>
        <v>0</v>
      </c>
      <c r="AW40" s="20">
        <f t="shared" si="33"/>
        <v>0</v>
      </c>
      <c r="AX40" s="664">
        <f t="shared" si="33"/>
        <v>0</v>
      </c>
      <c r="AY40" s="20">
        <f t="shared" si="33"/>
        <v>0</v>
      </c>
      <c r="AZ40" s="20">
        <f t="shared" si="33"/>
        <v>0</v>
      </c>
      <c r="BA40" s="20">
        <f t="shared" si="33"/>
        <v>0</v>
      </c>
      <c r="BB40" s="664">
        <f t="shared" si="33"/>
        <v>0</v>
      </c>
    </row>
    <row r="41" spans="1:54">
      <c r="A41" s="3" t="s">
        <v>250</v>
      </c>
      <c r="B41" s="17">
        <v>0</v>
      </c>
      <c r="C41" s="17">
        <f t="shared" ref="C41:AP41" si="34">SUM(C42:C47)</f>
        <v>0</v>
      </c>
      <c r="D41" s="17">
        <f t="shared" si="34"/>
        <v>0</v>
      </c>
      <c r="E41" s="17">
        <f t="shared" si="34"/>
        <v>0</v>
      </c>
      <c r="F41" s="661">
        <f t="shared" si="34"/>
        <v>0</v>
      </c>
      <c r="G41" s="17">
        <f t="shared" si="34"/>
        <v>0</v>
      </c>
      <c r="H41" s="17">
        <f t="shared" si="34"/>
        <v>0</v>
      </c>
      <c r="I41" s="17">
        <f t="shared" si="34"/>
        <v>0</v>
      </c>
      <c r="J41" s="661">
        <f t="shared" si="34"/>
        <v>0</v>
      </c>
      <c r="K41" s="17">
        <f t="shared" si="34"/>
        <v>0</v>
      </c>
      <c r="L41" s="17">
        <f t="shared" si="34"/>
        <v>0</v>
      </c>
      <c r="M41" s="17">
        <f t="shared" si="34"/>
        <v>0</v>
      </c>
      <c r="N41" s="661">
        <f t="shared" si="34"/>
        <v>0</v>
      </c>
      <c r="O41" s="17">
        <f t="shared" si="34"/>
        <v>0</v>
      </c>
      <c r="P41" s="17">
        <f t="shared" si="34"/>
        <v>0</v>
      </c>
      <c r="Q41" s="17">
        <f t="shared" si="34"/>
        <v>0</v>
      </c>
      <c r="R41" s="661">
        <f t="shared" si="34"/>
        <v>0</v>
      </c>
      <c r="S41" s="17">
        <f t="shared" si="34"/>
        <v>0</v>
      </c>
      <c r="T41" s="17">
        <f t="shared" si="34"/>
        <v>0</v>
      </c>
      <c r="U41" s="17">
        <f t="shared" si="34"/>
        <v>0</v>
      </c>
      <c r="V41" s="661">
        <f t="shared" si="34"/>
        <v>0</v>
      </c>
      <c r="W41" s="17">
        <f t="shared" si="34"/>
        <v>0</v>
      </c>
      <c r="X41" s="17">
        <f t="shared" si="34"/>
        <v>0</v>
      </c>
      <c r="Y41" s="17">
        <f t="shared" si="34"/>
        <v>0</v>
      </c>
      <c r="Z41" s="661">
        <f t="shared" si="34"/>
        <v>0</v>
      </c>
      <c r="AA41" s="17">
        <f t="shared" si="34"/>
        <v>0</v>
      </c>
      <c r="AB41" s="17">
        <f t="shared" si="34"/>
        <v>0</v>
      </c>
      <c r="AC41" s="17">
        <f t="shared" si="34"/>
        <v>0</v>
      </c>
      <c r="AD41" s="661">
        <f t="shared" si="34"/>
        <v>0</v>
      </c>
      <c r="AE41" s="17">
        <f t="shared" si="34"/>
        <v>0</v>
      </c>
      <c r="AF41" s="17">
        <f t="shared" si="34"/>
        <v>0</v>
      </c>
      <c r="AG41" s="17">
        <f t="shared" si="34"/>
        <v>0</v>
      </c>
      <c r="AH41" s="661">
        <f t="shared" si="34"/>
        <v>0</v>
      </c>
      <c r="AI41" s="17">
        <f t="shared" si="34"/>
        <v>0</v>
      </c>
      <c r="AJ41" s="17">
        <f t="shared" si="34"/>
        <v>0</v>
      </c>
      <c r="AK41" s="17">
        <f t="shared" si="34"/>
        <v>0</v>
      </c>
      <c r="AL41" s="661">
        <f t="shared" si="34"/>
        <v>0</v>
      </c>
      <c r="AM41" s="17">
        <f t="shared" si="34"/>
        <v>0</v>
      </c>
      <c r="AN41" s="17">
        <f t="shared" si="34"/>
        <v>0</v>
      </c>
      <c r="AO41" s="17">
        <f t="shared" si="34"/>
        <v>0</v>
      </c>
      <c r="AP41" s="661">
        <f t="shared" si="34"/>
        <v>0</v>
      </c>
      <c r="AQ41" s="17"/>
      <c r="AR41" s="17"/>
      <c r="AS41" s="17"/>
      <c r="AT41" s="661">
        <f t="shared" ref="AT41:BB41" si="35">SUM(AT42:AT47)</f>
        <v>0</v>
      </c>
      <c r="AU41" s="17">
        <f t="shared" si="35"/>
        <v>0</v>
      </c>
      <c r="AV41" s="17">
        <f t="shared" si="35"/>
        <v>0</v>
      </c>
      <c r="AW41" s="17">
        <f t="shared" si="35"/>
        <v>0</v>
      </c>
      <c r="AX41" s="661">
        <f t="shared" si="35"/>
        <v>0</v>
      </c>
      <c r="AY41" s="17">
        <f t="shared" si="35"/>
        <v>0</v>
      </c>
      <c r="AZ41" s="17">
        <f t="shared" si="35"/>
        <v>0</v>
      </c>
      <c r="BA41" s="17">
        <f t="shared" si="35"/>
        <v>0</v>
      </c>
      <c r="BB41" s="661">
        <f t="shared" si="35"/>
        <v>0</v>
      </c>
    </row>
    <row r="42" spans="1:54">
      <c r="A42" s="3" t="s">
        <v>1704</v>
      </c>
      <c r="B42" s="17"/>
      <c r="C42" s="17"/>
      <c r="D42" s="17"/>
      <c r="E42" s="17"/>
      <c r="F42" s="661">
        <f t="shared" ref="F42:F47" si="36">C42-D42</f>
        <v>0</v>
      </c>
      <c r="G42" s="17"/>
      <c r="H42" s="17"/>
      <c r="I42" s="17"/>
      <c r="J42" s="661">
        <f t="shared" ref="J42:J47" si="37">G42-H42</f>
        <v>0</v>
      </c>
      <c r="K42" s="17"/>
      <c r="L42" s="17"/>
      <c r="M42" s="17"/>
      <c r="N42" s="661">
        <f t="shared" ref="N42:N47" si="38">K42-L42</f>
        <v>0</v>
      </c>
      <c r="O42" s="17"/>
      <c r="P42" s="17"/>
      <c r="Q42" s="17"/>
      <c r="R42" s="661">
        <f t="shared" ref="R42:R47" si="39">O42-P42</f>
        <v>0</v>
      </c>
      <c r="S42" s="17"/>
      <c r="T42" s="17"/>
      <c r="U42" s="17"/>
      <c r="V42" s="661">
        <f t="shared" ref="V42:V47" si="40">S42-T42</f>
        <v>0</v>
      </c>
      <c r="W42" s="17"/>
      <c r="X42" s="17"/>
      <c r="Y42" s="17"/>
      <c r="Z42" s="661">
        <f t="shared" ref="Z42:Z47" si="41">W42-X42</f>
        <v>0</v>
      </c>
      <c r="AA42" s="17"/>
      <c r="AB42" s="17"/>
      <c r="AC42" s="17"/>
      <c r="AD42" s="661">
        <f t="shared" ref="AD42:AD47" si="42">AA42-AB42</f>
        <v>0</v>
      </c>
      <c r="AE42" s="17"/>
      <c r="AF42" s="17"/>
      <c r="AG42" s="17"/>
      <c r="AH42" s="661">
        <f t="shared" ref="AH42:AH47" si="43">AE42-AF42</f>
        <v>0</v>
      </c>
      <c r="AI42" s="17"/>
      <c r="AJ42" s="17"/>
      <c r="AK42" s="17"/>
      <c r="AL42" s="661">
        <f t="shared" ref="AL42:AL47" si="44">AI42-AJ42</f>
        <v>0</v>
      </c>
      <c r="AM42" s="17"/>
      <c r="AN42" s="17"/>
      <c r="AO42" s="17"/>
      <c r="AP42" s="661">
        <f t="shared" ref="AP42:AP47" si="45">AM42-AN42</f>
        <v>0</v>
      </c>
      <c r="AQ42" s="17"/>
      <c r="AR42" s="17"/>
      <c r="AS42" s="17"/>
      <c r="AT42" s="661">
        <f t="shared" ref="AT42:AT47" si="46">AQ42-AR42</f>
        <v>0</v>
      </c>
      <c r="AU42" s="17"/>
      <c r="AV42" s="17"/>
      <c r="AW42" s="17"/>
      <c r="AX42" s="661">
        <f t="shared" ref="AX42:AX47" si="47">AU42-AV42</f>
        <v>0</v>
      </c>
      <c r="AY42" s="17"/>
      <c r="AZ42" s="17"/>
      <c r="BA42" s="17"/>
      <c r="BB42" s="661">
        <f t="shared" ref="BB42:BB47" si="48">AY42-AZ42</f>
        <v>0</v>
      </c>
    </row>
    <row r="43" spans="1:54">
      <c r="A43" s="3" t="s">
        <v>1705</v>
      </c>
      <c r="B43" s="17"/>
      <c r="C43" s="17"/>
      <c r="D43" s="17"/>
      <c r="E43" s="17"/>
      <c r="F43" s="661">
        <f t="shared" si="36"/>
        <v>0</v>
      </c>
      <c r="G43" s="17"/>
      <c r="H43" s="17"/>
      <c r="I43" s="17"/>
      <c r="J43" s="661">
        <f t="shared" si="37"/>
        <v>0</v>
      </c>
      <c r="K43" s="17"/>
      <c r="L43" s="17"/>
      <c r="M43" s="17"/>
      <c r="N43" s="661">
        <f t="shared" si="38"/>
        <v>0</v>
      </c>
      <c r="O43" s="17"/>
      <c r="P43" s="17"/>
      <c r="Q43" s="17"/>
      <c r="R43" s="661">
        <f t="shared" si="39"/>
        <v>0</v>
      </c>
      <c r="S43" s="17"/>
      <c r="T43" s="17"/>
      <c r="U43" s="17"/>
      <c r="V43" s="661">
        <f t="shared" si="40"/>
        <v>0</v>
      </c>
      <c r="W43" s="17"/>
      <c r="X43" s="17"/>
      <c r="Y43" s="17"/>
      <c r="Z43" s="661">
        <f t="shared" si="41"/>
        <v>0</v>
      </c>
      <c r="AA43" s="17"/>
      <c r="AB43" s="17"/>
      <c r="AC43" s="17"/>
      <c r="AD43" s="661">
        <f t="shared" si="42"/>
        <v>0</v>
      </c>
      <c r="AE43" s="17"/>
      <c r="AF43" s="17"/>
      <c r="AG43" s="17"/>
      <c r="AH43" s="661">
        <f t="shared" si="43"/>
        <v>0</v>
      </c>
      <c r="AI43" s="17"/>
      <c r="AJ43" s="17"/>
      <c r="AK43" s="17"/>
      <c r="AL43" s="661">
        <f t="shared" si="44"/>
        <v>0</v>
      </c>
      <c r="AM43" s="17"/>
      <c r="AN43" s="17"/>
      <c r="AO43" s="17"/>
      <c r="AP43" s="661">
        <f t="shared" si="45"/>
        <v>0</v>
      </c>
      <c r="AQ43" s="17"/>
      <c r="AR43" s="17"/>
      <c r="AS43" s="17"/>
      <c r="AT43" s="661">
        <f t="shared" si="46"/>
        <v>0</v>
      </c>
      <c r="AU43" s="17"/>
      <c r="AV43" s="17"/>
      <c r="AW43" s="17"/>
      <c r="AX43" s="661">
        <f t="shared" si="47"/>
        <v>0</v>
      </c>
      <c r="AY43" s="17"/>
      <c r="AZ43" s="17"/>
      <c r="BA43" s="17"/>
      <c r="BB43" s="661">
        <f t="shared" si="48"/>
        <v>0</v>
      </c>
    </row>
    <row r="44" spans="1:54">
      <c r="A44" s="3" t="s">
        <v>1706</v>
      </c>
      <c r="B44" s="17"/>
      <c r="C44" s="17"/>
      <c r="D44" s="17"/>
      <c r="E44" s="17"/>
      <c r="F44" s="661">
        <f t="shared" si="36"/>
        <v>0</v>
      </c>
      <c r="G44" s="17"/>
      <c r="H44" s="17"/>
      <c r="I44" s="17"/>
      <c r="J44" s="661">
        <f t="shared" si="37"/>
        <v>0</v>
      </c>
      <c r="K44" s="17"/>
      <c r="L44" s="17"/>
      <c r="M44" s="17"/>
      <c r="N44" s="661">
        <f t="shared" si="38"/>
        <v>0</v>
      </c>
      <c r="O44" s="17"/>
      <c r="P44" s="17"/>
      <c r="Q44" s="17"/>
      <c r="R44" s="661">
        <f t="shared" si="39"/>
        <v>0</v>
      </c>
      <c r="S44" s="17"/>
      <c r="T44" s="17"/>
      <c r="U44" s="17"/>
      <c r="V44" s="661">
        <f t="shared" si="40"/>
        <v>0</v>
      </c>
      <c r="W44" s="17"/>
      <c r="X44" s="17"/>
      <c r="Y44" s="17"/>
      <c r="Z44" s="661">
        <f t="shared" si="41"/>
        <v>0</v>
      </c>
      <c r="AA44" s="17"/>
      <c r="AB44" s="17"/>
      <c r="AC44" s="17"/>
      <c r="AD44" s="661">
        <f t="shared" si="42"/>
        <v>0</v>
      </c>
      <c r="AE44" s="17"/>
      <c r="AF44" s="17"/>
      <c r="AG44" s="17"/>
      <c r="AH44" s="661">
        <f t="shared" si="43"/>
        <v>0</v>
      </c>
      <c r="AI44" s="17"/>
      <c r="AJ44" s="17"/>
      <c r="AK44" s="17"/>
      <c r="AL44" s="661">
        <f t="shared" si="44"/>
        <v>0</v>
      </c>
      <c r="AM44" s="17"/>
      <c r="AN44" s="17"/>
      <c r="AO44" s="17"/>
      <c r="AP44" s="661">
        <f t="shared" si="45"/>
        <v>0</v>
      </c>
      <c r="AQ44" s="17"/>
      <c r="AR44" s="17"/>
      <c r="AS44" s="17"/>
      <c r="AT44" s="661">
        <f t="shared" si="46"/>
        <v>0</v>
      </c>
      <c r="AU44" s="17"/>
      <c r="AV44" s="17"/>
      <c r="AW44" s="17"/>
      <c r="AX44" s="661">
        <f t="shared" si="47"/>
        <v>0</v>
      </c>
      <c r="AY44" s="17"/>
      <c r="AZ44" s="17"/>
      <c r="BA44" s="17"/>
      <c r="BB44" s="661">
        <f t="shared" si="48"/>
        <v>0</v>
      </c>
    </row>
    <row r="45" spans="1:54">
      <c r="A45" s="3" t="s">
        <v>1707</v>
      </c>
      <c r="B45" s="17"/>
      <c r="C45" s="17"/>
      <c r="D45" s="17"/>
      <c r="E45" s="17"/>
      <c r="F45" s="661">
        <f t="shared" si="36"/>
        <v>0</v>
      </c>
      <c r="G45" s="17"/>
      <c r="H45" s="17"/>
      <c r="I45" s="17"/>
      <c r="J45" s="661">
        <f t="shared" si="37"/>
        <v>0</v>
      </c>
      <c r="K45" s="17"/>
      <c r="L45" s="17"/>
      <c r="M45" s="17"/>
      <c r="N45" s="661">
        <f t="shared" si="38"/>
        <v>0</v>
      </c>
      <c r="O45" s="17"/>
      <c r="P45" s="17"/>
      <c r="Q45" s="17"/>
      <c r="R45" s="661">
        <f t="shared" si="39"/>
        <v>0</v>
      </c>
      <c r="S45" s="17"/>
      <c r="T45" s="17"/>
      <c r="U45" s="17"/>
      <c r="V45" s="661">
        <f t="shared" si="40"/>
        <v>0</v>
      </c>
      <c r="W45" s="17"/>
      <c r="X45" s="17"/>
      <c r="Y45" s="17"/>
      <c r="Z45" s="661">
        <f t="shared" si="41"/>
        <v>0</v>
      </c>
      <c r="AA45" s="17"/>
      <c r="AB45" s="17"/>
      <c r="AC45" s="17"/>
      <c r="AD45" s="661">
        <f t="shared" si="42"/>
        <v>0</v>
      </c>
      <c r="AE45" s="17"/>
      <c r="AF45" s="17"/>
      <c r="AG45" s="17"/>
      <c r="AH45" s="661">
        <f t="shared" si="43"/>
        <v>0</v>
      </c>
      <c r="AI45" s="17"/>
      <c r="AJ45" s="17"/>
      <c r="AK45" s="17"/>
      <c r="AL45" s="661">
        <f t="shared" si="44"/>
        <v>0</v>
      </c>
      <c r="AM45" s="17"/>
      <c r="AN45" s="17"/>
      <c r="AO45" s="17"/>
      <c r="AP45" s="661">
        <f t="shared" si="45"/>
        <v>0</v>
      </c>
      <c r="AQ45" s="17"/>
      <c r="AR45" s="17"/>
      <c r="AS45" s="17"/>
      <c r="AT45" s="661">
        <f t="shared" si="46"/>
        <v>0</v>
      </c>
      <c r="AU45" s="17"/>
      <c r="AV45" s="17"/>
      <c r="AW45" s="17"/>
      <c r="AX45" s="661">
        <f t="shared" si="47"/>
        <v>0</v>
      </c>
      <c r="AY45" s="17"/>
      <c r="AZ45" s="17"/>
      <c r="BA45" s="17"/>
      <c r="BB45" s="661">
        <f t="shared" si="48"/>
        <v>0</v>
      </c>
    </row>
    <row r="46" spans="1:54">
      <c r="A46" s="3" t="s">
        <v>1708</v>
      </c>
      <c r="B46" s="17"/>
      <c r="C46" s="17"/>
      <c r="D46" s="17"/>
      <c r="E46" s="17"/>
      <c r="F46" s="661">
        <f t="shared" si="36"/>
        <v>0</v>
      </c>
      <c r="G46" s="17"/>
      <c r="H46" s="17"/>
      <c r="I46" s="17"/>
      <c r="J46" s="661">
        <f t="shared" si="37"/>
        <v>0</v>
      </c>
      <c r="K46" s="17"/>
      <c r="L46" s="17"/>
      <c r="M46" s="17"/>
      <c r="N46" s="661">
        <f t="shared" si="38"/>
        <v>0</v>
      </c>
      <c r="O46" s="17"/>
      <c r="P46" s="17"/>
      <c r="Q46" s="17"/>
      <c r="R46" s="661">
        <f t="shared" si="39"/>
        <v>0</v>
      </c>
      <c r="S46" s="17"/>
      <c r="T46" s="17"/>
      <c r="U46" s="17"/>
      <c r="V46" s="661">
        <f t="shared" si="40"/>
        <v>0</v>
      </c>
      <c r="W46" s="17"/>
      <c r="X46" s="17"/>
      <c r="Y46" s="17"/>
      <c r="Z46" s="661">
        <f t="shared" si="41"/>
        <v>0</v>
      </c>
      <c r="AA46" s="17"/>
      <c r="AB46" s="17"/>
      <c r="AC46" s="17"/>
      <c r="AD46" s="661">
        <f t="shared" si="42"/>
        <v>0</v>
      </c>
      <c r="AE46" s="17"/>
      <c r="AF46" s="17"/>
      <c r="AG46" s="17"/>
      <c r="AH46" s="661">
        <f t="shared" si="43"/>
        <v>0</v>
      </c>
      <c r="AI46" s="17"/>
      <c r="AJ46" s="17"/>
      <c r="AK46" s="17"/>
      <c r="AL46" s="661">
        <f t="shared" si="44"/>
        <v>0</v>
      </c>
      <c r="AM46" s="17"/>
      <c r="AN46" s="17"/>
      <c r="AO46" s="17"/>
      <c r="AP46" s="661">
        <f t="shared" si="45"/>
        <v>0</v>
      </c>
      <c r="AQ46" s="17"/>
      <c r="AR46" s="17"/>
      <c r="AS46" s="17"/>
      <c r="AT46" s="661">
        <f t="shared" si="46"/>
        <v>0</v>
      </c>
      <c r="AU46" s="17"/>
      <c r="AV46" s="17"/>
      <c r="AW46" s="17"/>
      <c r="AX46" s="661">
        <f t="shared" si="47"/>
        <v>0</v>
      </c>
      <c r="AY46" s="17"/>
      <c r="AZ46" s="17"/>
      <c r="BA46" s="17"/>
      <c r="BB46" s="661">
        <f t="shared" si="48"/>
        <v>0</v>
      </c>
    </row>
    <row r="47" spans="1:54">
      <c r="A47" s="3" t="s">
        <v>1709</v>
      </c>
      <c r="B47" s="17"/>
      <c r="C47" s="17"/>
      <c r="D47" s="17"/>
      <c r="E47" s="17"/>
      <c r="F47" s="661">
        <f t="shared" si="36"/>
        <v>0</v>
      </c>
      <c r="G47" s="17"/>
      <c r="H47" s="17"/>
      <c r="I47" s="17"/>
      <c r="J47" s="661">
        <f t="shared" si="37"/>
        <v>0</v>
      </c>
      <c r="K47" s="17"/>
      <c r="L47" s="17"/>
      <c r="M47" s="17"/>
      <c r="N47" s="661">
        <f t="shared" si="38"/>
        <v>0</v>
      </c>
      <c r="O47" s="17"/>
      <c r="P47" s="17"/>
      <c r="Q47" s="17"/>
      <c r="R47" s="661">
        <f t="shared" si="39"/>
        <v>0</v>
      </c>
      <c r="S47" s="17"/>
      <c r="T47" s="17"/>
      <c r="U47" s="17"/>
      <c r="V47" s="661">
        <f t="shared" si="40"/>
        <v>0</v>
      </c>
      <c r="W47" s="17"/>
      <c r="X47" s="17"/>
      <c r="Y47" s="17"/>
      <c r="Z47" s="661">
        <f t="shared" si="41"/>
        <v>0</v>
      </c>
      <c r="AA47" s="17"/>
      <c r="AB47" s="17"/>
      <c r="AC47" s="17"/>
      <c r="AD47" s="661">
        <f t="shared" si="42"/>
        <v>0</v>
      </c>
      <c r="AE47" s="17"/>
      <c r="AF47" s="17"/>
      <c r="AG47" s="17"/>
      <c r="AH47" s="661">
        <f t="shared" si="43"/>
        <v>0</v>
      </c>
      <c r="AI47" s="17"/>
      <c r="AJ47" s="17"/>
      <c r="AK47" s="17"/>
      <c r="AL47" s="661">
        <f t="shared" si="44"/>
        <v>0</v>
      </c>
      <c r="AM47" s="17"/>
      <c r="AN47" s="17"/>
      <c r="AO47" s="17"/>
      <c r="AP47" s="661">
        <f t="shared" si="45"/>
        <v>0</v>
      </c>
      <c r="AQ47" s="17"/>
      <c r="AR47" s="17"/>
      <c r="AS47" s="17"/>
      <c r="AT47" s="661">
        <f t="shared" si="46"/>
        <v>0</v>
      </c>
      <c r="AU47" s="17"/>
      <c r="AV47" s="17"/>
      <c r="AW47" s="17"/>
      <c r="AX47" s="661">
        <f t="shared" si="47"/>
        <v>0</v>
      </c>
      <c r="AY47" s="17"/>
      <c r="AZ47" s="17"/>
      <c r="BA47" s="17"/>
      <c r="BB47" s="661">
        <f t="shared" si="48"/>
        <v>0</v>
      </c>
    </row>
    <row r="48" spans="1:54">
      <c r="A48" s="3" t="s">
        <v>251</v>
      </c>
      <c r="B48" s="17">
        <v>0</v>
      </c>
      <c r="C48" s="17">
        <f t="shared" ref="C48:AB48" si="49">SUM(C49:C55)</f>
        <v>0</v>
      </c>
      <c r="D48" s="17">
        <f t="shared" si="49"/>
        <v>0</v>
      </c>
      <c r="E48" s="17">
        <f t="shared" si="49"/>
        <v>0</v>
      </c>
      <c r="F48" s="661">
        <f t="shared" si="49"/>
        <v>0</v>
      </c>
      <c r="G48" s="17">
        <f t="shared" si="49"/>
        <v>0</v>
      </c>
      <c r="H48" s="17">
        <f t="shared" si="49"/>
        <v>0</v>
      </c>
      <c r="I48" s="17">
        <f t="shared" si="49"/>
        <v>0</v>
      </c>
      <c r="J48" s="661">
        <f>SUM(J49:J55)</f>
        <v>0</v>
      </c>
      <c r="K48" s="17">
        <f t="shared" si="49"/>
        <v>0</v>
      </c>
      <c r="L48" s="17">
        <f t="shared" si="49"/>
        <v>0</v>
      </c>
      <c r="M48" s="17">
        <f t="shared" si="49"/>
        <v>0</v>
      </c>
      <c r="N48" s="661">
        <f>SUM(N49:N55)</f>
        <v>0</v>
      </c>
      <c r="O48" s="872"/>
      <c r="P48" s="872"/>
      <c r="Q48" s="17">
        <f t="shared" si="49"/>
        <v>0</v>
      </c>
      <c r="R48" s="661">
        <f>SUM(R49:R55)</f>
        <v>0</v>
      </c>
      <c r="S48" s="17">
        <f t="shared" si="49"/>
        <v>0</v>
      </c>
      <c r="T48" s="17">
        <f t="shared" si="49"/>
        <v>0</v>
      </c>
      <c r="U48" s="17">
        <f t="shared" si="49"/>
        <v>0</v>
      </c>
      <c r="V48" s="661">
        <f>SUM(V49:V55)</f>
        <v>0</v>
      </c>
      <c r="W48" s="17">
        <f t="shared" si="49"/>
        <v>0</v>
      </c>
      <c r="X48" s="17">
        <f t="shared" si="49"/>
        <v>0</v>
      </c>
      <c r="Y48" s="17">
        <f t="shared" si="49"/>
        <v>0</v>
      </c>
      <c r="Z48" s="661">
        <f>SUM(Z49:Z55)</f>
        <v>0</v>
      </c>
      <c r="AA48" s="17">
        <f t="shared" si="49"/>
        <v>0</v>
      </c>
      <c r="AB48" s="17">
        <f t="shared" si="49"/>
        <v>0</v>
      </c>
      <c r="AC48" s="17">
        <f t="shared" ref="AC48:AX48" si="50">SUM(AC49:AC55)</f>
        <v>0</v>
      </c>
      <c r="AD48" s="661">
        <f t="shared" si="50"/>
        <v>0</v>
      </c>
      <c r="AE48" s="661">
        <f t="shared" si="50"/>
        <v>0</v>
      </c>
      <c r="AF48" s="661">
        <f t="shared" si="50"/>
        <v>0</v>
      </c>
      <c r="AG48" s="661">
        <f t="shared" si="50"/>
        <v>0</v>
      </c>
      <c r="AH48" s="661">
        <f t="shared" si="50"/>
        <v>0</v>
      </c>
      <c r="AI48" s="17">
        <f t="shared" si="50"/>
        <v>0</v>
      </c>
      <c r="AJ48" s="17">
        <f t="shared" si="50"/>
        <v>0</v>
      </c>
      <c r="AK48" s="17">
        <f t="shared" si="50"/>
        <v>0</v>
      </c>
      <c r="AL48" s="661">
        <f t="shared" si="50"/>
        <v>0</v>
      </c>
      <c r="AM48" s="17">
        <f t="shared" si="50"/>
        <v>0</v>
      </c>
      <c r="AN48" s="17">
        <f t="shared" si="50"/>
        <v>0</v>
      </c>
      <c r="AO48" s="17">
        <f t="shared" si="50"/>
        <v>0</v>
      </c>
      <c r="AP48" s="661">
        <f t="shared" si="50"/>
        <v>0</v>
      </c>
      <c r="AQ48" s="17">
        <f t="shared" si="50"/>
        <v>0</v>
      </c>
      <c r="AR48" s="17">
        <f t="shared" si="50"/>
        <v>0</v>
      </c>
      <c r="AS48" s="17">
        <f t="shared" si="50"/>
        <v>0</v>
      </c>
      <c r="AT48" s="661">
        <f t="shared" si="50"/>
        <v>0</v>
      </c>
      <c r="AU48" s="17">
        <f t="shared" si="50"/>
        <v>0</v>
      </c>
      <c r="AV48" s="17">
        <f t="shared" si="50"/>
        <v>0</v>
      </c>
      <c r="AW48" s="17">
        <f t="shared" si="50"/>
        <v>0</v>
      </c>
      <c r="AX48" s="661">
        <f t="shared" si="50"/>
        <v>0</v>
      </c>
      <c r="AY48" s="17">
        <f>SUM(AY49:AY55)</f>
        <v>0</v>
      </c>
      <c r="AZ48" s="17">
        <f>SUM(AZ49:AZ55)</f>
        <v>0</v>
      </c>
      <c r="BA48" s="17">
        <f>SUM(BA49:BA55)</f>
        <v>0</v>
      </c>
      <c r="BB48" s="661">
        <f>SUM(BB49:BB55)</f>
        <v>0</v>
      </c>
    </row>
    <row r="49" spans="1:54">
      <c r="A49" s="3" t="s">
        <v>252</v>
      </c>
      <c r="B49" s="17"/>
      <c r="C49" s="17"/>
      <c r="D49" s="17"/>
      <c r="E49" s="17"/>
      <c r="F49" s="661">
        <f>C49-D49</f>
        <v>0</v>
      </c>
      <c r="G49" s="17"/>
      <c r="H49" s="17"/>
      <c r="I49" s="17"/>
      <c r="J49" s="661">
        <f>G49-H49</f>
        <v>0</v>
      </c>
      <c r="K49" s="17"/>
      <c r="L49" s="17"/>
      <c r="M49" s="17"/>
      <c r="N49" s="661">
        <f>K49-L49</f>
        <v>0</v>
      </c>
      <c r="O49" s="17"/>
      <c r="P49" s="17"/>
      <c r="Q49" s="17"/>
      <c r="R49" s="661">
        <f>O49-P49</f>
        <v>0</v>
      </c>
      <c r="S49" s="17"/>
      <c r="T49" s="17"/>
      <c r="U49" s="17"/>
      <c r="V49" s="661">
        <f>S49-T49</f>
        <v>0</v>
      </c>
      <c r="W49" s="17"/>
      <c r="X49" s="17"/>
      <c r="Y49" s="17"/>
      <c r="Z49" s="661">
        <f>W49-X49</f>
        <v>0</v>
      </c>
      <c r="AA49" s="17"/>
      <c r="AB49" s="17"/>
      <c r="AC49" s="17"/>
      <c r="AD49" s="661">
        <f>AA49-AB49</f>
        <v>0</v>
      </c>
      <c r="AE49" s="17"/>
      <c r="AF49" s="17"/>
      <c r="AG49" s="17"/>
      <c r="AH49" s="661">
        <f>AE49-AF49</f>
        <v>0</v>
      </c>
      <c r="AI49" s="17"/>
      <c r="AJ49" s="17"/>
      <c r="AK49" s="17"/>
      <c r="AL49" s="661">
        <f>AI49-AJ49</f>
        <v>0</v>
      </c>
      <c r="AM49" s="17"/>
      <c r="AN49" s="17"/>
      <c r="AO49" s="17"/>
      <c r="AP49" s="661">
        <f>AM49-AN49</f>
        <v>0</v>
      </c>
      <c r="AQ49" s="17"/>
      <c r="AR49" s="17"/>
      <c r="AS49" s="17"/>
      <c r="AT49" s="661">
        <f>AQ49-AR49</f>
        <v>0</v>
      </c>
      <c r="AU49" s="17"/>
      <c r="AV49" s="17"/>
      <c r="AW49" s="17"/>
      <c r="AX49" s="661">
        <f>AU49-AV49</f>
        <v>0</v>
      </c>
      <c r="AY49" s="17"/>
      <c r="AZ49" s="17"/>
      <c r="BA49" s="17"/>
      <c r="BB49" s="661">
        <f>AY49-AZ49</f>
        <v>0</v>
      </c>
    </row>
    <row r="50" spans="1:54">
      <c r="A50" s="3" t="s">
        <v>253</v>
      </c>
      <c r="B50" s="17"/>
      <c r="C50" s="17"/>
      <c r="D50" s="17"/>
      <c r="E50" s="17"/>
      <c r="F50" s="661">
        <f>C50-D50</f>
        <v>0</v>
      </c>
      <c r="G50" s="17"/>
      <c r="H50" s="17"/>
      <c r="I50" s="17"/>
      <c r="J50" s="661">
        <f>G50-H50</f>
        <v>0</v>
      </c>
      <c r="K50" s="17"/>
      <c r="L50" s="17"/>
      <c r="M50" s="17"/>
      <c r="N50" s="661">
        <f>K50-L50</f>
        <v>0</v>
      </c>
      <c r="O50" s="17"/>
      <c r="P50" s="17"/>
      <c r="Q50" s="17"/>
      <c r="R50" s="661">
        <f>O50-P50</f>
        <v>0</v>
      </c>
      <c r="S50" s="17"/>
      <c r="T50" s="17"/>
      <c r="U50" s="17"/>
      <c r="V50" s="661">
        <f>S50-T50</f>
        <v>0</v>
      </c>
      <c r="W50" s="17"/>
      <c r="X50" s="17"/>
      <c r="Y50" s="17"/>
      <c r="Z50" s="661">
        <f>W50-X50</f>
        <v>0</v>
      </c>
      <c r="AA50" s="17"/>
      <c r="AB50" s="17"/>
      <c r="AC50" s="17"/>
      <c r="AD50" s="661">
        <f>AA50-AB50</f>
        <v>0</v>
      </c>
      <c r="AE50" s="17"/>
      <c r="AF50" s="17"/>
      <c r="AG50" s="17"/>
      <c r="AH50" s="661">
        <f>AE50-AF50</f>
        <v>0</v>
      </c>
      <c r="AI50" s="17"/>
      <c r="AJ50" s="17"/>
      <c r="AK50" s="17"/>
      <c r="AL50" s="661">
        <f>AI50-AJ50</f>
        <v>0</v>
      </c>
      <c r="AM50" s="17"/>
      <c r="AN50" s="17"/>
      <c r="AO50" s="17"/>
      <c r="AP50" s="661">
        <f>AM50-AN50</f>
        <v>0</v>
      </c>
      <c r="AQ50" s="17"/>
      <c r="AR50" s="17"/>
      <c r="AS50" s="17"/>
      <c r="AT50" s="661">
        <f>AQ50-AR50</f>
        <v>0</v>
      </c>
      <c r="AU50" s="17"/>
      <c r="AV50" s="17"/>
      <c r="AW50" s="17"/>
      <c r="AX50" s="661">
        <f>AU50-AV50</f>
        <v>0</v>
      </c>
      <c r="AY50" s="17"/>
      <c r="AZ50" s="17"/>
      <c r="BA50" s="17"/>
      <c r="BB50" s="661">
        <f>AY50-AZ50</f>
        <v>0</v>
      </c>
    </row>
    <row r="51" spans="1:54">
      <c r="A51" s="711" t="s">
        <v>2917</v>
      </c>
      <c r="B51" s="17"/>
      <c r="C51" s="17"/>
      <c r="D51" s="17"/>
      <c r="E51" s="17"/>
      <c r="F51" s="661">
        <f>C51-D51</f>
        <v>0</v>
      </c>
      <c r="G51" s="17"/>
      <c r="H51" s="17"/>
      <c r="I51" s="17"/>
      <c r="J51" s="661">
        <f>G51-H51</f>
        <v>0</v>
      </c>
      <c r="K51" s="17"/>
      <c r="L51" s="17"/>
      <c r="M51" s="17"/>
      <c r="N51" s="661">
        <f>K51-L51</f>
        <v>0</v>
      </c>
      <c r="O51" s="872"/>
      <c r="P51" s="872"/>
      <c r="Q51" s="17"/>
      <c r="R51" s="661">
        <f>O51-P51</f>
        <v>0</v>
      </c>
      <c r="S51" s="17"/>
      <c r="T51" s="17"/>
      <c r="U51" s="17"/>
      <c r="V51" s="661"/>
      <c r="W51" s="17"/>
      <c r="X51" s="17"/>
      <c r="Y51" s="17"/>
      <c r="Z51" s="661"/>
      <c r="AA51" s="17"/>
      <c r="AB51" s="17"/>
      <c r="AC51" s="17"/>
      <c r="AD51" s="661">
        <f>AA51-AB51</f>
        <v>0</v>
      </c>
      <c r="AE51" s="17"/>
      <c r="AF51" s="17"/>
      <c r="AG51" s="17"/>
      <c r="AH51" s="661">
        <f>AE51-AF51</f>
        <v>0</v>
      </c>
      <c r="AI51" s="17"/>
      <c r="AJ51" s="17"/>
      <c r="AK51" s="17"/>
      <c r="AL51" s="661"/>
      <c r="AM51" s="17"/>
      <c r="AN51" s="17"/>
      <c r="AO51" s="17"/>
      <c r="AP51" s="661"/>
      <c r="AQ51" s="17"/>
      <c r="AR51" s="17"/>
      <c r="AS51" s="17"/>
      <c r="AT51" s="661"/>
      <c r="AU51" s="17"/>
      <c r="AV51" s="17"/>
      <c r="AW51" s="17"/>
      <c r="AX51" s="661"/>
      <c r="AY51" s="17"/>
      <c r="AZ51" s="17"/>
      <c r="BA51" s="17"/>
      <c r="BB51" s="661"/>
    </row>
    <row r="52" spans="1:54">
      <c r="A52" s="3" t="s">
        <v>254</v>
      </c>
      <c r="B52" s="17"/>
      <c r="C52" s="17"/>
      <c r="D52" s="17"/>
      <c r="E52" s="17"/>
      <c r="F52" s="661">
        <f>C52-D52</f>
        <v>0</v>
      </c>
      <c r="G52" s="17"/>
      <c r="H52" s="17"/>
      <c r="I52" s="17"/>
      <c r="J52" s="661">
        <f>G52-H52</f>
        <v>0</v>
      </c>
      <c r="K52" s="17"/>
      <c r="L52" s="17"/>
      <c r="M52" s="17"/>
      <c r="N52" s="661">
        <f>K52-L52</f>
        <v>0</v>
      </c>
      <c r="O52" s="17"/>
      <c r="P52" s="17"/>
      <c r="Q52" s="17"/>
      <c r="R52" s="661">
        <f>O52-P52</f>
        <v>0</v>
      </c>
      <c r="S52" s="17"/>
      <c r="T52" s="17"/>
      <c r="U52" s="17"/>
      <c r="V52" s="661">
        <f>S52-T52</f>
        <v>0</v>
      </c>
      <c r="W52" s="17"/>
      <c r="X52" s="17"/>
      <c r="Y52" s="17"/>
      <c r="Z52" s="661">
        <f>W52-X52</f>
        <v>0</v>
      </c>
      <c r="AA52" s="17"/>
      <c r="AB52" s="17"/>
      <c r="AC52" s="17"/>
      <c r="AD52" s="661">
        <f>AA52-AB52</f>
        <v>0</v>
      </c>
      <c r="AE52" s="17"/>
      <c r="AF52" s="17"/>
      <c r="AG52" s="17"/>
      <c r="AH52" s="661">
        <f>AE52-AF52</f>
        <v>0</v>
      </c>
      <c r="AI52" s="17"/>
      <c r="AJ52" s="17"/>
      <c r="AK52" s="17"/>
      <c r="AL52" s="661">
        <f>AI52-AJ52</f>
        <v>0</v>
      </c>
      <c r="AM52" s="17"/>
      <c r="AN52" s="17"/>
      <c r="AO52" s="17"/>
      <c r="AP52" s="661">
        <f>AM52-AN52</f>
        <v>0</v>
      </c>
      <c r="AQ52" s="17"/>
      <c r="AR52" s="17"/>
      <c r="AS52" s="17"/>
      <c r="AT52" s="661">
        <f>AQ52-AR52</f>
        <v>0</v>
      </c>
      <c r="AU52" s="17"/>
      <c r="AV52" s="17"/>
      <c r="AW52" s="17"/>
      <c r="AX52" s="661">
        <f>AU52-AV52</f>
        <v>0</v>
      </c>
      <c r="AY52" s="17"/>
      <c r="AZ52" s="17"/>
      <c r="BA52" s="17"/>
      <c r="BB52" s="661">
        <f>AY52-AZ52</f>
        <v>0</v>
      </c>
    </row>
    <row r="53" spans="1:54">
      <c r="A53" s="3" t="s">
        <v>255</v>
      </c>
      <c r="B53" s="17"/>
      <c r="C53" s="17"/>
      <c r="D53" s="17"/>
      <c r="E53" s="17"/>
      <c r="F53" s="661">
        <f>C53-D53</f>
        <v>0</v>
      </c>
      <c r="G53" s="17"/>
      <c r="H53" s="17"/>
      <c r="I53" s="17"/>
      <c r="J53" s="661">
        <f>G53-H53</f>
        <v>0</v>
      </c>
      <c r="K53" s="17"/>
      <c r="L53" s="17"/>
      <c r="M53" s="17"/>
      <c r="N53" s="661">
        <f>K53-L53</f>
        <v>0</v>
      </c>
      <c r="O53" s="17"/>
      <c r="P53" s="17"/>
      <c r="Q53" s="17"/>
      <c r="R53" s="661">
        <f>O53-P53</f>
        <v>0</v>
      </c>
      <c r="S53" s="17"/>
      <c r="T53" s="17"/>
      <c r="U53" s="17"/>
      <c r="V53" s="661">
        <f>S53-T53</f>
        <v>0</v>
      </c>
      <c r="W53" s="17"/>
      <c r="X53" s="17"/>
      <c r="Y53" s="17"/>
      <c r="Z53" s="661">
        <f>W53-X53</f>
        <v>0</v>
      </c>
      <c r="AA53" s="17"/>
      <c r="AB53" s="17"/>
      <c r="AC53" s="17"/>
      <c r="AD53" s="661">
        <f>AA53-AB53</f>
        <v>0</v>
      </c>
      <c r="AE53" s="17"/>
      <c r="AF53" s="17"/>
      <c r="AG53" s="17"/>
      <c r="AH53" s="661">
        <f>AE53-AF53</f>
        <v>0</v>
      </c>
      <c r="AI53" s="17"/>
      <c r="AJ53" s="17"/>
      <c r="AK53" s="17"/>
      <c r="AL53" s="661">
        <f>AI53-AJ53</f>
        <v>0</v>
      </c>
      <c r="AM53" s="17"/>
      <c r="AN53" s="17"/>
      <c r="AO53" s="17"/>
      <c r="AP53" s="661">
        <f>AM53-AN53</f>
        <v>0</v>
      </c>
      <c r="AQ53" s="17"/>
      <c r="AR53" s="17"/>
      <c r="AS53" s="17"/>
      <c r="AT53" s="661">
        <f>AQ53-AR53</f>
        <v>0</v>
      </c>
      <c r="AU53" s="17"/>
      <c r="AV53" s="17"/>
      <c r="AW53" s="17"/>
      <c r="AX53" s="661">
        <f>AU53-AV53</f>
        <v>0</v>
      </c>
      <c r="AY53" s="17"/>
      <c r="AZ53" s="17"/>
      <c r="BA53" s="17"/>
      <c r="BB53" s="661">
        <f>AY53-AZ53</f>
        <v>0</v>
      </c>
    </row>
    <row r="54" spans="1:54" hidden="1">
      <c r="A54" s="3"/>
      <c r="B54" s="17"/>
      <c r="C54" s="17"/>
      <c r="D54" s="17"/>
      <c r="E54" s="17"/>
      <c r="F54" s="661"/>
      <c r="G54" s="17"/>
      <c r="H54" s="17"/>
      <c r="I54" s="17"/>
      <c r="J54" s="661"/>
      <c r="K54" s="17"/>
      <c r="L54" s="17"/>
      <c r="M54" s="17"/>
      <c r="N54" s="661"/>
      <c r="O54" s="17"/>
      <c r="P54" s="17"/>
      <c r="Q54" s="17"/>
      <c r="R54" s="661"/>
      <c r="S54" s="17"/>
      <c r="T54" s="17"/>
      <c r="U54" s="17"/>
      <c r="V54" s="661"/>
      <c r="W54" s="17"/>
      <c r="X54" s="17"/>
      <c r="Y54" s="17"/>
      <c r="Z54" s="661"/>
      <c r="AA54" s="17"/>
      <c r="AB54" s="17"/>
      <c r="AC54" s="17"/>
      <c r="AD54" s="661"/>
      <c r="AE54" s="17"/>
      <c r="AF54" s="17"/>
      <c r="AG54" s="17"/>
      <c r="AH54" s="661"/>
      <c r="AI54" s="17"/>
      <c r="AJ54" s="17"/>
      <c r="AK54" s="17"/>
      <c r="AL54" s="661"/>
      <c r="AM54" s="17"/>
      <c r="AN54" s="17"/>
      <c r="AO54" s="17"/>
      <c r="AP54" s="661"/>
      <c r="AQ54" s="17"/>
      <c r="AR54" s="17"/>
      <c r="AS54" s="17"/>
      <c r="AT54" s="661"/>
      <c r="AU54" s="17"/>
      <c r="AV54" s="17"/>
      <c r="AW54" s="17"/>
      <c r="AX54" s="661"/>
      <c r="AY54" s="17"/>
      <c r="AZ54" s="17"/>
      <c r="BA54" s="17"/>
      <c r="BB54" s="661"/>
    </row>
    <row r="55" spans="1:54" hidden="1">
      <c r="A55" s="4"/>
      <c r="B55" s="21"/>
      <c r="C55" s="21"/>
      <c r="D55" s="21"/>
      <c r="E55" s="21"/>
      <c r="F55" s="665"/>
      <c r="G55" s="21"/>
      <c r="H55" s="21"/>
      <c r="I55" s="21"/>
      <c r="J55" s="665"/>
      <c r="K55" s="21"/>
      <c r="L55" s="21"/>
      <c r="M55" s="21"/>
      <c r="N55" s="666"/>
      <c r="O55" s="21"/>
      <c r="P55" s="21"/>
      <c r="Q55" s="21"/>
      <c r="R55" s="665"/>
      <c r="S55" s="21"/>
      <c r="T55" s="21"/>
      <c r="U55" s="21"/>
      <c r="V55" s="665"/>
      <c r="W55" s="21"/>
      <c r="X55" s="21"/>
      <c r="Y55" s="21"/>
      <c r="Z55" s="665"/>
      <c r="AA55" s="21"/>
      <c r="AB55" s="21"/>
      <c r="AC55" s="21"/>
      <c r="AD55" s="665"/>
      <c r="AE55" s="21"/>
      <c r="AF55" s="21"/>
      <c r="AG55" s="21"/>
      <c r="AH55" s="665"/>
      <c r="AI55" s="21"/>
      <c r="AJ55" s="21"/>
      <c r="AK55" s="21"/>
      <c r="AL55" s="665"/>
      <c r="AM55" s="21"/>
      <c r="AN55" s="21"/>
      <c r="AO55" s="21"/>
      <c r="AP55" s="665"/>
      <c r="AQ55" s="21"/>
      <c r="AR55" s="21"/>
      <c r="AS55" s="21"/>
      <c r="AT55" s="665"/>
      <c r="AU55" s="21"/>
      <c r="AV55" s="21"/>
      <c r="AW55" s="21"/>
      <c r="AX55" s="665"/>
      <c r="AY55" s="21"/>
      <c r="AZ55" s="21"/>
      <c r="BA55" s="21"/>
      <c r="BB55" s="665"/>
    </row>
    <row r="56" spans="1:54" hidden="1"/>
    <row r="57" spans="1:54" hidden="1">
      <c r="AF57" s="22"/>
    </row>
    <row r="58" spans="1:54" hidden="1">
      <c r="X58" s="10"/>
      <c r="Z58" s="10"/>
    </row>
    <row r="59" spans="1:54" ht="37.5">
      <c r="A59" s="1469" t="s">
        <v>1698</v>
      </c>
      <c r="B59" s="1464"/>
      <c r="C59" s="1464"/>
      <c r="D59" s="1464"/>
      <c r="E59" s="1464"/>
      <c r="F59" s="1464"/>
      <c r="G59" s="1464"/>
      <c r="H59" s="1464"/>
      <c r="I59" s="1464"/>
      <c r="J59" s="1464"/>
      <c r="K59" s="1464"/>
      <c r="L59" s="1464"/>
      <c r="M59" s="1464"/>
      <c r="N59" s="1464"/>
      <c r="O59" s="1464"/>
      <c r="P59" s="1464"/>
      <c r="Q59" s="1464"/>
      <c r="R59" s="1464"/>
      <c r="S59" s="1464"/>
      <c r="T59" s="1464"/>
      <c r="U59" s="1464"/>
      <c r="V59" s="1464"/>
      <c r="W59" s="1464"/>
      <c r="X59" s="1465"/>
      <c r="Y59" s="1464"/>
      <c r="Z59" s="1464"/>
      <c r="AA59" s="1464"/>
      <c r="AB59" s="1464"/>
      <c r="AC59" s="1464"/>
      <c r="AD59" s="1464"/>
      <c r="AE59" s="1466"/>
      <c r="AF59" s="1465"/>
      <c r="AG59" s="1465"/>
      <c r="AH59" s="1465"/>
      <c r="AI59" s="1464"/>
      <c r="AJ59" s="1464"/>
      <c r="AK59" s="1464"/>
      <c r="AL59" s="1464"/>
      <c r="AM59" s="1464"/>
      <c r="AN59" s="1464"/>
      <c r="AO59" s="1464"/>
      <c r="AP59" s="1464"/>
      <c r="AQ59" s="1464"/>
      <c r="AR59" s="1464"/>
      <c r="AS59" s="1464"/>
      <c r="AT59" s="1464"/>
      <c r="AU59" s="1464"/>
      <c r="AV59" s="1464"/>
      <c r="AW59" s="1464"/>
      <c r="AX59" s="1464"/>
      <c r="AY59" s="1464"/>
      <c r="AZ59" s="1464"/>
      <c r="BA59" s="1464"/>
      <c r="BB59" s="1464"/>
    </row>
    <row r="60" spans="1:54">
      <c r="A60" s="1467"/>
      <c r="B60" s="1467"/>
      <c r="C60" s="1468"/>
      <c r="D60" s="1467"/>
      <c r="E60" s="1467"/>
      <c r="F60" s="1467"/>
      <c r="G60" s="1467"/>
      <c r="H60" s="1468"/>
      <c r="I60" s="1468"/>
      <c r="J60" s="1468"/>
      <c r="K60" s="1467"/>
      <c r="L60" s="1468"/>
      <c r="M60" s="1467"/>
      <c r="N60" s="1467"/>
      <c r="O60" s="1467"/>
      <c r="P60" s="1468"/>
      <c r="Q60" s="1468"/>
      <c r="R60" s="1468"/>
      <c r="S60" s="1467"/>
      <c r="T60" s="1467"/>
      <c r="U60" s="1467"/>
      <c r="V60" s="1467"/>
      <c r="W60" s="1468"/>
      <c r="X60" s="1467"/>
      <c r="Y60" s="1467"/>
      <c r="Z60" s="1467"/>
      <c r="AA60" s="1467"/>
      <c r="AB60" s="1468"/>
      <c r="AC60" s="1468"/>
      <c r="AD60" s="1467"/>
      <c r="AE60" s="1467"/>
      <c r="AF60" s="1468"/>
      <c r="AG60" s="1467"/>
      <c r="AH60" s="1467"/>
      <c r="AI60" s="1468"/>
      <c r="AJ60" s="1468"/>
      <c r="AK60" s="1467"/>
      <c r="AL60" s="1467"/>
      <c r="AM60" s="1467"/>
      <c r="AN60" s="1467"/>
      <c r="AO60" s="1467"/>
      <c r="AP60" s="1467"/>
      <c r="AQ60" s="1467"/>
      <c r="AR60" s="1467"/>
      <c r="AS60" s="1467"/>
      <c r="AT60" s="1467"/>
      <c r="AU60" s="1467"/>
      <c r="AV60" s="1467"/>
      <c r="AW60" s="1467"/>
      <c r="AX60" s="1467"/>
      <c r="AY60" s="1467"/>
      <c r="AZ60" s="1467"/>
      <c r="BA60" s="1467"/>
      <c r="BB60" s="1467"/>
    </row>
    <row r="61" spans="1:54">
      <c r="A61" s="1467"/>
      <c r="B61" s="1467"/>
      <c r="C61" s="1467"/>
      <c r="D61" s="1467"/>
      <c r="E61" s="1467"/>
      <c r="F61" s="1467"/>
      <c r="G61" s="1467"/>
      <c r="H61" s="1467"/>
      <c r="I61" s="1467"/>
      <c r="J61" s="1467"/>
      <c r="K61" s="1467"/>
      <c r="L61" s="1467"/>
      <c r="M61" s="1467"/>
      <c r="N61" s="1467"/>
      <c r="O61" s="1467"/>
      <c r="P61" s="1467"/>
      <c r="Q61" s="1467"/>
      <c r="R61" s="1467"/>
      <c r="S61" s="1467"/>
      <c r="T61" s="1467"/>
      <c r="U61" s="1467"/>
      <c r="V61" s="1467"/>
      <c r="W61" s="1467"/>
      <c r="X61" s="1467"/>
      <c r="Y61" s="1467"/>
      <c r="Z61" s="1467"/>
      <c r="AA61" s="1467"/>
      <c r="AB61" s="1467"/>
      <c r="AC61" s="1467"/>
      <c r="AD61" s="1467"/>
      <c r="AE61" s="1467"/>
      <c r="AF61" s="1467"/>
      <c r="AG61" s="1467"/>
      <c r="AH61" s="1467"/>
      <c r="AI61" s="1467"/>
      <c r="AJ61" s="1467"/>
      <c r="AK61" s="1467"/>
      <c r="AL61" s="1467"/>
      <c r="AM61" s="1467"/>
      <c r="AN61" s="1467"/>
      <c r="AO61" s="1467"/>
      <c r="AP61" s="1467"/>
      <c r="AQ61" s="1467"/>
      <c r="AR61" s="1467"/>
      <c r="AS61" s="1467"/>
      <c r="AT61" s="1467"/>
      <c r="AU61" s="1467"/>
      <c r="AV61" s="1467"/>
      <c r="AW61" s="1467"/>
      <c r="AX61" s="1467"/>
      <c r="AY61" s="1467"/>
      <c r="AZ61" s="1467"/>
      <c r="BA61" s="1467"/>
      <c r="BB61" s="1467"/>
    </row>
    <row r="62" spans="1:54">
      <c r="A62" s="723"/>
      <c r="B62" s="724"/>
      <c r="C62" s="725"/>
      <c r="D62" s="726" t="s">
        <v>196</v>
      </c>
      <c r="E62" s="726"/>
      <c r="F62" s="727"/>
      <c r="G62" s="725"/>
      <c r="H62" s="726" t="s">
        <v>221</v>
      </c>
      <c r="I62" s="726"/>
      <c r="J62" s="727"/>
      <c r="K62" s="725"/>
      <c r="L62" s="726" t="s">
        <v>197</v>
      </c>
      <c r="M62" s="726"/>
      <c r="N62" s="727"/>
      <c r="O62" s="725"/>
      <c r="P62" s="726" t="s">
        <v>198</v>
      </c>
      <c r="Q62" s="726"/>
      <c r="R62" s="727"/>
      <c r="S62" s="725"/>
      <c r="T62" s="726" t="s">
        <v>199</v>
      </c>
      <c r="U62" s="726"/>
      <c r="V62" s="727"/>
      <c r="W62" s="725"/>
      <c r="X62" s="726" t="s">
        <v>200</v>
      </c>
      <c r="Y62" s="726"/>
      <c r="Z62" s="727"/>
      <c r="AA62" s="725"/>
      <c r="AB62" s="726" t="s">
        <v>201</v>
      </c>
      <c r="AC62" s="726"/>
      <c r="AD62" s="727"/>
      <c r="AE62" s="725"/>
      <c r="AF62" s="726" t="s">
        <v>202</v>
      </c>
      <c r="AG62" s="726"/>
      <c r="AH62" s="727"/>
      <c r="AI62" s="725"/>
      <c r="AJ62" s="726" t="s">
        <v>203</v>
      </c>
      <c r="AK62" s="726"/>
      <c r="AL62" s="727"/>
      <c r="AM62" s="725"/>
      <c r="AN62" s="726" t="s">
        <v>204</v>
      </c>
      <c r="AO62" s="726"/>
      <c r="AP62" s="727"/>
      <c r="AQ62" s="725"/>
      <c r="AR62" s="726" t="s">
        <v>205</v>
      </c>
      <c r="AS62" s="726"/>
      <c r="AT62" s="727"/>
      <c r="AU62" s="725"/>
      <c r="AV62" s="726" t="s">
        <v>206</v>
      </c>
      <c r="AW62" s="726"/>
      <c r="AX62" s="727"/>
      <c r="AY62" s="725"/>
      <c r="AZ62" s="726" t="s">
        <v>206</v>
      </c>
      <c r="BA62" s="726"/>
      <c r="BB62" s="727"/>
    </row>
    <row r="63" spans="1:54" ht="51">
      <c r="A63" s="668" t="s">
        <v>223</v>
      </c>
      <c r="B63" s="728" t="s">
        <v>774</v>
      </c>
      <c r="C63" s="729" t="s">
        <v>1680</v>
      </c>
      <c r="D63" s="729" t="s">
        <v>1681</v>
      </c>
      <c r="E63" s="729" t="s">
        <v>895</v>
      </c>
      <c r="F63" s="730" t="s">
        <v>1682</v>
      </c>
      <c r="G63" s="729" t="s">
        <v>1680</v>
      </c>
      <c r="H63" s="729" t="s">
        <v>1681</v>
      </c>
      <c r="I63" s="729" t="s">
        <v>895</v>
      </c>
      <c r="J63" s="730" t="s">
        <v>1683</v>
      </c>
      <c r="K63" s="729" t="s">
        <v>1680</v>
      </c>
      <c r="L63" s="729" t="s">
        <v>1681</v>
      </c>
      <c r="M63" s="729" t="s">
        <v>895</v>
      </c>
      <c r="N63" s="730" t="s">
        <v>1684</v>
      </c>
      <c r="O63" s="729" t="s">
        <v>1680</v>
      </c>
      <c r="P63" s="729" t="s">
        <v>1681</v>
      </c>
      <c r="Q63" s="729" t="s">
        <v>895</v>
      </c>
      <c r="R63" s="730" t="s">
        <v>1685</v>
      </c>
      <c r="S63" s="729" t="s">
        <v>1680</v>
      </c>
      <c r="T63" s="729" t="s">
        <v>1681</v>
      </c>
      <c r="U63" s="729" t="s">
        <v>895</v>
      </c>
      <c r="V63" s="730" t="s">
        <v>1686</v>
      </c>
      <c r="W63" s="729" t="s">
        <v>1680</v>
      </c>
      <c r="X63" s="729" t="s">
        <v>1681</v>
      </c>
      <c r="Y63" s="729" t="s">
        <v>895</v>
      </c>
      <c r="Z63" s="730" t="s">
        <v>1687</v>
      </c>
      <c r="AA63" s="729" t="s">
        <v>1680</v>
      </c>
      <c r="AB63" s="729" t="s">
        <v>1681</v>
      </c>
      <c r="AC63" s="729" t="s">
        <v>895</v>
      </c>
      <c r="AD63" s="730" t="s">
        <v>1688</v>
      </c>
      <c r="AE63" s="729" t="s">
        <v>1680</v>
      </c>
      <c r="AF63" s="729" t="s">
        <v>1681</v>
      </c>
      <c r="AG63" s="729" t="s">
        <v>895</v>
      </c>
      <c r="AH63" s="730" t="s">
        <v>1689</v>
      </c>
      <c r="AI63" s="729" t="s">
        <v>1680</v>
      </c>
      <c r="AJ63" s="729" t="s">
        <v>1681</v>
      </c>
      <c r="AK63" s="729" t="s">
        <v>895</v>
      </c>
      <c r="AL63" s="730" t="s">
        <v>1690</v>
      </c>
      <c r="AM63" s="729" t="s">
        <v>1680</v>
      </c>
      <c r="AN63" s="729" t="s">
        <v>1681</v>
      </c>
      <c r="AO63" s="729" t="s">
        <v>895</v>
      </c>
      <c r="AP63" s="730" t="s">
        <v>1691</v>
      </c>
      <c r="AQ63" s="729" t="s">
        <v>1680</v>
      </c>
      <c r="AR63" s="729" t="s">
        <v>1681</v>
      </c>
      <c r="AS63" s="729" t="s">
        <v>895</v>
      </c>
      <c r="AT63" s="730" t="s">
        <v>1692</v>
      </c>
      <c r="AU63" s="729" t="s">
        <v>1680</v>
      </c>
      <c r="AV63" s="729" t="s">
        <v>1681</v>
      </c>
      <c r="AW63" s="729" t="s">
        <v>895</v>
      </c>
      <c r="AX63" s="730" t="s">
        <v>1695</v>
      </c>
      <c r="AY63" s="729" t="s">
        <v>1680</v>
      </c>
      <c r="AZ63" s="729" t="s">
        <v>1681</v>
      </c>
      <c r="BA63" s="729" t="s">
        <v>895</v>
      </c>
      <c r="BB63" s="730" t="s">
        <v>1695</v>
      </c>
    </row>
    <row r="64" spans="1:54">
      <c r="A64" s="12" t="s">
        <v>224</v>
      </c>
      <c r="B64" s="15"/>
      <c r="C64" s="15"/>
      <c r="D64" s="15"/>
      <c r="E64" s="15"/>
      <c r="F64" s="662">
        <v>0</v>
      </c>
      <c r="G64" s="15"/>
      <c r="H64" s="15"/>
      <c r="I64" s="15"/>
      <c r="J64" s="662">
        <v>0</v>
      </c>
      <c r="K64" s="15"/>
      <c r="L64" s="15"/>
      <c r="M64" s="15"/>
      <c r="N64" s="667">
        <f>K64-L64</f>
        <v>0</v>
      </c>
      <c r="O64" s="15"/>
      <c r="P64" s="15"/>
      <c r="Q64" s="15"/>
      <c r="R64" s="662">
        <v>0</v>
      </c>
      <c r="S64" s="15"/>
      <c r="T64" s="15"/>
      <c r="U64" s="15"/>
      <c r="V64" s="662">
        <v>0</v>
      </c>
      <c r="W64" s="15"/>
      <c r="X64" s="15"/>
      <c r="Y64" s="15"/>
      <c r="Z64" s="662">
        <v>0</v>
      </c>
      <c r="AA64" s="15"/>
      <c r="AB64" s="15"/>
      <c r="AC64" s="15"/>
      <c r="AD64" s="662">
        <v>0</v>
      </c>
      <c r="AE64" s="15"/>
      <c r="AF64" s="15"/>
      <c r="AG64" s="15"/>
      <c r="AH64" s="662">
        <v>0</v>
      </c>
      <c r="AI64" s="15"/>
      <c r="AJ64" s="15"/>
      <c r="AK64" s="15"/>
      <c r="AL64" s="662">
        <v>0</v>
      </c>
      <c r="AM64" s="15"/>
      <c r="AN64" s="15"/>
      <c r="AO64" s="15"/>
      <c r="AP64" s="662">
        <v>0</v>
      </c>
      <c r="AQ64" s="15"/>
      <c r="AR64" s="15"/>
      <c r="AS64" s="15"/>
      <c r="AT64" s="662">
        <v>0</v>
      </c>
      <c r="AU64" s="15"/>
      <c r="AV64" s="15"/>
      <c r="AW64" s="15"/>
      <c r="AX64" s="662">
        <v>0</v>
      </c>
      <c r="AY64" s="15"/>
      <c r="AZ64" s="15"/>
      <c r="BA64" s="15"/>
      <c r="BB64" s="662">
        <v>0</v>
      </c>
    </row>
    <row r="65" spans="1:54">
      <c r="A65" s="12" t="s">
        <v>1699</v>
      </c>
      <c r="B65" s="15">
        <f>+B66+B84</f>
        <v>0</v>
      </c>
      <c r="C65" s="844">
        <f t="shared" ref="C65:AB65" si="51">C66+C84</f>
        <v>242252.08201967998</v>
      </c>
      <c r="D65" s="844">
        <f t="shared" si="51"/>
        <v>253490.28914967997</v>
      </c>
      <c r="E65" s="844">
        <f t="shared" si="51"/>
        <v>0</v>
      </c>
      <c r="F65" s="846">
        <f t="shared" si="51"/>
        <v>-11238.207129999995</v>
      </c>
      <c r="G65" s="844">
        <f t="shared" si="51"/>
        <v>57937.760312650003</v>
      </c>
      <c r="H65" s="844">
        <f t="shared" si="51"/>
        <v>57937.760312650003</v>
      </c>
      <c r="I65" s="844">
        <f t="shared" si="51"/>
        <v>0</v>
      </c>
      <c r="J65" s="662">
        <f t="shared" si="51"/>
        <v>0</v>
      </c>
      <c r="K65" s="844">
        <f>K66+K84</f>
        <v>93256.528511389697</v>
      </c>
      <c r="L65" s="844">
        <f t="shared" si="51"/>
        <v>93256.528511389697</v>
      </c>
      <c r="M65" s="844">
        <f t="shared" si="51"/>
        <v>0</v>
      </c>
      <c r="N65" s="662">
        <f t="shared" si="51"/>
        <v>0</v>
      </c>
      <c r="O65" s="15">
        <f t="shared" si="51"/>
        <v>551493.52637388499</v>
      </c>
      <c r="P65" s="15">
        <f t="shared" si="51"/>
        <v>551493.52637388499</v>
      </c>
      <c r="Q65" s="15">
        <f t="shared" si="51"/>
        <v>0</v>
      </c>
      <c r="R65" s="662">
        <f t="shared" si="51"/>
        <v>0</v>
      </c>
      <c r="S65" s="15">
        <f t="shared" si="51"/>
        <v>22907.567665000002</v>
      </c>
      <c r="T65" s="15">
        <f t="shared" si="51"/>
        <v>22907.567665000002</v>
      </c>
      <c r="U65" s="15">
        <f t="shared" si="51"/>
        <v>0</v>
      </c>
      <c r="V65" s="662">
        <f t="shared" si="51"/>
        <v>0</v>
      </c>
      <c r="W65" s="15">
        <f t="shared" si="51"/>
        <v>520896.20263931999</v>
      </c>
      <c r="X65" s="15">
        <f t="shared" si="51"/>
        <v>240290.04807932</v>
      </c>
      <c r="Y65" s="15">
        <f t="shared" si="51"/>
        <v>0</v>
      </c>
      <c r="Z65" s="662">
        <f t="shared" si="51"/>
        <v>280606.15456</v>
      </c>
      <c r="AA65" s="15">
        <f t="shared" si="51"/>
        <v>279819.81404800003</v>
      </c>
      <c r="AB65" s="15">
        <f t="shared" si="51"/>
        <v>101760.629</v>
      </c>
      <c r="AC65" s="15">
        <f t="shared" ref="AC65:AX65" si="52">AC66+AC84</f>
        <v>0</v>
      </c>
      <c r="AD65" s="662">
        <f t="shared" si="52"/>
        <v>178059.18504800001</v>
      </c>
      <c r="AE65" s="15">
        <f t="shared" si="52"/>
        <v>95917.945000000007</v>
      </c>
      <c r="AF65" s="15">
        <f t="shared" si="52"/>
        <v>95917.945000000007</v>
      </c>
      <c r="AG65" s="15">
        <f t="shared" si="52"/>
        <v>0</v>
      </c>
      <c r="AH65" s="662">
        <f t="shared" si="52"/>
        <v>0</v>
      </c>
      <c r="AI65" s="15">
        <f>AI66+AI84</f>
        <v>130676.35164000001</v>
      </c>
      <c r="AJ65" s="15">
        <f>AJ66+AJ84</f>
        <v>95656.935639999996</v>
      </c>
      <c r="AK65" s="15">
        <f t="shared" si="52"/>
        <v>0</v>
      </c>
      <c r="AL65" s="662">
        <f t="shared" si="52"/>
        <v>35019.415999999997</v>
      </c>
      <c r="AM65" s="15">
        <f t="shared" si="52"/>
        <v>723790.09461499983</v>
      </c>
      <c r="AN65" s="15">
        <f t="shared" si="52"/>
        <v>85557.163614999998</v>
      </c>
      <c r="AO65" s="15">
        <f t="shared" si="52"/>
        <v>0</v>
      </c>
      <c r="AP65" s="662">
        <f t="shared" si="52"/>
        <v>638232.93099999998</v>
      </c>
      <c r="AQ65" s="15">
        <f>AQ66+AQ84</f>
        <v>50926.7265252</v>
      </c>
      <c r="AR65" s="15">
        <f>AR66+AR84</f>
        <v>24295.802473200001</v>
      </c>
      <c r="AS65" s="15">
        <f t="shared" si="52"/>
        <v>0</v>
      </c>
      <c r="AT65" s="662">
        <f>AT66+AT84</f>
        <v>26630.924051999998</v>
      </c>
      <c r="AU65" s="15">
        <f t="shared" si="52"/>
        <v>372484.62850683997</v>
      </c>
      <c r="AV65" s="15">
        <f t="shared" si="52"/>
        <v>51655.770555089999</v>
      </c>
      <c r="AW65" s="15">
        <f t="shared" si="52"/>
        <v>0</v>
      </c>
      <c r="AX65" s="662">
        <f t="shared" si="52"/>
        <v>320828.85795174999</v>
      </c>
      <c r="AY65" s="15">
        <f>AY66+AY84</f>
        <v>0</v>
      </c>
      <c r="AZ65" s="15">
        <f>AZ66+AZ84</f>
        <v>0</v>
      </c>
      <c r="BA65" s="15">
        <f>BA66+BA84</f>
        <v>0</v>
      </c>
      <c r="BB65" s="662">
        <f>BB66+BB84</f>
        <v>0</v>
      </c>
    </row>
    <row r="66" spans="1:54">
      <c r="A66" s="13" t="s">
        <v>226</v>
      </c>
      <c r="B66" s="16">
        <f>SUM(B67:B83)</f>
        <v>0</v>
      </c>
      <c r="C66" s="845">
        <f t="shared" ref="C66:AB66" si="53">SUM(C67:C83)</f>
        <v>202285.53001527998</v>
      </c>
      <c r="D66" s="845">
        <f t="shared" si="53"/>
        <v>213523.73714527997</v>
      </c>
      <c r="E66" s="845">
        <f t="shared" si="53"/>
        <v>0</v>
      </c>
      <c r="F66" s="847">
        <f t="shared" si="53"/>
        <v>-11238.207129999995</v>
      </c>
      <c r="G66" s="845">
        <f t="shared" si="53"/>
        <v>57937.760312650003</v>
      </c>
      <c r="H66" s="845">
        <f t="shared" si="53"/>
        <v>57937.760312650003</v>
      </c>
      <c r="I66" s="845">
        <f t="shared" si="53"/>
        <v>0</v>
      </c>
      <c r="J66" s="663">
        <f t="shared" si="53"/>
        <v>0</v>
      </c>
      <c r="K66" s="845">
        <f>SUM(K67:K83)</f>
        <v>78609.950153600003</v>
      </c>
      <c r="L66" s="845">
        <f>SUM(L67:L83)</f>
        <v>78609.950153600003</v>
      </c>
      <c r="M66" s="845">
        <f t="shared" si="53"/>
        <v>0</v>
      </c>
      <c r="N66" s="663">
        <f t="shared" si="53"/>
        <v>0</v>
      </c>
      <c r="O66" s="16">
        <f t="shared" si="53"/>
        <v>551493.52637388499</v>
      </c>
      <c r="P66" s="16">
        <f t="shared" si="53"/>
        <v>551493.52637388499</v>
      </c>
      <c r="Q66" s="16">
        <f t="shared" si="53"/>
        <v>0</v>
      </c>
      <c r="R66" s="663">
        <f t="shared" si="53"/>
        <v>0</v>
      </c>
      <c r="S66" s="16">
        <f t="shared" si="53"/>
        <v>3759.9479848000001</v>
      </c>
      <c r="T66" s="16">
        <f t="shared" si="53"/>
        <v>3759.9479848000001</v>
      </c>
      <c r="U66" s="16">
        <f t="shared" si="53"/>
        <v>0</v>
      </c>
      <c r="V66" s="663">
        <f t="shared" si="53"/>
        <v>0</v>
      </c>
      <c r="W66" s="16">
        <f t="shared" si="53"/>
        <v>520896.20263931999</v>
      </c>
      <c r="X66" s="16">
        <f t="shared" si="53"/>
        <v>240290.04807932</v>
      </c>
      <c r="Y66" s="16">
        <f t="shared" si="53"/>
        <v>0</v>
      </c>
      <c r="Z66" s="663">
        <f t="shared" si="53"/>
        <v>280606.15456</v>
      </c>
      <c r="AA66" s="16">
        <f t="shared" si="53"/>
        <v>190859.62504800002</v>
      </c>
      <c r="AB66" s="16">
        <f t="shared" si="53"/>
        <v>12800.439999999999</v>
      </c>
      <c r="AC66" s="16">
        <f t="shared" ref="AC66:AX66" si="54">SUM(AC67:AC83)</f>
        <v>0</v>
      </c>
      <c r="AD66" s="663">
        <f t="shared" si="54"/>
        <v>178059.18504800001</v>
      </c>
      <c r="AE66" s="16">
        <f t="shared" si="54"/>
        <v>59897.445</v>
      </c>
      <c r="AF66" s="16">
        <f t="shared" si="54"/>
        <v>59897.445</v>
      </c>
      <c r="AG66" s="16">
        <f t="shared" si="54"/>
        <v>0</v>
      </c>
      <c r="AH66" s="663">
        <f t="shared" si="54"/>
        <v>0</v>
      </c>
      <c r="AI66" s="16">
        <f>SUM(AI67:AI83)</f>
        <v>75883.212960000004</v>
      </c>
      <c r="AJ66" s="16">
        <f>SUM(AJ67:AJ83)</f>
        <v>40863.79696</v>
      </c>
      <c r="AK66" s="16">
        <f t="shared" si="54"/>
        <v>0</v>
      </c>
      <c r="AL66" s="663">
        <f t="shared" si="54"/>
        <v>35019.415999999997</v>
      </c>
      <c r="AM66" s="16">
        <f t="shared" si="54"/>
        <v>723760.09461499983</v>
      </c>
      <c r="AN66" s="16">
        <f t="shared" si="54"/>
        <v>85527.163614999998</v>
      </c>
      <c r="AO66" s="16">
        <f t="shared" si="54"/>
        <v>0</v>
      </c>
      <c r="AP66" s="663">
        <f t="shared" si="54"/>
        <v>638232.93099999998</v>
      </c>
      <c r="AQ66" s="16">
        <f>SUM(AQ67:AQ83)</f>
        <v>33188.1038252</v>
      </c>
      <c r="AR66" s="16">
        <f>SUM(AR67:AR83)</f>
        <v>6557.1797732000005</v>
      </c>
      <c r="AS66" s="16">
        <f t="shared" si="54"/>
        <v>0</v>
      </c>
      <c r="AT66" s="663">
        <f>SUM(AT67:AT83)</f>
        <v>26630.924051999998</v>
      </c>
      <c r="AU66" s="16">
        <f t="shared" si="54"/>
        <v>337423.95455508999</v>
      </c>
      <c r="AV66" s="16">
        <f t="shared" si="54"/>
        <v>51655.770555089999</v>
      </c>
      <c r="AW66" s="16">
        <f t="shared" si="54"/>
        <v>0</v>
      </c>
      <c r="AX66" s="663">
        <f t="shared" si="54"/>
        <v>285768.18400000001</v>
      </c>
      <c r="AY66" s="16">
        <f>SUM(AY67:AY83)</f>
        <v>0</v>
      </c>
      <c r="AZ66" s="16">
        <f>SUM(AZ67:AZ83)</f>
        <v>0</v>
      </c>
      <c r="BA66" s="16">
        <f>SUM(BA67:BA83)</f>
        <v>0</v>
      </c>
      <c r="BB66" s="663">
        <f>SUM(BB67:BB83)</f>
        <v>0</v>
      </c>
    </row>
    <row r="67" spans="1:54">
      <c r="A67" s="2" t="s">
        <v>227</v>
      </c>
      <c r="B67" s="17"/>
      <c r="C67" s="872">
        <v>11.185350400000001</v>
      </c>
      <c r="D67" s="872">
        <v>11.185350400000001</v>
      </c>
      <c r="E67" s="17"/>
      <c r="F67" s="661">
        <f t="shared" ref="F67:F83" si="55">C67-D67</f>
        <v>0</v>
      </c>
      <c r="G67" s="17">
        <f>45062.01772+5827.30092</f>
        <v>50889.318640000005</v>
      </c>
      <c r="H67" s="17">
        <f>45062.01772+5827.30092</f>
        <v>50889.318640000005</v>
      </c>
      <c r="I67" s="17"/>
      <c r="J67" s="661">
        <f>G67-H67</f>
        <v>0</v>
      </c>
      <c r="K67" s="18">
        <v>12264.8201536</v>
      </c>
      <c r="L67" s="18">
        <v>12264.8201536</v>
      </c>
      <c r="M67" s="655"/>
      <c r="N67" s="661">
        <f>K67-L67</f>
        <v>0</v>
      </c>
      <c r="O67" s="872"/>
      <c r="P67" s="872"/>
      <c r="Q67" s="18"/>
      <c r="R67" s="661">
        <f>+O67-P67</f>
        <v>0</v>
      </c>
      <c r="S67" s="705">
        <v>3759.9479848000001</v>
      </c>
      <c r="T67" s="705">
        <v>3759.9479848000001</v>
      </c>
      <c r="U67" s="17"/>
      <c r="V67" s="661">
        <v>0</v>
      </c>
      <c r="W67" s="17">
        <v>104274.05323136</v>
      </c>
      <c r="X67" s="17">
        <v>104274.05323136</v>
      </c>
      <c r="Y67" s="17"/>
      <c r="Z67" s="661">
        <f>W67-X67</f>
        <v>0</v>
      </c>
      <c r="AA67" s="18"/>
      <c r="AB67" s="18"/>
      <c r="AC67" s="17"/>
      <c r="AD67" s="661">
        <f>AA67-AB67</f>
        <v>0</v>
      </c>
      <c r="AE67" s="17">
        <f>44920.388+5816.159</f>
        <v>50736.546999999999</v>
      </c>
      <c r="AF67" s="17">
        <f>44920.388+5816.159</f>
        <v>50736.546999999999</v>
      </c>
      <c r="AG67" s="17"/>
      <c r="AH67" s="661">
        <f>AE67-AF67</f>
        <v>0</v>
      </c>
      <c r="AI67" s="18">
        <v>16536.864959999999</v>
      </c>
      <c r="AJ67" s="18">
        <v>16537.864959999999</v>
      </c>
      <c r="AK67" s="17"/>
      <c r="AL67" s="661">
        <f>AI67-AJ67</f>
        <v>-1</v>
      </c>
      <c r="AM67" s="17">
        <f>37914.97+22452.6</f>
        <v>60367.57</v>
      </c>
      <c r="AN67" s="17">
        <f>37914.97+22452.6</f>
        <v>60367.57</v>
      </c>
      <c r="AO67" s="17"/>
      <c r="AP67" s="661">
        <f>AM67-AN67</f>
        <v>0</v>
      </c>
      <c r="AQ67" s="17">
        <v>6557.1797732000005</v>
      </c>
      <c r="AR67" s="17">
        <v>6557.1797732000005</v>
      </c>
      <c r="AS67" s="17"/>
      <c r="AT67" s="661">
        <f>AQ67-AR67</f>
        <v>0</v>
      </c>
      <c r="AU67" s="17"/>
      <c r="AV67" s="17"/>
      <c r="AW67" s="17"/>
      <c r="AX67" s="661">
        <f>AU67-AV67</f>
        <v>0</v>
      </c>
      <c r="AY67" s="17"/>
      <c r="AZ67" s="17"/>
      <c r="BA67" s="17"/>
      <c r="BB67" s="661">
        <f>AY67-AZ67</f>
        <v>0</v>
      </c>
    </row>
    <row r="68" spans="1:54">
      <c r="A68" s="14" t="s">
        <v>228</v>
      </c>
      <c r="B68" s="18"/>
      <c r="C68" s="872"/>
      <c r="D68" s="872"/>
      <c r="E68" s="18"/>
      <c r="F68" s="661">
        <f t="shared" si="55"/>
        <v>0</v>
      </c>
      <c r="G68" s="17">
        <v>7048.4416726500003</v>
      </c>
      <c r="H68" s="17">
        <v>7048.4416726500003</v>
      </c>
      <c r="I68" s="18"/>
      <c r="J68" s="661">
        <f t="shared" ref="J68:J83" si="56">G68-H68</f>
        <v>0</v>
      </c>
      <c r="K68" s="18"/>
      <c r="L68" s="18"/>
      <c r="M68" s="843"/>
      <c r="N68" s="661">
        <f t="shared" ref="N68:N83" si="57">K68-L68</f>
        <v>0</v>
      </c>
      <c r="O68" s="18"/>
      <c r="P68" s="18"/>
      <c r="Q68" s="18"/>
      <c r="R68" s="661">
        <f t="shared" ref="R68:R83" si="58">O68-P68</f>
        <v>0</v>
      </c>
      <c r="S68" s="18"/>
      <c r="T68" s="18"/>
      <c r="U68" s="18"/>
      <c r="V68" s="661">
        <f t="shared" ref="V68:V83" si="59">S68-T68</f>
        <v>0</v>
      </c>
      <c r="W68" s="17"/>
      <c r="X68" s="17"/>
      <c r="Y68" s="18"/>
      <c r="Z68" s="661">
        <f t="shared" ref="Z68:Z83" si="60">W68-X68</f>
        <v>0</v>
      </c>
      <c r="AA68" s="18"/>
      <c r="AB68" s="18"/>
      <c r="AC68" s="18"/>
      <c r="AD68" s="661">
        <f t="shared" ref="AD68:AD83" si="61">AA68-AB68</f>
        <v>0</v>
      </c>
      <c r="AE68" s="18">
        <v>9160.8979999999992</v>
      </c>
      <c r="AF68" s="18">
        <v>9160.8979999999992</v>
      </c>
      <c r="AG68" s="18"/>
      <c r="AH68" s="661">
        <f t="shared" ref="AH68:AH83" si="62">AE68-AF68</f>
        <v>0</v>
      </c>
      <c r="AI68" s="18"/>
      <c r="AJ68" s="18"/>
      <c r="AK68" s="18"/>
      <c r="AL68" s="661">
        <f t="shared" ref="AL68:AL83" si="63">AI68-AJ68</f>
        <v>0</v>
      </c>
      <c r="AM68" s="18"/>
      <c r="AN68" s="18"/>
      <c r="AO68" s="18"/>
      <c r="AP68" s="661">
        <f t="shared" ref="AP68:AP83" si="64">AM68-AN68</f>
        <v>0</v>
      </c>
      <c r="AQ68" s="18"/>
      <c r="AR68" s="18"/>
      <c r="AS68" s="18"/>
      <c r="AT68" s="661">
        <f>AQ68-AR68</f>
        <v>0</v>
      </c>
      <c r="AU68" s="18"/>
      <c r="AV68" s="18"/>
      <c r="AW68" s="18"/>
      <c r="AX68" s="661">
        <f t="shared" ref="AX68:AX83" si="65">AU68-AV68</f>
        <v>0</v>
      </c>
      <c r="AY68" s="18"/>
      <c r="AZ68" s="18"/>
      <c r="BA68" s="18"/>
      <c r="BB68" s="661">
        <f t="shared" ref="BB68:BB83" si="66">AY68-AZ68</f>
        <v>0</v>
      </c>
    </row>
    <row r="69" spans="1:54">
      <c r="A69" s="3" t="s">
        <v>229</v>
      </c>
      <c r="B69" s="17"/>
      <c r="C69" s="872">
        <f>154519.188</f>
        <v>154519.18799999999</v>
      </c>
      <c r="D69" s="872">
        <f>154519.188+11238.20713</f>
        <v>165757.39512999999</v>
      </c>
      <c r="E69" s="17"/>
      <c r="F69" s="661">
        <f t="shared" si="55"/>
        <v>-11238.207129999995</v>
      </c>
      <c r="G69" s="705"/>
      <c r="H69" s="17"/>
      <c r="I69" s="17"/>
      <c r="J69" s="661">
        <f t="shared" si="56"/>
        <v>0</v>
      </c>
      <c r="K69" s="18">
        <v>66345.13</v>
      </c>
      <c r="L69" s="18">
        <v>66345.13</v>
      </c>
      <c r="M69" s="655"/>
      <c r="N69" s="661">
        <f t="shared" si="57"/>
        <v>0</v>
      </c>
      <c r="O69" s="705">
        <v>517433.26167569502</v>
      </c>
      <c r="P69" s="705">
        <v>517433.26167569502</v>
      </c>
      <c r="Q69" s="17"/>
      <c r="R69" s="661">
        <f t="shared" si="58"/>
        <v>0</v>
      </c>
      <c r="S69" s="705"/>
      <c r="T69" s="705"/>
      <c r="U69" s="17"/>
      <c r="V69" s="661">
        <f t="shared" si="59"/>
        <v>0</v>
      </c>
      <c r="W69" s="705">
        <v>280606.15456</v>
      </c>
      <c r="X69" s="2016"/>
      <c r="Y69" s="17"/>
      <c r="Z69" s="661">
        <f t="shared" si="60"/>
        <v>280606.15456</v>
      </c>
      <c r="AA69" s="17">
        <f>25923.484048+152135.701</f>
        <v>178059.18504800001</v>
      </c>
      <c r="AB69" s="17"/>
      <c r="AC69" s="17"/>
      <c r="AD69" s="661">
        <f t="shared" si="61"/>
        <v>178059.18504800001</v>
      </c>
      <c r="AE69" s="705"/>
      <c r="AF69" s="705"/>
      <c r="AG69" s="17"/>
      <c r="AH69" s="661">
        <f t="shared" si="62"/>
        <v>0</v>
      </c>
      <c r="AI69" s="1496">
        <f>16325.379+8000.553+35020.416</f>
        <v>59346.347999999998</v>
      </c>
      <c r="AJ69" s="1496">
        <f>16325.379+8000.553</f>
        <v>24325.932000000001</v>
      </c>
      <c r="AK69" s="17"/>
      <c r="AL69" s="661">
        <f t="shared" si="63"/>
        <v>35020.415999999997</v>
      </c>
      <c r="AM69" s="17">
        <v>638232.93099999998</v>
      </c>
      <c r="AN69" s="17"/>
      <c r="AO69" s="17"/>
      <c r="AP69" s="661">
        <f t="shared" si="64"/>
        <v>638232.93099999998</v>
      </c>
      <c r="AQ69" s="17">
        <v>26630.924051999998</v>
      </c>
      <c r="AR69" s="2017"/>
      <c r="AS69" s="17"/>
      <c r="AT69" s="661">
        <f t="shared" ref="AT69:AT83" si="67">AQ69-AR69</f>
        <v>26630.924051999998</v>
      </c>
      <c r="AU69" s="17">
        <v>285768.18400000001</v>
      </c>
      <c r="AV69" s="17"/>
      <c r="AW69" s="17"/>
      <c r="AX69" s="661">
        <f t="shared" si="65"/>
        <v>285768.18400000001</v>
      </c>
      <c r="AY69" s="17"/>
      <c r="AZ69" s="17"/>
      <c r="BA69" s="17"/>
      <c r="BB69" s="661">
        <f t="shared" si="66"/>
        <v>0</v>
      </c>
    </row>
    <row r="70" spans="1:54">
      <c r="A70" s="3" t="s">
        <v>230</v>
      </c>
      <c r="B70" s="17"/>
      <c r="C70" s="1580"/>
      <c r="D70" s="655"/>
      <c r="E70" s="655"/>
      <c r="F70" s="661">
        <f t="shared" si="55"/>
        <v>0</v>
      </c>
      <c r="G70" s="17"/>
      <c r="H70" s="17"/>
      <c r="I70" s="17"/>
      <c r="J70" s="661">
        <f t="shared" si="56"/>
        <v>0</v>
      </c>
      <c r="K70" s="18"/>
      <c r="L70" s="18"/>
      <c r="M70" s="655"/>
      <c r="N70" s="661">
        <f t="shared" si="57"/>
        <v>0</v>
      </c>
      <c r="O70" s="17"/>
      <c r="P70" s="17"/>
      <c r="Q70" s="17"/>
      <c r="R70" s="661">
        <f t="shared" si="58"/>
        <v>0</v>
      </c>
      <c r="S70" s="17"/>
      <c r="T70" s="17"/>
      <c r="U70" s="17"/>
      <c r="V70" s="661">
        <f t="shared" si="59"/>
        <v>0</v>
      </c>
      <c r="W70" s="17"/>
      <c r="X70" s="17"/>
      <c r="Y70" s="17"/>
      <c r="Z70" s="661">
        <f t="shared" si="60"/>
        <v>0</v>
      </c>
      <c r="AA70" s="17"/>
      <c r="AB70" s="17"/>
      <c r="AC70" s="17"/>
      <c r="AD70" s="661">
        <f t="shared" si="61"/>
        <v>0</v>
      </c>
      <c r="AE70" s="17"/>
      <c r="AF70" s="17"/>
      <c r="AG70" s="17"/>
      <c r="AH70" s="661">
        <f t="shared" si="62"/>
        <v>0</v>
      </c>
      <c r="AI70" s="17"/>
      <c r="AJ70" s="17"/>
      <c r="AK70" s="17"/>
      <c r="AL70" s="661">
        <f t="shared" si="63"/>
        <v>0</v>
      </c>
      <c r="AM70" s="17"/>
      <c r="AN70" s="17"/>
      <c r="AO70" s="17"/>
      <c r="AP70" s="661">
        <f t="shared" si="64"/>
        <v>0</v>
      </c>
      <c r="AQ70" s="17"/>
      <c r="AR70" s="17"/>
      <c r="AS70" s="17"/>
      <c r="AT70" s="661">
        <f t="shared" si="67"/>
        <v>0</v>
      </c>
      <c r="AU70" s="17"/>
      <c r="AV70" s="17"/>
      <c r="AW70" s="17"/>
      <c r="AX70" s="661">
        <f t="shared" si="65"/>
        <v>0</v>
      </c>
      <c r="AY70" s="17"/>
      <c r="AZ70" s="17"/>
      <c r="BA70" s="17"/>
      <c r="BB70" s="661">
        <f t="shared" si="66"/>
        <v>0</v>
      </c>
    </row>
    <row r="71" spans="1:54" ht="11.25" customHeight="1">
      <c r="A71" s="3" t="s">
        <v>231</v>
      </c>
      <c r="B71" s="17"/>
      <c r="C71" s="17"/>
      <c r="D71" s="655"/>
      <c r="E71" s="655"/>
      <c r="F71" s="661">
        <f t="shared" si="55"/>
        <v>0</v>
      </c>
      <c r="G71" s="17"/>
      <c r="H71" s="17"/>
      <c r="I71" s="17"/>
      <c r="J71" s="661">
        <f t="shared" si="56"/>
        <v>0</v>
      </c>
      <c r="K71" s="18"/>
      <c r="L71" s="18"/>
      <c r="M71" s="655"/>
      <c r="N71" s="661">
        <f t="shared" si="57"/>
        <v>0</v>
      </c>
      <c r="O71" s="17"/>
      <c r="P71" s="17"/>
      <c r="Q71" s="17"/>
      <c r="R71" s="661">
        <f t="shared" si="58"/>
        <v>0</v>
      </c>
      <c r="S71" s="17"/>
      <c r="T71" s="17"/>
      <c r="U71" s="17"/>
      <c r="V71" s="661">
        <f t="shared" si="59"/>
        <v>0</v>
      </c>
      <c r="W71" s="17"/>
      <c r="X71" s="17"/>
      <c r="Y71" s="17"/>
      <c r="Z71" s="661">
        <f t="shared" si="60"/>
        <v>0</v>
      </c>
      <c r="AA71" s="17"/>
      <c r="AB71" s="17"/>
      <c r="AC71" s="17"/>
      <c r="AD71" s="661">
        <f t="shared" si="61"/>
        <v>0</v>
      </c>
      <c r="AE71" s="17"/>
      <c r="AF71" s="17"/>
      <c r="AG71" s="17"/>
      <c r="AH71" s="661">
        <f t="shared" si="62"/>
        <v>0</v>
      </c>
      <c r="AI71" s="17"/>
      <c r="AJ71" s="17"/>
      <c r="AK71" s="17"/>
      <c r="AL71" s="661">
        <f t="shared" si="63"/>
        <v>0</v>
      </c>
      <c r="AM71" s="17"/>
      <c r="AN71" s="17"/>
      <c r="AO71" s="17"/>
      <c r="AP71" s="661">
        <f t="shared" si="64"/>
        <v>0</v>
      </c>
      <c r="AQ71" s="17"/>
      <c r="AR71" s="17"/>
      <c r="AS71" s="17"/>
      <c r="AT71" s="661">
        <f t="shared" si="67"/>
        <v>0</v>
      </c>
      <c r="AU71" s="17"/>
      <c r="AV71" s="17"/>
      <c r="AW71" s="17"/>
      <c r="AX71" s="661">
        <f t="shared" si="65"/>
        <v>0</v>
      </c>
      <c r="AY71" s="17"/>
      <c r="AZ71" s="17"/>
      <c r="BA71" s="17"/>
      <c r="BB71" s="661">
        <f t="shared" si="66"/>
        <v>0</v>
      </c>
    </row>
    <row r="72" spans="1:54">
      <c r="A72" s="3" t="s">
        <v>232</v>
      </c>
      <c r="B72" s="17"/>
      <c r="C72" s="17"/>
      <c r="D72" s="655"/>
      <c r="E72" s="655"/>
      <c r="F72" s="661">
        <f t="shared" si="55"/>
        <v>0</v>
      </c>
      <c r="G72" s="17"/>
      <c r="H72" s="17"/>
      <c r="I72" s="17"/>
      <c r="J72" s="661">
        <f t="shared" si="56"/>
        <v>0</v>
      </c>
      <c r="K72" s="18"/>
      <c r="L72" s="18"/>
      <c r="M72" s="655"/>
      <c r="N72" s="661">
        <f t="shared" si="57"/>
        <v>0</v>
      </c>
      <c r="O72" s="17"/>
      <c r="P72" s="17"/>
      <c r="Q72" s="17"/>
      <c r="R72" s="661">
        <f t="shared" si="58"/>
        <v>0</v>
      </c>
      <c r="S72" s="17"/>
      <c r="T72" s="17"/>
      <c r="U72" s="17"/>
      <c r="V72" s="661">
        <f t="shared" si="59"/>
        <v>0</v>
      </c>
      <c r="W72" s="17">
        <v>66612.614453000002</v>
      </c>
      <c r="X72" s="17">
        <v>66612.614453000002</v>
      </c>
      <c r="Y72" s="17"/>
      <c r="Z72" s="661">
        <f t="shared" si="60"/>
        <v>0</v>
      </c>
      <c r="AA72" s="17"/>
      <c r="AB72" s="17"/>
      <c r="AC72" s="17"/>
      <c r="AD72" s="661">
        <f t="shared" si="61"/>
        <v>0</v>
      </c>
      <c r="AE72" s="17"/>
      <c r="AF72" s="17"/>
      <c r="AG72" s="17"/>
      <c r="AH72" s="661">
        <f t="shared" si="62"/>
        <v>0</v>
      </c>
      <c r="AI72" s="17"/>
      <c r="AJ72" s="17"/>
      <c r="AK72" s="17"/>
      <c r="AL72" s="661">
        <f t="shared" si="63"/>
        <v>0</v>
      </c>
      <c r="AM72" s="17"/>
      <c r="AN72" s="17"/>
      <c r="AO72" s="17"/>
      <c r="AP72" s="661">
        <f t="shared" si="64"/>
        <v>0</v>
      </c>
      <c r="AQ72" s="17"/>
      <c r="AR72" s="17"/>
      <c r="AS72" s="17"/>
      <c r="AT72" s="661">
        <f t="shared" si="67"/>
        <v>0</v>
      </c>
      <c r="AU72" s="17"/>
      <c r="AV72" s="17"/>
      <c r="AW72" s="17"/>
      <c r="AX72" s="661">
        <f t="shared" si="65"/>
        <v>0</v>
      </c>
      <c r="AY72" s="17"/>
      <c r="AZ72" s="17"/>
      <c r="BA72" s="17"/>
      <c r="BB72" s="661">
        <f t="shared" si="66"/>
        <v>0</v>
      </c>
    </row>
    <row r="73" spans="1:54">
      <c r="A73" s="3" t="s">
        <v>233</v>
      </c>
      <c r="B73" s="17"/>
      <c r="C73" s="17"/>
      <c r="D73" s="655"/>
      <c r="E73" s="655"/>
      <c r="F73" s="661">
        <f t="shared" si="55"/>
        <v>0</v>
      </c>
      <c r="G73" s="17"/>
      <c r="H73" s="17"/>
      <c r="I73" s="17"/>
      <c r="J73" s="661">
        <f t="shared" si="56"/>
        <v>0</v>
      </c>
      <c r="K73" s="18"/>
      <c r="L73" s="18"/>
      <c r="M73" s="655"/>
      <c r="N73" s="661">
        <f t="shared" si="57"/>
        <v>0</v>
      </c>
      <c r="O73" s="17"/>
      <c r="P73" s="17"/>
      <c r="Q73" s="17"/>
      <c r="R73" s="661">
        <f t="shared" si="58"/>
        <v>0</v>
      </c>
      <c r="S73" s="17"/>
      <c r="T73" s="17"/>
      <c r="U73" s="17"/>
      <c r="V73" s="661">
        <f t="shared" si="59"/>
        <v>0</v>
      </c>
      <c r="W73" s="17"/>
      <c r="X73" s="17"/>
      <c r="Y73" s="17"/>
      <c r="Z73" s="661">
        <f t="shared" si="60"/>
        <v>0</v>
      </c>
      <c r="AA73" s="17"/>
      <c r="AB73" s="17"/>
      <c r="AC73" s="17"/>
      <c r="AD73" s="661">
        <f t="shared" si="61"/>
        <v>0</v>
      </c>
      <c r="AE73" s="17"/>
      <c r="AF73" s="17"/>
      <c r="AG73" s="17"/>
      <c r="AH73" s="661">
        <f t="shared" si="62"/>
        <v>0</v>
      </c>
      <c r="AI73" s="17"/>
      <c r="AJ73" s="17"/>
      <c r="AK73" s="17"/>
      <c r="AL73" s="661">
        <f t="shared" si="63"/>
        <v>0</v>
      </c>
      <c r="AM73" s="17"/>
      <c r="AN73" s="17"/>
      <c r="AO73" s="17"/>
      <c r="AP73" s="661">
        <f t="shared" si="64"/>
        <v>0</v>
      </c>
      <c r="AQ73" s="17"/>
      <c r="AR73" s="17"/>
      <c r="AS73" s="17"/>
      <c r="AT73" s="661">
        <f t="shared" si="67"/>
        <v>0</v>
      </c>
      <c r="AU73" s="17"/>
      <c r="AV73" s="17"/>
      <c r="AW73" s="17"/>
      <c r="AX73" s="661">
        <f t="shared" si="65"/>
        <v>0</v>
      </c>
      <c r="AY73" s="17"/>
      <c r="AZ73" s="17"/>
      <c r="BA73" s="17"/>
      <c r="BB73" s="661">
        <f t="shared" si="66"/>
        <v>0</v>
      </c>
    </row>
    <row r="74" spans="1:54">
      <c r="A74" s="3" t="s">
        <v>234</v>
      </c>
      <c r="B74" s="17"/>
      <c r="C74" s="872"/>
      <c r="D74" s="851"/>
      <c r="E74" s="655"/>
      <c r="F74" s="661">
        <f t="shared" si="55"/>
        <v>0</v>
      </c>
      <c r="G74" s="17"/>
      <c r="H74" s="17"/>
      <c r="I74" s="17"/>
      <c r="J74" s="661">
        <f t="shared" si="56"/>
        <v>0</v>
      </c>
      <c r="K74" s="18"/>
      <c r="L74" s="18"/>
      <c r="M74" s="655"/>
      <c r="N74" s="661">
        <f t="shared" si="57"/>
        <v>0</v>
      </c>
      <c r="O74" s="872"/>
      <c r="P74" s="872"/>
      <c r="Q74" s="17"/>
      <c r="R74" s="661">
        <f t="shared" si="58"/>
        <v>0</v>
      </c>
      <c r="S74" s="17"/>
      <c r="T74" s="17"/>
      <c r="U74" s="17"/>
      <c r="V74" s="661">
        <f t="shared" si="59"/>
        <v>0</v>
      </c>
      <c r="W74" s="17"/>
      <c r="X74" s="17"/>
      <c r="Y74" s="17"/>
      <c r="Z74" s="661">
        <f t="shared" si="60"/>
        <v>0</v>
      </c>
      <c r="AA74" s="18">
        <v>10471.99</v>
      </c>
      <c r="AB74" s="18">
        <v>10471.99</v>
      </c>
      <c r="AC74" s="17"/>
      <c r="AD74" s="661">
        <f t="shared" si="61"/>
        <v>0</v>
      </c>
      <c r="AE74" s="1576"/>
      <c r="AF74" s="121"/>
      <c r="AG74" s="17"/>
      <c r="AH74" s="661">
        <f t="shared" si="62"/>
        <v>0</v>
      </c>
      <c r="AI74" s="17"/>
      <c r="AJ74" s="17"/>
      <c r="AK74" s="17"/>
      <c r="AL74" s="661">
        <f t="shared" si="63"/>
        <v>0</v>
      </c>
      <c r="AM74" s="17"/>
      <c r="AN74" s="17"/>
      <c r="AO74" s="17"/>
      <c r="AP74" s="661">
        <f t="shared" si="64"/>
        <v>0</v>
      </c>
      <c r="AQ74" s="17"/>
      <c r="AR74" s="17"/>
      <c r="AS74" s="17"/>
      <c r="AT74" s="661">
        <f t="shared" si="67"/>
        <v>0</v>
      </c>
      <c r="AU74" s="17"/>
      <c r="AV74" s="17"/>
      <c r="AW74" s="17"/>
      <c r="AX74" s="661">
        <f t="shared" si="65"/>
        <v>0</v>
      </c>
      <c r="AY74" s="17"/>
      <c r="AZ74" s="17"/>
      <c r="BA74" s="17"/>
      <c r="BB74" s="661">
        <f t="shared" si="66"/>
        <v>0</v>
      </c>
    </row>
    <row r="75" spans="1:54">
      <c r="A75" s="3" t="s">
        <v>235</v>
      </c>
      <c r="B75" s="17"/>
      <c r="C75" s="17"/>
      <c r="D75" s="655"/>
      <c r="E75" s="655"/>
      <c r="F75" s="661">
        <f t="shared" si="55"/>
        <v>0</v>
      </c>
      <c r="G75" s="17"/>
      <c r="H75" s="17"/>
      <c r="I75" s="17"/>
      <c r="J75" s="661">
        <f t="shared" si="56"/>
        <v>0</v>
      </c>
      <c r="K75" s="18"/>
      <c r="L75" s="18"/>
      <c r="M75" s="655"/>
      <c r="N75" s="661">
        <f t="shared" si="57"/>
        <v>0</v>
      </c>
      <c r="O75" s="872"/>
      <c r="P75" s="872"/>
      <c r="Q75" s="17"/>
      <c r="R75" s="661">
        <f t="shared" si="58"/>
        <v>0</v>
      </c>
      <c r="S75" s="17"/>
      <c r="T75" s="17"/>
      <c r="U75" s="17"/>
      <c r="V75" s="661">
        <f t="shared" si="59"/>
        <v>0</v>
      </c>
      <c r="W75" s="17"/>
      <c r="X75" s="17"/>
      <c r="Y75" s="17"/>
      <c r="Z75" s="661">
        <f t="shared" si="60"/>
        <v>0</v>
      </c>
      <c r="AA75" s="17"/>
      <c r="AB75" s="17"/>
      <c r="AC75" s="17"/>
      <c r="AD75" s="661">
        <f t="shared" si="61"/>
        <v>0</v>
      </c>
      <c r="AE75" s="17"/>
      <c r="AF75" s="17"/>
      <c r="AG75" s="17"/>
      <c r="AH75" s="661">
        <f t="shared" si="62"/>
        <v>0</v>
      </c>
      <c r="AI75" s="17"/>
      <c r="AJ75" s="17"/>
      <c r="AK75" s="17"/>
      <c r="AL75" s="661">
        <f t="shared" si="63"/>
        <v>0</v>
      </c>
      <c r="AM75" s="17"/>
      <c r="AN75" s="17"/>
      <c r="AO75" s="17"/>
      <c r="AP75" s="661">
        <f t="shared" si="64"/>
        <v>0</v>
      </c>
      <c r="AQ75" s="17"/>
      <c r="AR75" s="17"/>
      <c r="AS75" s="17"/>
      <c r="AT75" s="661">
        <f t="shared" si="67"/>
        <v>0</v>
      </c>
      <c r="AU75" s="17"/>
      <c r="AV75" s="17"/>
      <c r="AW75" s="17"/>
      <c r="AX75" s="661">
        <f t="shared" si="65"/>
        <v>0</v>
      </c>
      <c r="AY75" s="17"/>
      <c r="AZ75" s="17"/>
      <c r="BA75" s="17"/>
      <c r="BB75" s="661">
        <f t="shared" si="66"/>
        <v>0</v>
      </c>
    </row>
    <row r="76" spans="1:54">
      <c r="A76" s="3" t="s">
        <v>236</v>
      </c>
      <c r="B76" s="17"/>
      <c r="C76" s="17"/>
      <c r="D76" s="655"/>
      <c r="E76" s="655"/>
      <c r="F76" s="661">
        <f t="shared" si="55"/>
        <v>0</v>
      </c>
      <c r="G76" s="17"/>
      <c r="H76" s="17"/>
      <c r="I76" s="17"/>
      <c r="J76" s="661">
        <f t="shared" si="56"/>
        <v>0</v>
      </c>
      <c r="K76" s="18"/>
      <c r="L76" s="18"/>
      <c r="M76" s="655"/>
      <c r="N76" s="661">
        <f t="shared" si="57"/>
        <v>0</v>
      </c>
      <c r="O76" s="872"/>
      <c r="P76" s="872"/>
      <c r="Q76" s="17"/>
      <c r="R76" s="661">
        <f t="shared" si="58"/>
        <v>0</v>
      </c>
      <c r="S76" s="17"/>
      <c r="T76" s="17"/>
      <c r="U76" s="17"/>
      <c r="V76" s="661">
        <f t="shared" si="59"/>
        <v>0</v>
      </c>
      <c r="W76" s="17"/>
      <c r="X76" s="17"/>
      <c r="Y76" s="17"/>
      <c r="Z76" s="661">
        <f t="shared" si="60"/>
        <v>0</v>
      </c>
      <c r="AA76" s="17"/>
      <c r="AB76" s="17"/>
      <c r="AC76" s="17"/>
      <c r="AD76" s="661">
        <f t="shared" si="61"/>
        <v>0</v>
      </c>
      <c r="AE76" s="17"/>
      <c r="AF76" s="17"/>
      <c r="AG76" s="17"/>
      <c r="AH76" s="661">
        <f t="shared" si="62"/>
        <v>0</v>
      </c>
      <c r="AI76" s="17"/>
      <c r="AJ76" s="17"/>
      <c r="AK76" s="17"/>
      <c r="AL76" s="661">
        <f t="shared" si="63"/>
        <v>0</v>
      </c>
      <c r="AM76" s="17"/>
      <c r="AN76" s="17"/>
      <c r="AO76" s="17"/>
      <c r="AP76" s="661">
        <f t="shared" si="64"/>
        <v>0</v>
      </c>
      <c r="AQ76" s="17"/>
      <c r="AR76" s="17"/>
      <c r="AS76" s="17"/>
      <c r="AT76" s="661">
        <f t="shared" si="67"/>
        <v>0</v>
      </c>
      <c r="AU76" s="17"/>
      <c r="AV76" s="17"/>
      <c r="AW76" s="17"/>
      <c r="AX76" s="661">
        <f t="shared" si="65"/>
        <v>0</v>
      </c>
      <c r="AY76" s="17"/>
      <c r="AZ76" s="17"/>
      <c r="BA76" s="17"/>
      <c r="BB76" s="661">
        <f t="shared" si="66"/>
        <v>0</v>
      </c>
    </row>
    <row r="77" spans="1:54">
      <c r="A77" s="14" t="s">
        <v>241</v>
      </c>
      <c r="B77" s="18"/>
      <c r="C77" s="872">
        <v>33732.994045799998</v>
      </c>
      <c r="D77" s="872">
        <v>33732.994045799998</v>
      </c>
      <c r="E77" s="18"/>
      <c r="F77" s="661">
        <f t="shared" si="55"/>
        <v>0</v>
      </c>
      <c r="G77" s="18"/>
      <c r="H77" s="18"/>
      <c r="I77" s="18"/>
      <c r="J77" s="661">
        <f t="shared" si="56"/>
        <v>0</v>
      </c>
      <c r="K77" s="18"/>
      <c r="L77" s="18"/>
      <c r="M77" s="843"/>
      <c r="N77" s="661">
        <f t="shared" si="57"/>
        <v>0</v>
      </c>
      <c r="O77" s="872">
        <f>13395.06268584+12567.74957235+8097.45244</f>
        <v>34060.264698189996</v>
      </c>
      <c r="P77" s="872">
        <f>13395.06268584+12567.74957235+8097.45244</f>
        <v>34060.264698189996</v>
      </c>
      <c r="Q77" s="18"/>
      <c r="R77" s="661">
        <f t="shared" si="58"/>
        <v>0</v>
      </c>
      <c r="S77" s="864"/>
      <c r="T77" s="864"/>
      <c r="U77" s="17"/>
      <c r="V77" s="661">
        <f t="shared" si="59"/>
        <v>0</v>
      </c>
      <c r="W77" s="18"/>
      <c r="X77" s="18"/>
      <c r="Y77" s="18"/>
      <c r="Z77" s="661">
        <f t="shared" si="60"/>
        <v>0</v>
      </c>
      <c r="AA77" s="17"/>
      <c r="AB77" s="17"/>
      <c r="AC77" s="18"/>
      <c r="AD77" s="661">
        <f t="shared" si="61"/>
        <v>0</v>
      </c>
      <c r="AE77" s="18"/>
      <c r="AF77" s="18"/>
      <c r="AG77" s="18"/>
      <c r="AH77" s="661">
        <f t="shared" si="62"/>
        <v>0</v>
      </c>
      <c r="AI77" s="18"/>
      <c r="AJ77" s="18"/>
      <c r="AK77" s="18"/>
      <c r="AL77" s="661">
        <f t="shared" si="63"/>
        <v>0</v>
      </c>
      <c r="AM77" s="18">
        <f>1246.619725+7204.53224+4862.74165</f>
        <v>13313.893614999999</v>
      </c>
      <c r="AN77" s="18">
        <f>1246.619725+7204.53224+4862.74165</f>
        <v>13313.893614999999</v>
      </c>
      <c r="AO77" s="18"/>
      <c r="AP77" s="661">
        <f>+AM77-AN77-AO77</f>
        <v>0</v>
      </c>
      <c r="AQ77" s="18"/>
      <c r="AR77" s="18"/>
      <c r="AS77" s="18"/>
      <c r="AT77" s="661">
        <f t="shared" si="67"/>
        <v>0</v>
      </c>
      <c r="AU77" s="18">
        <f>892.41997401+32776.37469+10305.43536</f>
        <v>43974.230024010001</v>
      </c>
      <c r="AV77" s="18">
        <f>892.41997401+32776.37469+10305.43536</f>
        <v>43974.230024010001</v>
      </c>
      <c r="AW77" s="18"/>
      <c r="AX77" s="661">
        <f>AU77-AV77</f>
        <v>0</v>
      </c>
      <c r="AY77" s="18"/>
      <c r="AZ77" s="18"/>
      <c r="BA77" s="18"/>
      <c r="BB77" s="661">
        <f t="shared" si="66"/>
        <v>0</v>
      </c>
    </row>
    <row r="78" spans="1:54">
      <c r="A78" s="1491" t="s">
        <v>2972</v>
      </c>
      <c r="B78" s="18"/>
      <c r="C78" s="872">
        <v>10603.77169768</v>
      </c>
      <c r="D78" s="872">
        <v>10603.77169768</v>
      </c>
      <c r="E78" s="18"/>
      <c r="F78" s="661">
        <f t="shared" si="55"/>
        <v>0</v>
      </c>
      <c r="G78" s="18"/>
      <c r="H78" s="18"/>
      <c r="I78" s="18"/>
      <c r="J78" s="661">
        <f t="shared" si="56"/>
        <v>0</v>
      </c>
      <c r="K78" s="18"/>
      <c r="L78" s="18"/>
      <c r="M78" s="843"/>
      <c r="N78" s="661">
        <f t="shared" si="57"/>
        <v>0</v>
      </c>
      <c r="O78" s="1593"/>
      <c r="P78" s="872"/>
      <c r="Q78" s="18"/>
      <c r="R78" s="661">
        <f t="shared" si="58"/>
        <v>0</v>
      </c>
      <c r="S78" s="864"/>
      <c r="T78" s="864"/>
      <c r="U78" s="17"/>
      <c r="V78" s="661">
        <f t="shared" si="59"/>
        <v>0</v>
      </c>
      <c r="W78" s="18"/>
      <c r="X78" s="18"/>
      <c r="Y78" s="18"/>
      <c r="Z78" s="661">
        <f t="shared" si="60"/>
        <v>0</v>
      </c>
      <c r="AA78" s="18"/>
      <c r="AB78" s="18"/>
      <c r="AC78" s="18"/>
      <c r="AD78" s="661">
        <f>AA78-AB78</f>
        <v>0</v>
      </c>
      <c r="AE78" s="18"/>
      <c r="AF78" s="18"/>
      <c r="AG78" s="18"/>
      <c r="AH78" s="661">
        <f>AE78-AF78</f>
        <v>0</v>
      </c>
      <c r="AI78" s="18"/>
      <c r="AJ78" s="18"/>
      <c r="AK78" s="18"/>
      <c r="AL78" s="661">
        <f>AI78-AJ78</f>
        <v>0</v>
      </c>
      <c r="AM78" s="18"/>
      <c r="AN78" s="18"/>
      <c r="AO78" s="18"/>
      <c r="AP78" s="661">
        <f>+AM78-AN78-AO78</f>
        <v>0</v>
      </c>
      <c r="AQ78" s="18"/>
      <c r="AR78" s="18"/>
      <c r="AS78" s="18"/>
      <c r="AT78" s="661">
        <f>AQ78-AR78</f>
        <v>0</v>
      </c>
      <c r="AU78" s="849"/>
      <c r="AV78" s="18"/>
      <c r="AW78" s="18"/>
      <c r="AX78" s="661">
        <f>AU78-AV78</f>
        <v>0</v>
      </c>
      <c r="AY78" s="18"/>
      <c r="AZ78" s="18"/>
      <c r="BA78" s="18"/>
      <c r="BB78" s="661">
        <f>AY78-AZ78</f>
        <v>0</v>
      </c>
    </row>
    <row r="79" spans="1:54">
      <c r="A79" s="3" t="s">
        <v>242</v>
      </c>
      <c r="B79" s="17"/>
      <c r="C79" s="872"/>
      <c r="D79" s="872"/>
      <c r="E79" s="17"/>
      <c r="F79" s="661">
        <f t="shared" si="55"/>
        <v>0</v>
      </c>
      <c r="G79" s="17"/>
      <c r="H79" s="655"/>
      <c r="I79" s="655"/>
      <c r="J79" s="661">
        <f t="shared" si="56"/>
        <v>0</v>
      </c>
      <c r="K79" s="18"/>
      <c r="L79" s="18"/>
      <c r="M79" s="655"/>
      <c r="N79" s="661">
        <f t="shared" si="57"/>
        <v>0</v>
      </c>
      <c r="O79" s="872"/>
      <c r="P79" s="872"/>
      <c r="Q79" s="17"/>
      <c r="R79" s="661">
        <f t="shared" si="58"/>
        <v>0</v>
      </c>
      <c r="S79" s="17"/>
      <c r="T79" s="17"/>
      <c r="U79" s="17"/>
      <c r="V79" s="661">
        <f t="shared" si="59"/>
        <v>0</v>
      </c>
      <c r="W79" s="17">
        <v>66906.104720000003</v>
      </c>
      <c r="X79" s="17">
        <v>66906.104720000003</v>
      </c>
      <c r="Y79" s="17"/>
      <c r="Z79" s="661">
        <f t="shared" si="60"/>
        <v>0</v>
      </c>
      <c r="AA79" s="17">
        <v>2328.4499999999998</v>
      </c>
      <c r="AB79" s="17">
        <v>2328.4499999999998</v>
      </c>
      <c r="AC79" s="17"/>
      <c r="AD79" s="661">
        <f t="shared" si="61"/>
        <v>0</v>
      </c>
      <c r="AE79" s="17"/>
      <c r="AF79" s="17"/>
      <c r="AG79" s="17"/>
      <c r="AH79" s="661">
        <f t="shared" si="62"/>
        <v>0</v>
      </c>
      <c r="AI79" s="17"/>
      <c r="AJ79" s="17"/>
      <c r="AK79" s="17"/>
      <c r="AL79" s="661">
        <f t="shared" si="63"/>
        <v>0</v>
      </c>
      <c r="AM79" s="17"/>
      <c r="AN79" s="17"/>
      <c r="AO79" s="17"/>
      <c r="AP79" s="661">
        <f t="shared" si="64"/>
        <v>0</v>
      </c>
      <c r="AQ79" s="17"/>
      <c r="AR79" s="17"/>
      <c r="AS79" s="17"/>
      <c r="AT79" s="661">
        <f t="shared" si="67"/>
        <v>0</v>
      </c>
      <c r="AU79" s="18">
        <v>7681.5405310799997</v>
      </c>
      <c r="AV79" s="18">
        <v>7681.5405310799997</v>
      </c>
      <c r="AW79" s="17"/>
      <c r="AX79" s="661">
        <f t="shared" si="65"/>
        <v>0</v>
      </c>
      <c r="AY79" s="17"/>
      <c r="AZ79" s="17"/>
      <c r="BA79" s="17"/>
      <c r="BB79" s="661">
        <f t="shared" si="66"/>
        <v>0</v>
      </c>
    </row>
    <row r="80" spans="1:54">
      <c r="A80" s="710" t="s">
        <v>2918</v>
      </c>
      <c r="B80" s="17"/>
      <c r="C80" s="872">
        <v>3418.3909214</v>
      </c>
      <c r="D80" s="872">
        <v>3418.3909214</v>
      </c>
      <c r="E80" s="17"/>
      <c r="F80" s="661">
        <f t="shared" si="55"/>
        <v>0</v>
      </c>
      <c r="G80" s="17"/>
      <c r="H80" s="872"/>
      <c r="I80" s="655"/>
      <c r="J80" s="661">
        <f t="shared" si="56"/>
        <v>0</v>
      </c>
      <c r="K80" s="17"/>
      <c r="L80" s="17"/>
      <c r="M80" s="655"/>
      <c r="N80" s="661">
        <f t="shared" si="57"/>
        <v>0</v>
      </c>
      <c r="O80" s="872"/>
      <c r="P80" s="872"/>
      <c r="Q80" s="17"/>
      <c r="R80" s="661">
        <f t="shared" si="58"/>
        <v>0</v>
      </c>
      <c r="S80" s="17"/>
      <c r="T80" s="17"/>
      <c r="U80" s="17"/>
      <c r="V80" s="661">
        <f t="shared" si="59"/>
        <v>0</v>
      </c>
      <c r="W80" s="17">
        <v>2497.2756749599998</v>
      </c>
      <c r="X80" s="17">
        <v>2497.2756749599998</v>
      </c>
      <c r="Y80" s="17"/>
      <c r="Z80" s="661">
        <f t="shared" si="60"/>
        <v>0</v>
      </c>
      <c r="AA80" s="17"/>
      <c r="AB80" s="17"/>
      <c r="AC80" s="17"/>
      <c r="AD80" s="661">
        <f t="shared" si="61"/>
        <v>0</v>
      </c>
      <c r="AE80" s="17"/>
      <c r="AF80" s="17"/>
      <c r="AG80" s="17"/>
      <c r="AH80" s="661">
        <f t="shared" si="62"/>
        <v>0</v>
      </c>
      <c r="AI80" s="17"/>
      <c r="AJ80" s="17"/>
      <c r="AK80" s="17"/>
      <c r="AL80" s="661">
        <f t="shared" si="63"/>
        <v>0</v>
      </c>
      <c r="AM80" s="17"/>
      <c r="AN80" s="17"/>
      <c r="AO80" s="17"/>
      <c r="AP80" s="661">
        <f t="shared" si="64"/>
        <v>0</v>
      </c>
      <c r="AQ80" s="17"/>
      <c r="AR80" s="17"/>
      <c r="AS80" s="17"/>
      <c r="AT80" s="661">
        <f t="shared" si="67"/>
        <v>0</v>
      </c>
      <c r="AU80" s="17"/>
      <c r="AV80" s="17"/>
      <c r="AW80" s="17"/>
      <c r="AX80" s="661">
        <f t="shared" si="65"/>
        <v>0</v>
      </c>
      <c r="AY80" s="17"/>
      <c r="AZ80" s="17"/>
      <c r="BA80" s="17"/>
      <c r="BB80" s="661">
        <f t="shared" si="66"/>
        <v>0</v>
      </c>
    </row>
    <row r="81" spans="1:54">
      <c r="A81" s="710" t="s">
        <v>2937</v>
      </c>
      <c r="B81" s="17"/>
      <c r="C81" s="1496"/>
      <c r="D81" s="1496"/>
      <c r="E81" s="17"/>
      <c r="F81" s="661">
        <f>C81-D81</f>
        <v>0</v>
      </c>
      <c r="G81" s="17"/>
      <c r="H81" s="872"/>
      <c r="I81" s="655"/>
      <c r="J81" s="661">
        <f>G81-H81</f>
        <v>0</v>
      </c>
      <c r="K81" s="17"/>
      <c r="L81" s="17"/>
      <c r="M81" s="655"/>
      <c r="N81" s="661">
        <f>K81-L81</f>
        <v>0</v>
      </c>
      <c r="O81" s="872"/>
      <c r="P81" s="872"/>
      <c r="Q81" s="17"/>
      <c r="R81" s="661">
        <f>O81-P81</f>
        <v>0</v>
      </c>
      <c r="S81" s="17"/>
      <c r="T81" s="17"/>
      <c r="U81" s="17"/>
      <c r="V81" s="661">
        <f>S81-T81</f>
        <v>0</v>
      </c>
      <c r="W81" s="17"/>
      <c r="X81" s="17"/>
      <c r="Y81" s="17"/>
      <c r="Z81" s="661">
        <f>W81-X81</f>
        <v>0</v>
      </c>
      <c r="AA81" s="17"/>
      <c r="AB81" s="17"/>
      <c r="AC81" s="17"/>
      <c r="AD81" s="661">
        <f>AA81-AB81</f>
        <v>0</v>
      </c>
      <c r="AE81" s="17"/>
      <c r="AF81" s="17"/>
      <c r="AG81" s="17"/>
      <c r="AH81" s="661">
        <f>AE81-AF81</f>
        <v>0</v>
      </c>
      <c r="AI81" s="17"/>
      <c r="AJ81" s="17"/>
      <c r="AK81" s="17"/>
      <c r="AL81" s="661">
        <f>AI81-AJ81</f>
        <v>0</v>
      </c>
      <c r="AM81" s="17">
        <v>11845.7</v>
      </c>
      <c r="AN81" s="17">
        <v>11845.7</v>
      </c>
      <c r="AO81" s="17"/>
      <c r="AP81" s="661">
        <f>AM81-AN81</f>
        <v>0</v>
      </c>
      <c r="AQ81" s="17"/>
      <c r="AR81" s="17"/>
      <c r="AS81" s="17"/>
      <c r="AT81" s="661">
        <f>AQ81-AR81</f>
        <v>0</v>
      </c>
      <c r="AU81" s="17"/>
      <c r="AV81" s="17"/>
      <c r="AW81" s="17"/>
      <c r="AX81" s="661">
        <f>AU81-AV81</f>
        <v>0</v>
      </c>
      <c r="AY81" s="17"/>
      <c r="AZ81" s="17"/>
      <c r="BA81" s="17"/>
      <c r="BB81" s="661">
        <f>AY81-AZ81</f>
        <v>0</v>
      </c>
    </row>
    <row r="82" spans="1:54">
      <c r="A82" s="3" t="s">
        <v>1447</v>
      </c>
      <c r="B82" s="17"/>
      <c r="C82" s="17"/>
      <c r="D82" s="17"/>
      <c r="E82" s="17"/>
      <c r="F82" s="661">
        <f t="shared" si="55"/>
        <v>0</v>
      </c>
      <c r="G82" s="17"/>
      <c r="H82" s="655"/>
      <c r="I82" s="655"/>
      <c r="J82" s="661">
        <f t="shared" si="56"/>
        <v>0</v>
      </c>
      <c r="K82" s="17"/>
      <c r="L82" s="655"/>
      <c r="M82" s="655"/>
      <c r="N82" s="661">
        <f t="shared" si="57"/>
        <v>0</v>
      </c>
      <c r="O82" s="17"/>
      <c r="P82" s="17"/>
      <c r="Q82" s="17"/>
      <c r="R82" s="661">
        <f t="shared" si="58"/>
        <v>0</v>
      </c>
      <c r="S82" s="17"/>
      <c r="T82" s="17"/>
      <c r="U82" s="17"/>
      <c r="V82" s="661">
        <f t="shared" si="59"/>
        <v>0</v>
      </c>
      <c r="W82" s="17"/>
      <c r="X82" s="17"/>
      <c r="Y82" s="17"/>
      <c r="Z82" s="661">
        <f t="shared" si="60"/>
        <v>0</v>
      </c>
      <c r="AA82" s="17"/>
      <c r="AB82" s="17"/>
      <c r="AC82" s="17"/>
      <c r="AD82" s="661">
        <f>AA82-AB82</f>
        <v>0</v>
      </c>
      <c r="AE82" s="17"/>
      <c r="AF82" s="17"/>
      <c r="AG82" s="17"/>
      <c r="AH82" s="661">
        <f t="shared" si="62"/>
        <v>0</v>
      </c>
      <c r="AI82" s="17"/>
      <c r="AJ82" s="17"/>
      <c r="AK82" s="17"/>
      <c r="AL82" s="661">
        <f t="shared" si="63"/>
        <v>0</v>
      </c>
      <c r="AM82" s="17"/>
      <c r="AN82" s="17"/>
      <c r="AO82" s="17"/>
      <c r="AP82" s="661">
        <f t="shared" si="64"/>
        <v>0</v>
      </c>
      <c r="AQ82" s="17"/>
      <c r="AR82" s="17"/>
      <c r="AS82" s="17"/>
      <c r="AT82" s="661">
        <f t="shared" si="67"/>
        <v>0</v>
      </c>
      <c r="AU82" s="17"/>
      <c r="AV82" s="17"/>
      <c r="AW82" s="17"/>
      <c r="AX82" s="661">
        <f t="shared" si="65"/>
        <v>0</v>
      </c>
      <c r="AY82" s="17"/>
      <c r="AZ82" s="17"/>
      <c r="BA82" s="17"/>
      <c r="BB82" s="661">
        <f t="shared" si="66"/>
        <v>0</v>
      </c>
    </row>
    <row r="83" spans="1:54" ht="15.75">
      <c r="A83" s="670" t="s">
        <v>1446</v>
      </c>
      <c r="B83" s="17"/>
      <c r="C83" s="17"/>
      <c r="D83" s="17"/>
      <c r="E83" s="17"/>
      <c r="F83" s="661">
        <f t="shared" si="55"/>
        <v>0</v>
      </c>
      <c r="G83" s="17"/>
      <c r="H83" s="17"/>
      <c r="I83" s="17"/>
      <c r="J83" s="661">
        <f t="shared" si="56"/>
        <v>0</v>
      </c>
      <c r="K83" s="17"/>
      <c r="L83" s="655"/>
      <c r="M83" s="655"/>
      <c r="N83" s="661">
        <f t="shared" si="57"/>
        <v>0</v>
      </c>
      <c r="O83" s="17"/>
      <c r="P83" s="17"/>
      <c r="Q83" s="17"/>
      <c r="R83" s="661">
        <f t="shared" si="58"/>
        <v>0</v>
      </c>
      <c r="S83" s="17"/>
      <c r="T83" s="17"/>
      <c r="U83" s="17"/>
      <c r="V83" s="661">
        <f t="shared" si="59"/>
        <v>0</v>
      </c>
      <c r="W83" s="17"/>
      <c r="X83" s="17"/>
      <c r="Y83" s="17"/>
      <c r="Z83" s="661">
        <f t="shared" si="60"/>
        <v>0</v>
      </c>
      <c r="AA83" s="17"/>
      <c r="AB83" s="17"/>
      <c r="AC83" s="17"/>
      <c r="AD83" s="661">
        <f t="shared" si="61"/>
        <v>0</v>
      </c>
      <c r="AE83" s="17"/>
      <c r="AF83" s="17"/>
      <c r="AG83" s="17"/>
      <c r="AH83" s="661">
        <f t="shared" si="62"/>
        <v>0</v>
      </c>
      <c r="AI83" s="17"/>
      <c r="AJ83" s="17"/>
      <c r="AK83" s="17"/>
      <c r="AL83" s="661">
        <f t="shared" si="63"/>
        <v>0</v>
      </c>
      <c r="AM83" s="17"/>
      <c r="AN83" s="17"/>
      <c r="AO83" s="17"/>
      <c r="AP83" s="661">
        <f t="shared" si="64"/>
        <v>0</v>
      </c>
      <c r="AQ83" s="17"/>
      <c r="AR83" s="17"/>
      <c r="AS83" s="17"/>
      <c r="AT83" s="661">
        <f t="shared" si="67"/>
        <v>0</v>
      </c>
      <c r="AU83" s="17"/>
      <c r="AV83" s="17"/>
      <c r="AW83" s="17"/>
      <c r="AX83" s="661">
        <f t="shared" si="65"/>
        <v>0</v>
      </c>
      <c r="AY83" s="17"/>
      <c r="AZ83" s="17"/>
      <c r="BA83" s="17"/>
      <c r="BB83" s="661">
        <f t="shared" si="66"/>
        <v>0</v>
      </c>
    </row>
    <row r="84" spans="1:54">
      <c r="A84" s="12" t="s">
        <v>244</v>
      </c>
      <c r="B84" s="15">
        <v>0</v>
      </c>
      <c r="C84" s="15">
        <f t="shared" ref="C84:AH84" si="68">C85+C99</f>
        <v>39966.5520044</v>
      </c>
      <c r="D84" s="15">
        <f t="shared" si="68"/>
        <v>39966.5520044</v>
      </c>
      <c r="E84" s="15">
        <f t="shared" si="68"/>
        <v>0</v>
      </c>
      <c r="F84" s="15">
        <f t="shared" si="68"/>
        <v>0</v>
      </c>
      <c r="G84" s="15">
        <f t="shared" si="68"/>
        <v>0</v>
      </c>
      <c r="H84" s="15">
        <f t="shared" si="68"/>
        <v>0</v>
      </c>
      <c r="I84" s="15">
        <f t="shared" si="68"/>
        <v>0</v>
      </c>
      <c r="J84" s="15">
        <f t="shared" si="68"/>
        <v>0</v>
      </c>
      <c r="K84" s="15">
        <f>K85+K99</f>
        <v>14646.5783577897</v>
      </c>
      <c r="L84" s="15">
        <f t="shared" si="68"/>
        <v>14646.5783577897</v>
      </c>
      <c r="M84" s="15">
        <f t="shared" si="68"/>
        <v>0</v>
      </c>
      <c r="N84" s="15">
        <f t="shared" si="68"/>
        <v>0</v>
      </c>
      <c r="O84" s="15">
        <f t="shared" si="68"/>
        <v>0</v>
      </c>
      <c r="P84" s="15">
        <f t="shared" si="68"/>
        <v>0</v>
      </c>
      <c r="Q84" s="15">
        <f t="shared" si="68"/>
        <v>0</v>
      </c>
      <c r="R84" s="15">
        <f t="shared" si="68"/>
        <v>0</v>
      </c>
      <c r="S84" s="15">
        <f t="shared" si="68"/>
        <v>19147.619680200001</v>
      </c>
      <c r="T84" s="15">
        <f t="shared" si="68"/>
        <v>19147.619680200001</v>
      </c>
      <c r="U84" s="15">
        <f t="shared" si="68"/>
        <v>0</v>
      </c>
      <c r="V84" s="15">
        <f t="shared" si="68"/>
        <v>0</v>
      </c>
      <c r="W84" s="15">
        <f t="shared" si="68"/>
        <v>0</v>
      </c>
      <c r="X84" s="15">
        <f t="shared" si="68"/>
        <v>0</v>
      </c>
      <c r="Y84" s="15">
        <f t="shared" si="68"/>
        <v>0</v>
      </c>
      <c r="Z84" s="15">
        <f t="shared" si="68"/>
        <v>0</v>
      </c>
      <c r="AA84" s="15">
        <f t="shared" si="68"/>
        <v>88960.188999999998</v>
      </c>
      <c r="AB84" s="15">
        <f t="shared" si="68"/>
        <v>88960.188999999998</v>
      </c>
      <c r="AC84" s="15">
        <f t="shared" si="68"/>
        <v>0</v>
      </c>
      <c r="AD84" s="15">
        <f t="shared" si="68"/>
        <v>0</v>
      </c>
      <c r="AE84" s="15">
        <f t="shared" si="68"/>
        <v>36020.5</v>
      </c>
      <c r="AF84" s="15">
        <f t="shared" si="68"/>
        <v>36020.5</v>
      </c>
      <c r="AG84" s="15">
        <f t="shared" si="68"/>
        <v>0</v>
      </c>
      <c r="AH84" s="15">
        <f t="shared" si="68"/>
        <v>0</v>
      </c>
      <c r="AI84" s="15">
        <f t="shared" ref="AI84:BB84" si="69">AI85+AI99</f>
        <v>54793.138679999996</v>
      </c>
      <c r="AJ84" s="15">
        <f t="shared" si="69"/>
        <v>54793.138679999996</v>
      </c>
      <c r="AK84" s="15">
        <f t="shared" si="69"/>
        <v>0</v>
      </c>
      <c r="AL84" s="15">
        <f t="shared" si="69"/>
        <v>0</v>
      </c>
      <c r="AM84" s="15">
        <f t="shared" si="69"/>
        <v>30</v>
      </c>
      <c r="AN84" s="15">
        <f t="shared" si="69"/>
        <v>30</v>
      </c>
      <c r="AO84" s="15">
        <f t="shared" si="69"/>
        <v>0</v>
      </c>
      <c r="AP84" s="15">
        <f t="shared" si="69"/>
        <v>0</v>
      </c>
      <c r="AQ84" s="15">
        <f t="shared" si="69"/>
        <v>17738.6227</v>
      </c>
      <c r="AR84" s="15">
        <f t="shared" si="69"/>
        <v>17738.6227</v>
      </c>
      <c r="AS84" s="15">
        <f t="shared" si="69"/>
        <v>0</v>
      </c>
      <c r="AT84" s="15">
        <f t="shared" si="69"/>
        <v>0</v>
      </c>
      <c r="AU84" s="15">
        <f t="shared" si="69"/>
        <v>35060.673951750003</v>
      </c>
      <c r="AV84" s="15">
        <f t="shared" si="69"/>
        <v>0</v>
      </c>
      <c r="AW84" s="15">
        <f t="shared" si="69"/>
        <v>0</v>
      </c>
      <c r="AX84" s="15">
        <f t="shared" si="69"/>
        <v>35060.673951750003</v>
      </c>
      <c r="AY84" s="15">
        <f t="shared" si="69"/>
        <v>0</v>
      </c>
      <c r="AZ84" s="15">
        <f t="shared" si="69"/>
        <v>0</v>
      </c>
      <c r="BA84" s="15">
        <f t="shared" si="69"/>
        <v>0</v>
      </c>
      <c r="BB84" s="15">
        <f t="shared" si="69"/>
        <v>0</v>
      </c>
    </row>
    <row r="85" spans="1:54">
      <c r="A85" s="8" t="s">
        <v>245</v>
      </c>
      <c r="B85" s="20">
        <v>0</v>
      </c>
      <c r="C85" s="1434">
        <f>SUM(C86:C98)</f>
        <v>39966.5520044</v>
      </c>
      <c r="D85" s="17">
        <f>SUM(D86:D98)</f>
        <v>39966.5520044</v>
      </c>
      <c r="E85" s="17">
        <f>SUM(E86:E98)</f>
        <v>0</v>
      </c>
      <c r="F85" s="17">
        <f>SUM(F86:F97)</f>
        <v>0</v>
      </c>
      <c r="G85" s="17">
        <f>SUM(G86:G98)</f>
        <v>0</v>
      </c>
      <c r="H85" s="17">
        <f>SUM(H86:H98)</f>
        <v>0</v>
      </c>
      <c r="I85" s="17">
        <f>SUM(I86:I98)</f>
        <v>0</v>
      </c>
      <c r="J85" s="17">
        <f>SUM(J86:J97)</f>
        <v>0</v>
      </c>
      <c r="K85" s="17">
        <f>SUM(K86:K98)</f>
        <v>14646.5783577897</v>
      </c>
      <c r="L85" s="17">
        <f>SUM(L86:L98)</f>
        <v>14646.5783577897</v>
      </c>
      <c r="M85" s="17">
        <f>SUM(M86:M98)</f>
        <v>0</v>
      </c>
      <c r="N85" s="17">
        <f>SUM(N86:N97)</f>
        <v>0</v>
      </c>
      <c r="O85" s="17">
        <f>SUM(O86:O98)</f>
        <v>0</v>
      </c>
      <c r="P85" s="17">
        <f>SUM(P86:P98)</f>
        <v>0</v>
      </c>
      <c r="Q85" s="17">
        <f>SUM(Q86:Q98)</f>
        <v>0</v>
      </c>
      <c r="R85" s="17">
        <f>SUM(R86:R97)</f>
        <v>0</v>
      </c>
      <c r="S85" s="17">
        <f>SUM(S86:S98)</f>
        <v>19147.619680200001</v>
      </c>
      <c r="T85" s="17">
        <f>SUM(T86:T98)</f>
        <v>19147.619680200001</v>
      </c>
      <c r="U85" s="17">
        <f>SUM(U86:U98)</f>
        <v>0</v>
      </c>
      <c r="V85" s="17">
        <f>SUM(V86:V97)</f>
        <v>0</v>
      </c>
      <c r="W85" s="17">
        <f>SUM(W86:W98)</f>
        <v>0</v>
      </c>
      <c r="X85" s="17">
        <f>SUM(X86:X98)</f>
        <v>0</v>
      </c>
      <c r="Y85" s="17">
        <f>SUM(Y86:Y98)</f>
        <v>0</v>
      </c>
      <c r="Z85" s="17">
        <f>SUM(Z86:Z97)</f>
        <v>0</v>
      </c>
      <c r="AA85" s="17">
        <f>SUM(AA86:AA98)</f>
        <v>88960.188999999998</v>
      </c>
      <c r="AB85" s="17">
        <f>SUM(AB86:AB98)</f>
        <v>88960.188999999998</v>
      </c>
      <c r="AC85" s="17">
        <f>SUM(AC86:AC98)</f>
        <v>0</v>
      </c>
      <c r="AD85" s="17">
        <f>SUM(AD86:AD97)</f>
        <v>0</v>
      </c>
      <c r="AE85" s="17">
        <f>SUM(AE86:AE98)</f>
        <v>0</v>
      </c>
      <c r="AF85" s="17">
        <f>SUM(AF86:AF98)</f>
        <v>0</v>
      </c>
      <c r="AG85" s="17">
        <f>SUM(AG86:AG98)</f>
        <v>0</v>
      </c>
      <c r="AH85" s="17">
        <f>SUM(AH86:AH97)</f>
        <v>0</v>
      </c>
      <c r="AI85" s="17">
        <f>SUM(AI86:AI98)</f>
        <v>54793.138679999996</v>
      </c>
      <c r="AJ85" s="17">
        <f>SUM(AJ86:AJ98)</f>
        <v>54793.138679999996</v>
      </c>
      <c r="AK85" s="17">
        <f>SUM(AK86:AK98)</f>
        <v>0</v>
      </c>
      <c r="AL85" s="17">
        <f>SUM(AL86:AL97)</f>
        <v>0</v>
      </c>
      <c r="AM85" s="17">
        <f>SUM(AM86:AM98)</f>
        <v>0</v>
      </c>
      <c r="AN85" s="17">
        <f>SUM(AN86:AN98)</f>
        <v>0</v>
      </c>
      <c r="AO85" s="17">
        <f>SUM(AO86:AO98)</f>
        <v>0</v>
      </c>
      <c r="AP85" s="17">
        <f>SUM(AP86:AP97)</f>
        <v>0</v>
      </c>
      <c r="AQ85" s="17">
        <f>SUM(AQ86:AQ98)</f>
        <v>17738.6227</v>
      </c>
      <c r="AR85" s="17">
        <f>SUM(AR86:AR98)</f>
        <v>17738.6227</v>
      </c>
      <c r="AS85" s="17">
        <f>SUM(AS86:AS98)</f>
        <v>0</v>
      </c>
      <c r="AT85" s="17">
        <f>SUM(AT86:AT97)</f>
        <v>0</v>
      </c>
      <c r="AU85" s="17">
        <f>SUM(AU86:AU98)</f>
        <v>35060.673951750003</v>
      </c>
      <c r="AV85" s="17">
        <f>SUM(AV86:AV98)</f>
        <v>0</v>
      </c>
      <c r="AW85" s="17">
        <f>SUM(AW86:AW98)</f>
        <v>0</v>
      </c>
      <c r="AX85" s="17">
        <f>SUM(AX86:AX97)</f>
        <v>35060.673951750003</v>
      </c>
      <c r="AY85" s="17">
        <f>SUM(AY86:AY98)</f>
        <v>0</v>
      </c>
      <c r="AZ85" s="17">
        <f>SUM(AZ86:AZ98)</f>
        <v>0</v>
      </c>
      <c r="BA85" s="17">
        <f>SUM(BA86:BA98)</f>
        <v>0</v>
      </c>
      <c r="BB85" s="664">
        <f>SUM(BB86:BB97)</f>
        <v>0</v>
      </c>
    </row>
    <row r="86" spans="1:54">
      <c r="A86" s="3" t="s">
        <v>246</v>
      </c>
      <c r="B86" s="17"/>
      <c r="C86" s="1434"/>
      <c r="D86" s="1434"/>
      <c r="E86" s="17"/>
      <c r="F86" s="661">
        <f>C86-D86</f>
        <v>0</v>
      </c>
      <c r="G86" s="1434">
        <v>0</v>
      </c>
      <c r="H86" s="1434"/>
      <c r="I86" s="17"/>
      <c r="J86" s="661">
        <f>G86-H86</f>
        <v>0</v>
      </c>
      <c r="K86" s="17">
        <v>14646.5783577897</v>
      </c>
      <c r="L86" s="17">
        <v>14646.5783577897</v>
      </c>
      <c r="M86" s="17"/>
      <c r="N86" s="661">
        <f>K86-L86</f>
        <v>0</v>
      </c>
      <c r="O86" s="17"/>
      <c r="P86" s="17"/>
      <c r="Q86" s="17"/>
      <c r="R86" s="661">
        <f>O86-P86</f>
        <v>0</v>
      </c>
      <c r="S86" s="17"/>
      <c r="T86" s="17"/>
      <c r="U86" s="17"/>
      <c r="V86" s="661">
        <f>S86-T86</f>
        <v>0</v>
      </c>
      <c r="W86" s="17"/>
      <c r="X86" s="17"/>
      <c r="Y86" s="17"/>
      <c r="Z86" s="661">
        <f>W86-X86</f>
        <v>0</v>
      </c>
      <c r="AA86" s="17"/>
      <c r="AB86" s="17"/>
      <c r="AC86" s="17"/>
      <c r="AD86" s="661">
        <f>AA86-AB86</f>
        <v>0</v>
      </c>
      <c r="AE86" s="17"/>
      <c r="AF86" s="17"/>
      <c r="AG86" s="17"/>
      <c r="AH86" s="661">
        <f>AE86-AF86</f>
        <v>0</v>
      </c>
      <c r="AI86" s="17">
        <v>54793.138679999996</v>
      </c>
      <c r="AJ86" s="17">
        <v>54793.138679999996</v>
      </c>
      <c r="AK86" s="17"/>
      <c r="AL86" s="661">
        <f>AI86-AJ86</f>
        <v>0</v>
      </c>
      <c r="AM86" s="18"/>
      <c r="AN86" s="18"/>
      <c r="AO86" s="17"/>
      <c r="AP86" s="661">
        <f>AM86-AN86</f>
        <v>0</v>
      </c>
      <c r="AQ86" s="17"/>
      <c r="AR86" s="17"/>
      <c r="AS86" s="17"/>
      <c r="AT86" s="661">
        <f>AQ86-AR86</f>
        <v>0</v>
      </c>
      <c r="AU86" s="17"/>
      <c r="AV86" s="17"/>
      <c r="AW86" s="17"/>
      <c r="AX86" s="661">
        <f>AU86-AV86</f>
        <v>0</v>
      </c>
      <c r="AY86" s="17"/>
      <c r="AZ86" s="17"/>
      <c r="BA86" s="17"/>
      <c r="BB86" s="661">
        <f>AY86-AZ86</f>
        <v>0</v>
      </c>
    </row>
    <row r="87" spans="1:54">
      <c r="A87" s="14" t="s">
        <v>247</v>
      </c>
      <c r="B87" s="18"/>
      <c r="C87" s="1434">
        <v>39966.5520044</v>
      </c>
      <c r="D87" s="1434">
        <v>39966.5520044</v>
      </c>
      <c r="E87" s="18"/>
      <c r="F87" s="661">
        <f t="shared" ref="F87:F94" si="70">C87-D87</f>
        <v>0</v>
      </c>
      <c r="G87" s="1434">
        <v>0</v>
      </c>
      <c r="H87" s="1434"/>
      <c r="I87" s="18"/>
      <c r="J87" s="661">
        <f t="shared" ref="J87:J94" si="71">G87-H87</f>
        <v>0</v>
      </c>
      <c r="K87" s="18"/>
      <c r="L87" s="18"/>
      <c r="M87" s="18"/>
      <c r="N87" s="661">
        <f t="shared" ref="N87:N94" si="72">K87-L87</f>
        <v>0</v>
      </c>
      <c r="O87" s="18"/>
      <c r="P87" s="18"/>
      <c r="Q87" s="18"/>
      <c r="R87" s="661">
        <f t="shared" ref="R87:R94" si="73">O87-P87</f>
        <v>0</v>
      </c>
      <c r="S87" s="18"/>
      <c r="T87" s="18"/>
      <c r="U87" s="18"/>
      <c r="V87" s="661">
        <f t="shared" ref="V87:V94" si="74">S87-T87</f>
        <v>0</v>
      </c>
      <c r="W87" s="18"/>
      <c r="X87" s="18"/>
      <c r="Y87" s="18"/>
      <c r="Z87" s="661">
        <f t="shared" ref="Z87:Z94" si="75">W87-X87</f>
        <v>0</v>
      </c>
      <c r="AA87" s="18">
        <v>55302.288999999997</v>
      </c>
      <c r="AB87" s="18">
        <v>55302.288999999997</v>
      </c>
      <c r="AC87" s="18"/>
      <c r="AD87" s="661">
        <f t="shared" ref="AD87:AD94" si="76">AA87-AB87</f>
        <v>0</v>
      </c>
      <c r="AE87" s="18"/>
      <c r="AF87" s="18"/>
      <c r="AG87" s="18"/>
      <c r="AH87" s="661">
        <f t="shared" ref="AH87:AH94" si="77">AE87-AF87</f>
        <v>0</v>
      </c>
      <c r="AI87" s="1577"/>
      <c r="AJ87" s="1577"/>
      <c r="AK87" s="18"/>
      <c r="AL87" s="661">
        <f t="shared" ref="AL87:AL94" si="78">AI87-AJ87</f>
        <v>0</v>
      </c>
      <c r="AM87" s="18"/>
      <c r="AN87" s="18"/>
      <c r="AO87" s="18"/>
      <c r="AP87" s="661">
        <f t="shared" ref="AP87:AP94" si="79">AM87-AN87</f>
        <v>0</v>
      </c>
      <c r="AQ87" s="18"/>
      <c r="AR87" s="18"/>
      <c r="AS87" s="18"/>
      <c r="AT87" s="661">
        <f t="shared" ref="AT87:AT94" si="80">AQ87-AR87</f>
        <v>0</v>
      </c>
      <c r="AU87" s="18"/>
      <c r="AV87" s="18"/>
      <c r="AW87" s="18"/>
      <c r="AX87" s="661">
        <f t="shared" ref="AX87:AX94" si="81">AU87-AV87</f>
        <v>0</v>
      </c>
      <c r="AY87" s="18"/>
      <c r="AZ87" s="18"/>
      <c r="BA87" s="18"/>
      <c r="BB87" s="661">
        <f t="shared" ref="BB87:BB94" si="82">AY87-AZ87</f>
        <v>0</v>
      </c>
    </row>
    <row r="88" spans="1:54">
      <c r="A88" s="3" t="s">
        <v>1702</v>
      </c>
      <c r="B88" s="17"/>
      <c r="C88" s="17"/>
      <c r="D88" s="17"/>
      <c r="E88" s="17"/>
      <c r="F88" s="661">
        <f t="shared" si="70"/>
        <v>0</v>
      </c>
      <c r="G88" s="17"/>
      <c r="H88" s="17"/>
      <c r="I88" s="17"/>
      <c r="J88" s="661">
        <f t="shared" si="71"/>
        <v>0</v>
      </c>
      <c r="K88" s="17"/>
      <c r="L88" s="17"/>
      <c r="M88" s="17"/>
      <c r="N88" s="661">
        <f t="shared" si="72"/>
        <v>0</v>
      </c>
      <c r="O88" s="17"/>
      <c r="P88" s="17"/>
      <c r="Q88" s="17"/>
      <c r="R88" s="661">
        <f t="shared" si="73"/>
        <v>0</v>
      </c>
      <c r="S88" s="17"/>
      <c r="T88" s="17"/>
      <c r="U88" s="17"/>
      <c r="V88" s="661">
        <f t="shared" si="74"/>
        <v>0</v>
      </c>
      <c r="W88" s="17"/>
      <c r="X88" s="17"/>
      <c r="Y88" s="17"/>
      <c r="Z88" s="661">
        <f t="shared" si="75"/>
        <v>0</v>
      </c>
      <c r="AA88" s="17">
        <v>33657.9</v>
      </c>
      <c r="AB88" s="17">
        <v>33657.9</v>
      </c>
      <c r="AC88" s="17"/>
      <c r="AD88" s="661">
        <f t="shared" si="76"/>
        <v>0</v>
      </c>
      <c r="AE88" s="17"/>
      <c r="AF88" s="17"/>
      <c r="AG88" s="17"/>
      <c r="AH88" s="661">
        <f t="shared" si="77"/>
        <v>0</v>
      </c>
      <c r="AI88" s="17"/>
      <c r="AJ88" s="17"/>
      <c r="AK88" s="17"/>
      <c r="AL88" s="661">
        <f t="shared" si="78"/>
        <v>0</v>
      </c>
      <c r="AM88" s="17"/>
      <c r="AN88" s="17"/>
      <c r="AO88" s="17"/>
      <c r="AP88" s="661">
        <f t="shared" si="79"/>
        <v>0</v>
      </c>
      <c r="AQ88" s="17"/>
      <c r="AR88" s="17"/>
      <c r="AS88" s="17"/>
      <c r="AT88" s="661">
        <f t="shared" si="80"/>
        <v>0</v>
      </c>
      <c r="AU88" s="17">
        <v>35060.673951750003</v>
      </c>
      <c r="AV88" s="17"/>
      <c r="AW88" s="17"/>
      <c r="AX88" s="661">
        <f t="shared" si="81"/>
        <v>35060.673951750003</v>
      </c>
      <c r="AY88" s="17"/>
      <c r="AZ88" s="17"/>
      <c r="BA88" s="17"/>
      <c r="BB88" s="661">
        <f t="shared" si="82"/>
        <v>0</v>
      </c>
    </row>
    <row r="89" spans="1:54">
      <c r="A89" s="3" t="s">
        <v>1703</v>
      </c>
      <c r="B89" s="17"/>
      <c r="C89" s="17"/>
      <c r="D89" s="17"/>
      <c r="E89" s="17"/>
      <c r="F89" s="661">
        <f t="shared" si="70"/>
        <v>0</v>
      </c>
      <c r="G89" s="17"/>
      <c r="H89" s="17"/>
      <c r="I89" s="17"/>
      <c r="J89" s="661">
        <f t="shared" si="71"/>
        <v>0</v>
      </c>
      <c r="M89" s="17"/>
      <c r="N89" s="661">
        <f t="shared" si="72"/>
        <v>0</v>
      </c>
      <c r="O89" s="17"/>
      <c r="P89" s="17"/>
      <c r="Q89" s="17"/>
      <c r="R89" s="661">
        <f t="shared" si="73"/>
        <v>0</v>
      </c>
      <c r="S89" s="17"/>
      <c r="T89" s="17"/>
      <c r="U89" s="17"/>
      <c r="V89" s="661">
        <f t="shared" si="74"/>
        <v>0</v>
      </c>
      <c r="W89" s="17"/>
      <c r="X89" s="17"/>
      <c r="Y89" s="17"/>
      <c r="Z89" s="661">
        <f t="shared" si="75"/>
        <v>0</v>
      </c>
      <c r="AA89" s="17"/>
      <c r="AB89" s="17"/>
      <c r="AC89" s="17"/>
      <c r="AD89" s="661">
        <f t="shared" si="76"/>
        <v>0</v>
      </c>
      <c r="AE89" s="17"/>
      <c r="AF89" s="1571"/>
      <c r="AG89" s="17"/>
      <c r="AH89" s="661">
        <f t="shared" si="77"/>
        <v>0</v>
      </c>
      <c r="AI89" s="17"/>
      <c r="AJ89" s="17"/>
      <c r="AK89" s="17"/>
      <c r="AL89" s="661">
        <f t="shared" si="78"/>
        <v>0</v>
      </c>
      <c r="AM89" s="17"/>
      <c r="AN89" s="17"/>
      <c r="AO89" s="17"/>
      <c r="AP89" s="661">
        <f t="shared" si="79"/>
        <v>0</v>
      </c>
      <c r="AQ89" s="17"/>
      <c r="AR89" s="17"/>
      <c r="AS89" s="17"/>
      <c r="AT89" s="661">
        <f t="shared" si="80"/>
        <v>0</v>
      </c>
      <c r="AU89" s="17"/>
      <c r="AV89" s="17"/>
      <c r="AW89" s="17"/>
      <c r="AX89" s="661">
        <f t="shared" si="81"/>
        <v>0</v>
      </c>
      <c r="AY89" s="17"/>
      <c r="AZ89" s="17"/>
      <c r="BA89" s="17"/>
      <c r="BB89" s="661">
        <f t="shared" si="82"/>
        <v>0</v>
      </c>
    </row>
    <row r="90" spans="1:54">
      <c r="A90" s="3" t="s">
        <v>1710</v>
      </c>
      <c r="B90" s="17"/>
      <c r="C90" s="17"/>
      <c r="D90" s="17"/>
      <c r="E90" s="17"/>
      <c r="F90" s="661">
        <f t="shared" si="70"/>
        <v>0</v>
      </c>
      <c r="G90" s="17"/>
      <c r="H90" s="17"/>
      <c r="I90" s="17"/>
      <c r="J90" s="661">
        <f t="shared" si="71"/>
        <v>0</v>
      </c>
      <c r="K90" s="17"/>
      <c r="L90" s="17"/>
      <c r="M90" s="17"/>
      <c r="N90" s="661">
        <f t="shared" si="72"/>
        <v>0</v>
      </c>
      <c r="O90" s="17"/>
      <c r="P90" s="17"/>
      <c r="Q90" s="17"/>
      <c r="R90" s="661">
        <f t="shared" si="73"/>
        <v>0</v>
      </c>
      <c r="S90" s="17"/>
      <c r="T90" s="17"/>
      <c r="U90" s="17"/>
      <c r="V90" s="661">
        <f t="shared" si="74"/>
        <v>0</v>
      </c>
      <c r="W90" s="17"/>
      <c r="X90" s="17"/>
      <c r="Y90" s="17"/>
      <c r="Z90" s="661">
        <f t="shared" si="75"/>
        <v>0</v>
      </c>
      <c r="AA90" s="17"/>
      <c r="AB90" s="17"/>
      <c r="AC90" s="17"/>
      <c r="AD90" s="661">
        <f t="shared" si="76"/>
        <v>0</v>
      </c>
      <c r="AE90" s="17"/>
      <c r="AF90" s="17"/>
      <c r="AG90" s="17"/>
      <c r="AH90" s="661">
        <f t="shared" si="77"/>
        <v>0</v>
      </c>
      <c r="AI90" s="17"/>
      <c r="AJ90" s="17"/>
      <c r="AK90" s="17"/>
      <c r="AL90" s="661">
        <f t="shared" si="78"/>
        <v>0</v>
      </c>
      <c r="AM90" s="17"/>
      <c r="AN90" s="17"/>
      <c r="AO90" s="17"/>
      <c r="AP90" s="661">
        <f t="shared" si="79"/>
        <v>0</v>
      </c>
      <c r="AQ90" s="17"/>
      <c r="AR90" s="17"/>
      <c r="AS90" s="17"/>
      <c r="AT90" s="661">
        <f t="shared" si="80"/>
        <v>0</v>
      </c>
      <c r="AU90" s="17"/>
      <c r="AV90" s="17"/>
      <c r="AW90" s="17"/>
      <c r="AX90" s="661">
        <f t="shared" si="81"/>
        <v>0</v>
      </c>
      <c r="AY90" s="17"/>
      <c r="AZ90" s="17"/>
      <c r="BA90" s="17"/>
      <c r="BB90" s="661">
        <f t="shared" si="82"/>
        <v>0</v>
      </c>
    </row>
    <row r="91" spans="1:54">
      <c r="A91" s="3" t="s">
        <v>1711</v>
      </c>
      <c r="B91" s="17"/>
      <c r="C91" s="17"/>
      <c r="D91" s="17"/>
      <c r="E91" s="17"/>
      <c r="F91" s="661">
        <f t="shared" si="70"/>
        <v>0</v>
      </c>
      <c r="G91" s="17"/>
      <c r="H91" s="17"/>
      <c r="I91" s="17"/>
      <c r="J91" s="661">
        <f t="shared" si="71"/>
        <v>0</v>
      </c>
      <c r="K91" s="17"/>
      <c r="L91" s="17"/>
      <c r="M91" s="17"/>
      <c r="N91" s="661">
        <f t="shared" si="72"/>
        <v>0</v>
      </c>
      <c r="O91" s="17"/>
      <c r="P91" s="17"/>
      <c r="Q91" s="17"/>
      <c r="R91" s="661">
        <f t="shared" si="73"/>
        <v>0</v>
      </c>
      <c r="S91" s="17"/>
      <c r="T91" s="17"/>
      <c r="U91" s="17"/>
      <c r="V91" s="661">
        <f t="shared" si="74"/>
        <v>0</v>
      </c>
      <c r="W91" s="17"/>
      <c r="X91" s="17"/>
      <c r="Y91" s="17"/>
      <c r="Z91" s="661">
        <f t="shared" si="75"/>
        <v>0</v>
      </c>
      <c r="AA91" s="17"/>
      <c r="AB91" s="17"/>
      <c r="AC91" s="17"/>
      <c r="AD91" s="661">
        <f t="shared" si="76"/>
        <v>0</v>
      </c>
      <c r="AE91" s="17"/>
      <c r="AF91" s="17"/>
      <c r="AG91" s="17"/>
      <c r="AH91" s="661">
        <f t="shared" si="77"/>
        <v>0</v>
      </c>
      <c r="AI91" s="17"/>
      <c r="AJ91" s="17"/>
      <c r="AK91" s="17"/>
      <c r="AL91" s="661">
        <f t="shared" si="78"/>
        <v>0</v>
      </c>
      <c r="AM91" s="17"/>
      <c r="AN91" s="17"/>
      <c r="AO91" s="17"/>
      <c r="AP91" s="661">
        <f t="shared" si="79"/>
        <v>0</v>
      </c>
      <c r="AQ91" s="864"/>
      <c r="AR91" s="864"/>
      <c r="AS91" s="17"/>
      <c r="AT91" s="661">
        <f t="shared" si="80"/>
        <v>0</v>
      </c>
      <c r="AU91" s="17"/>
      <c r="AV91" s="17"/>
      <c r="AW91" s="17"/>
      <c r="AX91" s="661">
        <f t="shared" si="81"/>
        <v>0</v>
      </c>
      <c r="AY91" s="17"/>
      <c r="AZ91" s="17"/>
      <c r="BA91" s="17"/>
      <c r="BB91" s="661">
        <f t="shared" si="82"/>
        <v>0</v>
      </c>
    </row>
    <row r="92" spans="1:54">
      <c r="A92" s="3" t="s">
        <v>248</v>
      </c>
      <c r="B92" s="17"/>
      <c r="C92" s="17"/>
      <c r="D92" s="17"/>
      <c r="E92" s="17"/>
      <c r="F92" s="661">
        <f t="shared" si="70"/>
        <v>0</v>
      </c>
      <c r="G92" s="17"/>
      <c r="H92" s="17"/>
      <c r="I92" s="17"/>
      <c r="J92" s="661">
        <f t="shared" si="71"/>
        <v>0</v>
      </c>
      <c r="K92" s="17"/>
      <c r="L92" s="17"/>
      <c r="M92" s="17"/>
      <c r="N92" s="661">
        <f t="shared" si="72"/>
        <v>0</v>
      </c>
      <c r="O92" s="17"/>
      <c r="P92" s="17"/>
      <c r="Q92" s="17"/>
      <c r="R92" s="661">
        <f t="shared" si="73"/>
        <v>0</v>
      </c>
      <c r="S92" s="17"/>
      <c r="T92" s="17"/>
      <c r="U92" s="17"/>
      <c r="V92" s="661">
        <f t="shared" si="74"/>
        <v>0</v>
      </c>
      <c r="W92" s="17"/>
      <c r="X92" s="17"/>
      <c r="Y92" s="17"/>
      <c r="Z92" s="661">
        <f t="shared" si="75"/>
        <v>0</v>
      </c>
      <c r="AA92" s="17"/>
      <c r="AB92" s="17"/>
      <c r="AC92" s="17"/>
      <c r="AD92" s="661">
        <f t="shared" si="76"/>
        <v>0</v>
      </c>
      <c r="AE92" s="17"/>
      <c r="AF92" s="17"/>
      <c r="AG92" s="17"/>
      <c r="AH92" s="661">
        <f t="shared" si="77"/>
        <v>0</v>
      </c>
      <c r="AI92" s="17"/>
      <c r="AJ92" s="17"/>
      <c r="AK92" s="17"/>
      <c r="AL92" s="661">
        <f t="shared" si="78"/>
        <v>0</v>
      </c>
      <c r="AM92" s="17"/>
      <c r="AN92" s="17"/>
      <c r="AO92" s="17"/>
      <c r="AP92" s="661">
        <f t="shared" si="79"/>
        <v>0</v>
      </c>
      <c r="AQ92" s="17"/>
      <c r="AR92" s="17"/>
      <c r="AS92" s="17"/>
      <c r="AT92" s="661">
        <f t="shared" si="80"/>
        <v>0</v>
      </c>
      <c r="AU92" s="17"/>
      <c r="AV92" s="17"/>
      <c r="AW92" s="17"/>
      <c r="AX92" s="661">
        <f t="shared" si="81"/>
        <v>0</v>
      </c>
      <c r="AY92" s="17"/>
      <c r="AZ92" s="17"/>
      <c r="BA92" s="17"/>
      <c r="BB92" s="661">
        <f t="shared" si="82"/>
        <v>0</v>
      </c>
    </row>
    <row r="93" spans="1:54">
      <c r="A93" s="3" t="s">
        <v>1703</v>
      </c>
      <c r="B93" s="17"/>
      <c r="C93" s="17"/>
      <c r="D93" s="17"/>
      <c r="E93" s="17"/>
      <c r="F93" s="661">
        <f t="shared" si="70"/>
        <v>0</v>
      </c>
      <c r="G93" s="17"/>
      <c r="H93" s="17"/>
      <c r="I93" s="17"/>
      <c r="J93" s="661">
        <f t="shared" si="71"/>
        <v>0</v>
      </c>
      <c r="K93" s="17"/>
      <c r="L93" s="17"/>
      <c r="M93" s="17"/>
      <c r="N93" s="661">
        <f t="shared" si="72"/>
        <v>0</v>
      </c>
      <c r="O93" s="17"/>
      <c r="P93" s="17"/>
      <c r="Q93" s="17"/>
      <c r="R93" s="661">
        <f t="shared" si="73"/>
        <v>0</v>
      </c>
      <c r="S93" s="17"/>
      <c r="T93" s="17"/>
      <c r="U93" s="17"/>
      <c r="V93" s="661">
        <f t="shared" si="74"/>
        <v>0</v>
      </c>
      <c r="W93" s="17"/>
      <c r="X93" s="17"/>
      <c r="Y93" s="17"/>
      <c r="Z93" s="661">
        <f t="shared" si="75"/>
        <v>0</v>
      </c>
      <c r="AA93" s="17"/>
      <c r="AB93" s="17"/>
      <c r="AC93" s="17"/>
      <c r="AD93" s="661">
        <f t="shared" si="76"/>
        <v>0</v>
      </c>
      <c r="AE93" s="17"/>
      <c r="AF93" s="17"/>
      <c r="AG93" s="17"/>
      <c r="AH93" s="661">
        <f t="shared" si="77"/>
        <v>0</v>
      </c>
      <c r="AI93" s="17"/>
      <c r="AJ93" s="17"/>
      <c r="AK93" s="17"/>
      <c r="AL93" s="661">
        <f t="shared" si="78"/>
        <v>0</v>
      </c>
      <c r="AM93" s="17"/>
      <c r="AN93" s="17"/>
      <c r="AO93" s="17"/>
      <c r="AP93" s="661">
        <f t="shared" si="79"/>
        <v>0</v>
      </c>
      <c r="AQ93" s="17"/>
      <c r="AR93" s="17"/>
      <c r="AS93" s="17"/>
      <c r="AT93" s="661">
        <f t="shared" si="80"/>
        <v>0</v>
      </c>
      <c r="AU93" s="17"/>
      <c r="AV93" s="17"/>
      <c r="AW93" s="17"/>
      <c r="AX93" s="661">
        <f t="shared" si="81"/>
        <v>0</v>
      </c>
      <c r="AY93" s="17"/>
      <c r="AZ93" s="17"/>
      <c r="BA93" s="17"/>
      <c r="BB93" s="661">
        <f t="shared" si="82"/>
        <v>0</v>
      </c>
    </row>
    <row r="94" spans="1:54">
      <c r="A94" s="3" t="s">
        <v>1696</v>
      </c>
      <c r="B94" s="17"/>
      <c r="C94" s="17"/>
      <c r="D94" s="17"/>
      <c r="E94" s="17"/>
      <c r="F94" s="661">
        <f t="shared" si="70"/>
        <v>0</v>
      </c>
      <c r="G94" s="17"/>
      <c r="H94" s="17"/>
      <c r="I94" s="17"/>
      <c r="J94" s="661">
        <f t="shared" si="71"/>
        <v>0</v>
      </c>
      <c r="K94" s="17"/>
      <c r="L94" s="17"/>
      <c r="M94" s="17"/>
      <c r="N94" s="661">
        <f t="shared" si="72"/>
        <v>0</v>
      </c>
      <c r="O94" s="17"/>
      <c r="P94" s="17"/>
      <c r="Q94" s="17"/>
      <c r="R94" s="661">
        <f t="shared" si="73"/>
        <v>0</v>
      </c>
      <c r="S94" s="17"/>
      <c r="T94" s="17"/>
      <c r="U94" s="17"/>
      <c r="V94" s="661">
        <f t="shared" si="74"/>
        <v>0</v>
      </c>
      <c r="W94" s="17"/>
      <c r="X94" s="17"/>
      <c r="Y94" s="17"/>
      <c r="Z94" s="661">
        <f t="shared" si="75"/>
        <v>0</v>
      </c>
      <c r="AA94" s="17"/>
      <c r="AB94" s="17"/>
      <c r="AC94" s="17"/>
      <c r="AD94" s="661">
        <f t="shared" si="76"/>
        <v>0</v>
      </c>
      <c r="AE94" s="17"/>
      <c r="AF94" s="17"/>
      <c r="AG94" s="17"/>
      <c r="AH94" s="661">
        <f t="shared" si="77"/>
        <v>0</v>
      </c>
      <c r="AI94" s="17"/>
      <c r="AJ94" s="17"/>
      <c r="AK94" s="17"/>
      <c r="AL94" s="661">
        <f t="shared" si="78"/>
        <v>0</v>
      </c>
      <c r="AM94" s="17"/>
      <c r="AN94" s="17"/>
      <c r="AO94" s="17"/>
      <c r="AP94" s="661">
        <f t="shared" si="79"/>
        <v>0</v>
      </c>
      <c r="AQ94" s="17"/>
      <c r="AR94" s="17"/>
      <c r="AS94" s="17"/>
      <c r="AT94" s="661">
        <f t="shared" si="80"/>
        <v>0</v>
      </c>
      <c r="AU94" s="17"/>
      <c r="AV94" s="17"/>
      <c r="AW94" s="17"/>
      <c r="AX94" s="661">
        <f t="shared" si="81"/>
        <v>0</v>
      </c>
      <c r="AY94" s="17"/>
      <c r="AZ94" s="17"/>
      <c r="BA94" s="17"/>
      <c r="BB94" s="661">
        <f t="shared" si="82"/>
        <v>0</v>
      </c>
    </row>
    <row r="95" spans="1:54" ht="15">
      <c r="A95" s="885" t="s">
        <v>2857</v>
      </c>
      <c r="B95" s="17"/>
      <c r="C95" s="17"/>
      <c r="D95" s="17"/>
      <c r="E95" s="17"/>
      <c r="F95" s="661">
        <f>C95-D95</f>
        <v>0</v>
      </c>
      <c r="G95" s="17"/>
      <c r="H95" s="17"/>
      <c r="I95" s="17"/>
      <c r="J95" s="661">
        <f>G95-H95</f>
        <v>0</v>
      </c>
      <c r="K95" s="17"/>
      <c r="L95" s="17"/>
      <c r="M95" s="17"/>
      <c r="N95" s="661">
        <f>K95-L95</f>
        <v>0</v>
      </c>
      <c r="O95" s="17"/>
      <c r="P95" s="17"/>
      <c r="Q95" s="17"/>
      <c r="R95" s="661">
        <f>O95-P95</f>
        <v>0</v>
      </c>
      <c r="S95" s="17"/>
      <c r="T95" s="17"/>
      <c r="U95" s="17"/>
      <c r="V95" s="661">
        <f>S95-T95</f>
        <v>0</v>
      </c>
      <c r="W95" s="864"/>
      <c r="X95" s="864"/>
      <c r="Y95" s="17"/>
      <c r="Z95" s="661">
        <f>W95-X95</f>
        <v>0</v>
      </c>
      <c r="AA95" s="17"/>
      <c r="AB95" s="17"/>
      <c r="AC95" s="17"/>
      <c r="AD95" s="661">
        <f>AA95-AB95</f>
        <v>0</v>
      </c>
      <c r="AE95" s="17"/>
      <c r="AF95" s="17"/>
      <c r="AG95" s="17"/>
      <c r="AH95" s="661">
        <f>AE95-AF95</f>
        <v>0</v>
      </c>
      <c r="AI95" s="17"/>
      <c r="AJ95" s="17"/>
      <c r="AK95" s="17"/>
      <c r="AL95" s="661">
        <f>AI95-AJ95</f>
        <v>0</v>
      </c>
      <c r="AM95" s="1542"/>
      <c r="AN95" s="1542"/>
      <c r="AO95" s="17"/>
      <c r="AP95" s="661">
        <f>AM95-AN95</f>
        <v>0</v>
      </c>
      <c r="AQ95" s="17"/>
      <c r="AR95" s="17"/>
      <c r="AS95" s="17"/>
      <c r="AT95" s="661">
        <f>AQ95-AR95</f>
        <v>0</v>
      </c>
      <c r="AU95" s="17"/>
      <c r="AV95" s="17"/>
      <c r="AW95" s="17"/>
      <c r="AX95" s="661">
        <f>AU95-AV95</f>
        <v>0</v>
      </c>
      <c r="AY95" s="17"/>
      <c r="AZ95" s="17"/>
      <c r="BA95" s="17"/>
      <c r="BB95" s="661">
        <f>AY95-AZ95</f>
        <v>0</v>
      </c>
    </row>
    <row r="96" spans="1:54" ht="15">
      <c r="A96" s="885" t="s">
        <v>2938</v>
      </c>
      <c r="B96" s="17"/>
      <c r="C96" s="17"/>
      <c r="D96" s="17"/>
      <c r="E96" s="17"/>
      <c r="F96" s="661">
        <f>C96-D96</f>
        <v>0</v>
      </c>
      <c r="G96" s="17"/>
      <c r="H96" s="17"/>
      <c r="I96" s="17"/>
      <c r="J96" s="661">
        <f>G96-H96</f>
        <v>0</v>
      </c>
      <c r="K96" s="17"/>
      <c r="L96" s="17"/>
      <c r="M96" s="17"/>
      <c r="N96" s="661">
        <f>K96-L96</f>
        <v>0</v>
      </c>
      <c r="O96" s="17"/>
      <c r="P96" s="17"/>
      <c r="Q96" s="17"/>
      <c r="R96" s="661">
        <f>O96-P96</f>
        <v>0</v>
      </c>
      <c r="S96" s="1594">
        <v>19147.619680200001</v>
      </c>
      <c r="T96" s="1594">
        <v>19147.619680200001</v>
      </c>
      <c r="U96" s="17"/>
      <c r="V96" s="661">
        <f>S96-T96</f>
        <v>0</v>
      </c>
      <c r="W96" s="1496"/>
      <c r="X96" s="1496"/>
      <c r="Y96" s="17"/>
      <c r="Z96" s="661">
        <f>W96-X96</f>
        <v>0</v>
      </c>
      <c r="AA96" s="17"/>
      <c r="AB96" s="17"/>
      <c r="AC96" s="17"/>
      <c r="AD96" s="661">
        <f>AA96-AB96</f>
        <v>0</v>
      </c>
      <c r="AE96" s="17"/>
      <c r="AF96" s="17"/>
      <c r="AG96" s="17"/>
      <c r="AH96" s="661">
        <f>AE96-AF96</f>
        <v>0</v>
      </c>
      <c r="AI96" s="17"/>
      <c r="AJ96" s="17"/>
      <c r="AK96" s="17"/>
      <c r="AL96" s="661">
        <f>AI96-AJ96</f>
        <v>0</v>
      </c>
      <c r="AM96" s="1542"/>
      <c r="AN96" s="1542"/>
      <c r="AO96" s="17"/>
      <c r="AP96" s="661">
        <f>AM96-AN96</f>
        <v>0</v>
      </c>
      <c r="AQ96" s="17">
        <f>16902.7+835.9227</f>
        <v>17738.6227</v>
      </c>
      <c r="AR96" s="17">
        <f>16902.7+835.9227</f>
        <v>17738.6227</v>
      </c>
      <c r="AS96" s="17"/>
      <c r="AT96" s="661">
        <f>AQ96-AR96</f>
        <v>0</v>
      </c>
      <c r="AU96" s="17"/>
      <c r="AV96" s="17"/>
      <c r="AW96" s="17"/>
      <c r="AX96" s="661">
        <f>AU96-AV96</f>
        <v>0</v>
      </c>
      <c r="AY96" s="17"/>
      <c r="AZ96" s="17"/>
      <c r="BA96" s="17"/>
      <c r="BB96" s="661">
        <f>AY96-AZ96</f>
        <v>0</v>
      </c>
    </row>
    <row r="97" spans="1:54">
      <c r="A97" s="3" t="s">
        <v>1697</v>
      </c>
      <c r="B97" s="17"/>
      <c r="C97" s="17"/>
      <c r="D97" s="17"/>
      <c r="E97" s="17"/>
      <c r="F97" s="661">
        <f>C97-D97</f>
        <v>0</v>
      </c>
      <c r="G97" s="17"/>
      <c r="H97" s="17"/>
      <c r="I97" s="17"/>
      <c r="J97" s="661">
        <f>G97-H97</f>
        <v>0</v>
      </c>
      <c r="K97" s="17"/>
      <c r="L97" s="17"/>
      <c r="M97" s="17"/>
      <c r="N97" s="661">
        <f>K97-L97</f>
        <v>0</v>
      </c>
      <c r="O97" s="17"/>
      <c r="P97" s="17"/>
      <c r="Q97" s="17"/>
      <c r="R97" s="661">
        <f>O97-P97</f>
        <v>0</v>
      </c>
      <c r="S97" s="17"/>
      <c r="T97" s="17"/>
      <c r="U97" s="17"/>
      <c r="V97" s="661">
        <f>S97-T97</f>
        <v>0</v>
      </c>
      <c r="W97" s="17"/>
      <c r="X97" s="17"/>
      <c r="Y97" s="17"/>
      <c r="Z97" s="661">
        <f>W97-X97</f>
        <v>0</v>
      </c>
      <c r="AA97" s="17"/>
      <c r="AB97" s="17"/>
      <c r="AC97" s="17"/>
      <c r="AD97" s="661">
        <f>AA97-AB97</f>
        <v>0</v>
      </c>
      <c r="AE97" s="17"/>
      <c r="AF97" s="17"/>
      <c r="AG97" s="17"/>
      <c r="AH97" s="661">
        <f>AE97-AF97</f>
        <v>0</v>
      </c>
      <c r="AI97" s="17"/>
      <c r="AJ97" s="17"/>
      <c r="AK97" s="17"/>
      <c r="AL97" s="661">
        <f>AI97-AJ97</f>
        <v>0</v>
      </c>
      <c r="AM97" s="17"/>
      <c r="AN97" s="17"/>
      <c r="AO97" s="17"/>
      <c r="AP97" s="661">
        <f>AM97-AN97</f>
        <v>0</v>
      </c>
      <c r="AQ97" s="17"/>
      <c r="AR97" s="17"/>
      <c r="AS97" s="17"/>
      <c r="AT97" s="661">
        <f>AQ97-AR97</f>
        <v>0</v>
      </c>
      <c r="AU97" s="17"/>
      <c r="AV97" s="17"/>
      <c r="AW97" s="17"/>
      <c r="AX97" s="661">
        <f>AU97-AV97</f>
        <v>0</v>
      </c>
      <c r="AY97" s="17"/>
      <c r="AZ97" s="17"/>
      <c r="BA97" s="17"/>
      <c r="BB97" s="661">
        <f>AY97-AZ97</f>
        <v>0</v>
      </c>
    </row>
    <row r="98" spans="1:54">
      <c r="A98" s="3"/>
      <c r="B98" s="17"/>
      <c r="C98" s="17"/>
      <c r="D98" s="17"/>
      <c r="E98" s="17"/>
      <c r="F98" s="661">
        <f>C98-D98</f>
        <v>0</v>
      </c>
      <c r="G98" s="17"/>
      <c r="H98" s="17"/>
      <c r="I98" s="17"/>
      <c r="J98" s="661">
        <f>G98-H98</f>
        <v>0</v>
      </c>
      <c r="K98" s="17"/>
      <c r="L98" s="17"/>
      <c r="M98" s="17"/>
      <c r="N98" s="661">
        <f>K98-L98</f>
        <v>0</v>
      </c>
      <c r="O98" s="17"/>
      <c r="P98" s="17"/>
      <c r="Q98" s="17"/>
      <c r="R98" s="661">
        <f>O98-P98</f>
        <v>0</v>
      </c>
      <c r="S98" s="17"/>
      <c r="T98" s="17"/>
      <c r="U98" s="17"/>
      <c r="V98" s="661">
        <f>S98-T98</f>
        <v>0</v>
      </c>
      <c r="W98" s="17"/>
      <c r="X98" s="17"/>
      <c r="Y98" s="17"/>
      <c r="Z98" s="661">
        <f>W98-X98</f>
        <v>0</v>
      </c>
      <c r="AA98" s="17"/>
      <c r="AB98" s="17"/>
      <c r="AC98" s="17"/>
      <c r="AD98" s="661">
        <f>AA98-AB98</f>
        <v>0</v>
      </c>
      <c r="AE98" s="17"/>
      <c r="AF98" s="17"/>
      <c r="AG98" s="17"/>
      <c r="AH98" s="661">
        <f>AE98-AF98</f>
        <v>0</v>
      </c>
      <c r="AI98" s="17"/>
      <c r="AJ98" s="17"/>
      <c r="AK98" s="17"/>
      <c r="AL98" s="661">
        <f>AI98-AJ98</f>
        <v>0</v>
      </c>
      <c r="AM98" s="17"/>
      <c r="AN98" s="17"/>
      <c r="AO98" s="17"/>
      <c r="AP98" s="661">
        <f>AM98-AN98</f>
        <v>0</v>
      </c>
      <c r="AQ98" s="17"/>
      <c r="AR98" s="17"/>
      <c r="AS98" s="17"/>
      <c r="AT98" s="661">
        <f>AQ98-AR98</f>
        <v>0</v>
      </c>
      <c r="AU98" s="17"/>
      <c r="AV98" s="17"/>
      <c r="AW98" s="17"/>
      <c r="AX98" s="661">
        <f>AU98-AV98</f>
        <v>0</v>
      </c>
      <c r="AY98" s="17"/>
      <c r="AZ98" s="17"/>
      <c r="BA98" s="17"/>
      <c r="BB98" s="661">
        <f>AY98-AZ98</f>
        <v>0</v>
      </c>
    </row>
    <row r="99" spans="1:54">
      <c r="A99" s="8" t="s">
        <v>249</v>
      </c>
      <c r="B99" s="20">
        <v>0</v>
      </c>
      <c r="C99" s="20">
        <f t="shared" ref="C99:AB99" si="83">C100+C107</f>
        <v>0</v>
      </c>
      <c r="D99" s="20">
        <f t="shared" si="83"/>
        <v>0</v>
      </c>
      <c r="E99" s="20">
        <f t="shared" si="83"/>
        <v>0</v>
      </c>
      <c r="F99" s="661">
        <f>+F100+F107</f>
        <v>0</v>
      </c>
      <c r="G99" s="20">
        <f t="shared" si="83"/>
        <v>0</v>
      </c>
      <c r="H99" s="20">
        <f t="shared" si="83"/>
        <v>0</v>
      </c>
      <c r="I99" s="20">
        <f t="shared" si="83"/>
        <v>0</v>
      </c>
      <c r="J99" s="661">
        <f>+J100+J107</f>
        <v>0</v>
      </c>
      <c r="K99" s="20">
        <f t="shared" si="83"/>
        <v>0</v>
      </c>
      <c r="L99" s="20">
        <f t="shared" si="83"/>
        <v>0</v>
      </c>
      <c r="M99" s="20">
        <f t="shared" si="83"/>
        <v>0</v>
      </c>
      <c r="N99" s="20">
        <f t="shared" si="83"/>
        <v>0</v>
      </c>
      <c r="O99" s="20">
        <f t="shared" si="83"/>
        <v>0</v>
      </c>
      <c r="P99" s="20">
        <f t="shared" si="83"/>
        <v>0</v>
      </c>
      <c r="Q99" s="20">
        <f t="shared" si="83"/>
        <v>0</v>
      </c>
      <c r="R99" s="20">
        <f t="shared" si="83"/>
        <v>0</v>
      </c>
      <c r="S99" s="20">
        <f t="shared" si="83"/>
        <v>0</v>
      </c>
      <c r="T99" s="20">
        <f t="shared" si="83"/>
        <v>0</v>
      </c>
      <c r="U99" s="20">
        <f t="shared" si="83"/>
        <v>0</v>
      </c>
      <c r="V99" s="20">
        <f t="shared" si="83"/>
        <v>0</v>
      </c>
      <c r="W99" s="20">
        <f t="shared" si="83"/>
        <v>0</v>
      </c>
      <c r="X99" s="20">
        <f t="shared" si="83"/>
        <v>0</v>
      </c>
      <c r="Y99" s="20">
        <f t="shared" si="83"/>
        <v>0</v>
      </c>
      <c r="Z99" s="20">
        <f t="shared" si="83"/>
        <v>0</v>
      </c>
      <c r="AA99" s="20">
        <f t="shared" si="83"/>
        <v>0</v>
      </c>
      <c r="AB99" s="20">
        <f t="shared" si="83"/>
        <v>0</v>
      </c>
      <c r="AC99" s="20">
        <f t="shared" ref="AC99:AX99" si="84">AC100+AC107</f>
        <v>0</v>
      </c>
      <c r="AD99" s="20">
        <f t="shared" si="84"/>
        <v>0</v>
      </c>
      <c r="AE99" s="20">
        <f t="shared" si="84"/>
        <v>36020.5</v>
      </c>
      <c r="AF99" s="20">
        <f t="shared" si="84"/>
        <v>36020.5</v>
      </c>
      <c r="AG99" s="20">
        <f t="shared" si="84"/>
        <v>0</v>
      </c>
      <c r="AH99" s="20">
        <f t="shared" si="84"/>
        <v>0</v>
      </c>
      <c r="AI99" s="20">
        <f t="shared" si="84"/>
        <v>0</v>
      </c>
      <c r="AJ99" s="20">
        <f t="shared" si="84"/>
        <v>0</v>
      </c>
      <c r="AK99" s="20">
        <f t="shared" si="84"/>
        <v>0</v>
      </c>
      <c r="AL99" s="20">
        <f t="shared" si="84"/>
        <v>0</v>
      </c>
      <c r="AM99" s="20">
        <f t="shared" si="84"/>
        <v>30</v>
      </c>
      <c r="AN99" s="20">
        <f t="shared" si="84"/>
        <v>30</v>
      </c>
      <c r="AO99" s="20">
        <f t="shared" si="84"/>
        <v>0</v>
      </c>
      <c r="AP99" s="20">
        <f t="shared" si="84"/>
        <v>0</v>
      </c>
      <c r="AQ99" s="20">
        <f t="shared" si="84"/>
        <v>0</v>
      </c>
      <c r="AR99" s="20">
        <f t="shared" si="84"/>
        <v>0</v>
      </c>
      <c r="AS99" s="20">
        <f t="shared" si="84"/>
        <v>0</v>
      </c>
      <c r="AT99" s="20">
        <f t="shared" si="84"/>
        <v>0</v>
      </c>
      <c r="AU99" s="20">
        <f t="shared" si="84"/>
        <v>0</v>
      </c>
      <c r="AV99" s="20">
        <f t="shared" si="84"/>
        <v>0</v>
      </c>
      <c r="AW99" s="20">
        <f t="shared" si="84"/>
        <v>0</v>
      </c>
      <c r="AX99" s="20">
        <f t="shared" si="84"/>
        <v>0</v>
      </c>
      <c r="AY99" s="20">
        <f>AY100+AY107</f>
        <v>0</v>
      </c>
      <c r="AZ99" s="20">
        <f>AZ100+AZ107</f>
        <v>0</v>
      </c>
      <c r="BA99" s="20">
        <f>BA100+BA107</f>
        <v>0</v>
      </c>
      <c r="BB99" s="20">
        <f>BB100+BB107</f>
        <v>0</v>
      </c>
    </row>
    <row r="100" spans="1:54">
      <c r="A100" s="3" t="s">
        <v>250</v>
      </c>
      <c r="B100" s="17">
        <v>0</v>
      </c>
      <c r="C100" s="17">
        <f t="shared" ref="C100:AB100" si="85">SUM(C101:C106)</f>
        <v>0</v>
      </c>
      <c r="D100" s="17">
        <f t="shared" si="85"/>
        <v>0</v>
      </c>
      <c r="E100" s="17">
        <f t="shared" si="85"/>
        <v>0</v>
      </c>
      <c r="F100" s="17">
        <f t="shared" si="85"/>
        <v>0</v>
      </c>
      <c r="G100" s="17">
        <f t="shared" si="85"/>
        <v>0</v>
      </c>
      <c r="H100" s="17">
        <f t="shared" si="85"/>
        <v>0</v>
      </c>
      <c r="I100" s="17">
        <f t="shared" si="85"/>
        <v>0</v>
      </c>
      <c r="J100" s="661">
        <f t="shared" ref="J100:J106" si="86">G100-H100</f>
        <v>0</v>
      </c>
      <c r="K100" s="17">
        <f t="shared" si="85"/>
        <v>0</v>
      </c>
      <c r="L100" s="17">
        <f t="shared" si="85"/>
        <v>0</v>
      </c>
      <c r="M100" s="17">
        <f t="shared" si="85"/>
        <v>0</v>
      </c>
      <c r="N100" s="661">
        <f t="shared" ref="N100:N106" si="87">K100-L100</f>
        <v>0</v>
      </c>
      <c r="O100" s="17">
        <f t="shared" si="85"/>
        <v>0</v>
      </c>
      <c r="P100" s="17">
        <f t="shared" si="85"/>
        <v>0</v>
      </c>
      <c r="Q100" s="17">
        <f t="shared" si="85"/>
        <v>0</v>
      </c>
      <c r="R100" s="661">
        <f t="shared" ref="R100:R106" si="88">O100-P100</f>
        <v>0</v>
      </c>
      <c r="S100" s="17">
        <f t="shared" si="85"/>
        <v>0</v>
      </c>
      <c r="T100" s="17">
        <f t="shared" si="85"/>
        <v>0</v>
      </c>
      <c r="U100" s="17">
        <f t="shared" si="85"/>
        <v>0</v>
      </c>
      <c r="V100" s="661">
        <f t="shared" ref="V100:V106" si="89">S100-T100</f>
        <v>0</v>
      </c>
      <c r="W100" s="17">
        <f t="shared" si="85"/>
        <v>0</v>
      </c>
      <c r="X100" s="17">
        <f t="shared" si="85"/>
        <v>0</v>
      </c>
      <c r="Y100" s="17">
        <f t="shared" si="85"/>
        <v>0</v>
      </c>
      <c r="Z100" s="661">
        <f t="shared" ref="Z100:Z106" si="90">W100-X100</f>
        <v>0</v>
      </c>
      <c r="AA100" s="17">
        <f t="shared" si="85"/>
        <v>0</v>
      </c>
      <c r="AB100" s="17">
        <f t="shared" si="85"/>
        <v>0</v>
      </c>
      <c r="AC100" s="17">
        <f t="shared" ref="AC100:AW100" si="91">SUM(AC101:AC106)</f>
        <v>0</v>
      </c>
      <c r="AD100" s="661">
        <f t="shared" ref="AD100:AD106" si="92">AA100-AB100</f>
        <v>0</v>
      </c>
      <c r="AE100" s="17">
        <f t="shared" si="91"/>
        <v>0</v>
      </c>
      <c r="AF100" s="17">
        <f t="shared" si="91"/>
        <v>0</v>
      </c>
      <c r="AG100" s="17">
        <f t="shared" si="91"/>
        <v>0</v>
      </c>
      <c r="AH100" s="661">
        <f t="shared" ref="AH100:AH106" si="93">AE100-AF100</f>
        <v>0</v>
      </c>
      <c r="AI100" s="17">
        <f t="shared" si="91"/>
        <v>0</v>
      </c>
      <c r="AJ100" s="17">
        <f t="shared" si="91"/>
        <v>0</v>
      </c>
      <c r="AK100" s="17">
        <f t="shared" si="91"/>
        <v>0</v>
      </c>
      <c r="AL100" s="661">
        <f t="shared" ref="AL100:AL106" si="94">AI100-AJ100</f>
        <v>0</v>
      </c>
      <c r="AM100" s="17">
        <f t="shared" si="91"/>
        <v>0</v>
      </c>
      <c r="AN100" s="17">
        <f t="shared" si="91"/>
        <v>0</v>
      </c>
      <c r="AO100" s="17">
        <f t="shared" si="91"/>
        <v>0</v>
      </c>
      <c r="AP100" s="661">
        <f t="shared" ref="AP100:AP106" si="95">AM100-AN100</f>
        <v>0</v>
      </c>
      <c r="AQ100" s="17">
        <f t="shared" si="91"/>
        <v>0</v>
      </c>
      <c r="AR100" s="17">
        <f t="shared" si="91"/>
        <v>0</v>
      </c>
      <c r="AS100" s="17">
        <f t="shared" si="91"/>
        <v>0</v>
      </c>
      <c r="AT100" s="661">
        <f t="shared" ref="AT100:AT106" si="96">AQ100-AR100</f>
        <v>0</v>
      </c>
      <c r="AU100" s="17">
        <f t="shared" si="91"/>
        <v>0</v>
      </c>
      <c r="AV100" s="17">
        <f t="shared" si="91"/>
        <v>0</v>
      </c>
      <c r="AW100" s="17">
        <f t="shared" si="91"/>
        <v>0</v>
      </c>
      <c r="AX100" s="661">
        <f t="shared" ref="AX100:AX106" si="97">AU100-AV100</f>
        <v>0</v>
      </c>
      <c r="AY100" s="17">
        <f>SUM(AY101:AY106)</f>
        <v>0</v>
      </c>
      <c r="AZ100" s="17">
        <f>SUM(AZ101:AZ106)</f>
        <v>0</v>
      </c>
      <c r="BA100" s="17">
        <f>SUM(BA101:BA106)</f>
        <v>0</v>
      </c>
      <c r="BB100" s="661">
        <f t="shared" ref="BB100:BB106" si="98">AY100-AZ100</f>
        <v>0</v>
      </c>
    </row>
    <row r="101" spans="1:54">
      <c r="A101" s="3" t="s">
        <v>1712</v>
      </c>
      <c r="B101" s="17"/>
      <c r="C101" s="17"/>
      <c r="D101" s="17"/>
      <c r="E101" s="17"/>
      <c r="F101" s="661">
        <f t="shared" ref="F101:F106" si="99">C101-D101</f>
        <v>0</v>
      </c>
      <c r="G101" s="17"/>
      <c r="H101" s="17"/>
      <c r="I101" s="17"/>
      <c r="J101" s="661">
        <f t="shared" si="86"/>
        <v>0</v>
      </c>
      <c r="K101" s="17"/>
      <c r="L101" s="17"/>
      <c r="M101" s="17"/>
      <c r="N101" s="661">
        <f t="shared" si="87"/>
        <v>0</v>
      </c>
      <c r="O101" s="17"/>
      <c r="P101" s="17"/>
      <c r="Q101" s="17"/>
      <c r="R101" s="661">
        <f t="shared" si="88"/>
        <v>0</v>
      </c>
      <c r="S101" s="17"/>
      <c r="T101" s="17"/>
      <c r="U101" s="17"/>
      <c r="V101" s="661">
        <f t="shared" si="89"/>
        <v>0</v>
      </c>
      <c r="W101" s="17"/>
      <c r="X101" s="17"/>
      <c r="Y101" s="17"/>
      <c r="Z101" s="661">
        <f t="shared" si="90"/>
        <v>0</v>
      </c>
      <c r="AA101" s="17"/>
      <c r="AB101" s="17"/>
      <c r="AC101" s="17"/>
      <c r="AD101" s="661">
        <f t="shared" si="92"/>
        <v>0</v>
      </c>
      <c r="AE101" s="17"/>
      <c r="AF101" s="17"/>
      <c r="AG101" s="17"/>
      <c r="AH101" s="661">
        <f t="shared" si="93"/>
        <v>0</v>
      </c>
      <c r="AI101" s="17"/>
      <c r="AJ101" s="17"/>
      <c r="AK101" s="17"/>
      <c r="AL101" s="661">
        <f t="shared" si="94"/>
        <v>0</v>
      </c>
      <c r="AM101" s="17"/>
      <c r="AN101" s="17"/>
      <c r="AO101" s="17"/>
      <c r="AP101" s="661">
        <f t="shared" si="95"/>
        <v>0</v>
      </c>
      <c r="AQ101" s="17"/>
      <c r="AR101" s="17"/>
      <c r="AS101" s="17"/>
      <c r="AT101" s="661">
        <f t="shared" si="96"/>
        <v>0</v>
      </c>
      <c r="AU101" s="17"/>
      <c r="AV101" s="17"/>
      <c r="AW101" s="17"/>
      <c r="AX101" s="661">
        <f t="shared" si="97"/>
        <v>0</v>
      </c>
      <c r="AY101" s="17"/>
      <c r="AZ101" s="17"/>
      <c r="BA101" s="17"/>
      <c r="BB101" s="661">
        <f t="shared" si="98"/>
        <v>0</v>
      </c>
    </row>
    <row r="102" spans="1:54">
      <c r="A102" s="3" t="s">
        <v>1705</v>
      </c>
      <c r="B102" s="17"/>
      <c r="C102" s="17"/>
      <c r="D102" s="17"/>
      <c r="E102" s="17"/>
      <c r="F102" s="661">
        <f t="shared" si="99"/>
        <v>0</v>
      </c>
      <c r="G102" s="17"/>
      <c r="H102" s="17"/>
      <c r="I102" s="17"/>
      <c r="J102" s="661">
        <f t="shared" si="86"/>
        <v>0</v>
      </c>
      <c r="K102" s="17"/>
      <c r="L102" s="17"/>
      <c r="M102" s="17"/>
      <c r="N102" s="661">
        <f t="shared" si="87"/>
        <v>0</v>
      </c>
      <c r="O102" s="17"/>
      <c r="P102" s="17"/>
      <c r="Q102" s="17"/>
      <c r="R102" s="661">
        <f t="shared" si="88"/>
        <v>0</v>
      </c>
      <c r="S102" s="17"/>
      <c r="T102" s="17"/>
      <c r="U102" s="17"/>
      <c r="V102" s="661">
        <f t="shared" si="89"/>
        <v>0</v>
      </c>
      <c r="W102" s="17"/>
      <c r="X102" s="17"/>
      <c r="Y102" s="17"/>
      <c r="Z102" s="661">
        <f t="shared" si="90"/>
        <v>0</v>
      </c>
      <c r="AA102" s="17"/>
      <c r="AB102" s="17"/>
      <c r="AC102" s="17"/>
      <c r="AD102" s="661">
        <f t="shared" si="92"/>
        <v>0</v>
      </c>
      <c r="AE102" s="17"/>
      <c r="AF102" s="17"/>
      <c r="AG102" s="17"/>
      <c r="AH102" s="661">
        <f t="shared" si="93"/>
        <v>0</v>
      </c>
      <c r="AI102" s="17"/>
      <c r="AJ102" s="17"/>
      <c r="AK102" s="17"/>
      <c r="AL102" s="661">
        <f t="shared" si="94"/>
        <v>0</v>
      </c>
      <c r="AM102" s="17"/>
      <c r="AN102" s="17"/>
      <c r="AO102" s="17"/>
      <c r="AP102" s="661">
        <f t="shared" si="95"/>
        <v>0</v>
      </c>
      <c r="AQ102" s="17"/>
      <c r="AR102" s="17"/>
      <c r="AS102" s="17"/>
      <c r="AT102" s="661">
        <f t="shared" si="96"/>
        <v>0</v>
      </c>
      <c r="AU102" s="17"/>
      <c r="AV102" s="17"/>
      <c r="AW102" s="17"/>
      <c r="AX102" s="661">
        <f t="shared" si="97"/>
        <v>0</v>
      </c>
      <c r="AY102" s="17"/>
      <c r="AZ102" s="17"/>
      <c r="BA102" s="17"/>
      <c r="BB102" s="661">
        <f t="shared" si="98"/>
        <v>0</v>
      </c>
    </row>
    <row r="103" spans="1:54">
      <c r="A103" s="3" t="s">
        <v>1706</v>
      </c>
      <c r="B103" s="17"/>
      <c r="C103" s="17"/>
      <c r="D103" s="17"/>
      <c r="E103" s="17"/>
      <c r="F103" s="661">
        <f t="shared" si="99"/>
        <v>0</v>
      </c>
      <c r="G103" s="17">
        <v>0</v>
      </c>
      <c r="H103" s="17"/>
      <c r="I103" s="17"/>
      <c r="J103" s="661">
        <f t="shared" si="86"/>
        <v>0</v>
      </c>
      <c r="K103" s="17"/>
      <c r="L103" s="17"/>
      <c r="M103" s="17"/>
      <c r="N103" s="661">
        <f t="shared" si="87"/>
        <v>0</v>
      </c>
      <c r="O103" s="17"/>
      <c r="P103" s="17"/>
      <c r="Q103" s="17"/>
      <c r="R103" s="661">
        <f t="shared" si="88"/>
        <v>0</v>
      </c>
      <c r="S103" s="17"/>
      <c r="T103" s="17"/>
      <c r="U103" s="17"/>
      <c r="V103" s="661">
        <f t="shared" si="89"/>
        <v>0</v>
      </c>
      <c r="W103" s="17"/>
      <c r="X103" s="17"/>
      <c r="Y103" s="17"/>
      <c r="Z103" s="661">
        <f t="shared" si="90"/>
        <v>0</v>
      </c>
      <c r="AA103" s="17"/>
      <c r="AB103" s="17"/>
      <c r="AC103" s="17"/>
      <c r="AD103" s="661">
        <f t="shared" si="92"/>
        <v>0</v>
      </c>
      <c r="AE103" s="17"/>
      <c r="AF103" s="17"/>
      <c r="AG103" s="17"/>
      <c r="AH103" s="661">
        <f t="shared" si="93"/>
        <v>0</v>
      </c>
      <c r="AI103" s="17"/>
      <c r="AJ103" s="17"/>
      <c r="AK103" s="17"/>
      <c r="AL103" s="661">
        <f t="shared" si="94"/>
        <v>0</v>
      </c>
      <c r="AM103" s="17"/>
      <c r="AN103" s="17"/>
      <c r="AO103" s="17"/>
      <c r="AP103" s="661">
        <f t="shared" si="95"/>
        <v>0</v>
      </c>
      <c r="AQ103" s="17"/>
      <c r="AR103" s="17"/>
      <c r="AS103" s="17"/>
      <c r="AT103" s="661">
        <f t="shared" si="96"/>
        <v>0</v>
      </c>
      <c r="AU103" s="17"/>
      <c r="AV103" s="17"/>
      <c r="AW103" s="17"/>
      <c r="AX103" s="661">
        <f t="shared" si="97"/>
        <v>0</v>
      </c>
      <c r="AY103" s="17"/>
      <c r="AZ103" s="17"/>
      <c r="BA103" s="17"/>
      <c r="BB103" s="661">
        <f t="shared" si="98"/>
        <v>0</v>
      </c>
    </row>
    <row r="104" spans="1:54">
      <c r="A104" s="3" t="s">
        <v>1707</v>
      </c>
      <c r="B104" s="17"/>
      <c r="C104" s="17"/>
      <c r="D104" s="17"/>
      <c r="E104" s="17"/>
      <c r="F104" s="661">
        <f t="shared" si="99"/>
        <v>0</v>
      </c>
      <c r="G104" s="17"/>
      <c r="H104" s="17"/>
      <c r="I104" s="17"/>
      <c r="J104" s="661">
        <f t="shared" si="86"/>
        <v>0</v>
      </c>
      <c r="K104" s="17"/>
      <c r="L104" s="17"/>
      <c r="M104" s="17"/>
      <c r="N104" s="661">
        <f t="shared" si="87"/>
        <v>0</v>
      </c>
      <c r="O104" s="17"/>
      <c r="P104" s="17"/>
      <c r="Q104" s="17"/>
      <c r="R104" s="661">
        <f t="shared" si="88"/>
        <v>0</v>
      </c>
      <c r="S104" s="17"/>
      <c r="T104" s="17"/>
      <c r="U104" s="17"/>
      <c r="V104" s="661">
        <f t="shared" si="89"/>
        <v>0</v>
      </c>
      <c r="W104" s="17"/>
      <c r="X104" s="17"/>
      <c r="Y104" s="17"/>
      <c r="Z104" s="661">
        <f t="shared" si="90"/>
        <v>0</v>
      </c>
      <c r="AA104" s="17"/>
      <c r="AB104" s="17"/>
      <c r="AC104" s="17"/>
      <c r="AD104" s="661">
        <f t="shared" si="92"/>
        <v>0</v>
      </c>
      <c r="AE104" s="17"/>
      <c r="AF104" s="17"/>
      <c r="AG104" s="17"/>
      <c r="AH104" s="661">
        <f t="shared" si="93"/>
        <v>0</v>
      </c>
      <c r="AI104" s="17"/>
      <c r="AJ104" s="17"/>
      <c r="AK104" s="17"/>
      <c r="AL104" s="661">
        <f t="shared" si="94"/>
        <v>0</v>
      </c>
      <c r="AM104" s="17"/>
      <c r="AN104" s="17"/>
      <c r="AO104" s="17"/>
      <c r="AP104" s="661">
        <f t="shared" si="95"/>
        <v>0</v>
      </c>
      <c r="AQ104" s="17"/>
      <c r="AR104" s="17"/>
      <c r="AS104" s="17"/>
      <c r="AT104" s="661">
        <f t="shared" si="96"/>
        <v>0</v>
      </c>
      <c r="AU104" s="17"/>
      <c r="AV104" s="17"/>
      <c r="AW104" s="17"/>
      <c r="AX104" s="661">
        <f t="shared" si="97"/>
        <v>0</v>
      </c>
      <c r="AY104" s="17"/>
      <c r="AZ104" s="17"/>
      <c r="BA104" s="17"/>
      <c r="BB104" s="661">
        <f t="shared" si="98"/>
        <v>0</v>
      </c>
    </row>
    <row r="105" spans="1:54">
      <c r="A105" s="3" t="s">
        <v>1708</v>
      </c>
      <c r="B105" s="17"/>
      <c r="C105" s="17"/>
      <c r="D105" s="17"/>
      <c r="E105" s="17"/>
      <c r="F105" s="661">
        <f t="shared" si="99"/>
        <v>0</v>
      </c>
      <c r="G105" s="17"/>
      <c r="H105" s="17"/>
      <c r="I105" s="17"/>
      <c r="J105" s="661">
        <f t="shared" si="86"/>
        <v>0</v>
      </c>
      <c r="K105" s="17"/>
      <c r="L105" s="17"/>
      <c r="M105" s="17"/>
      <c r="N105" s="661">
        <f t="shared" si="87"/>
        <v>0</v>
      </c>
      <c r="O105" s="17"/>
      <c r="P105" s="17"/>
      <c r="Q105" s="17"/>
      <c r="R105" s="661">
        <f t="shared" si="88"/>
        <v>0</v>
      </c>
      <c r="S105" s="17"/>
      <c r="T105" s="17"/>
      <c r="U105" s="17"/>
      <c r="V105" s="661">
        <f t="shared" si="89"/>
        <v>0</v>
      </c>
      <c r="W105" s="17"/>
      <c r="X105" s="17"/>
      <c r="Y105" s="17"/>
      <c r="Z105" s="661">
        <f t="shared" si="90"/>
        <v>0</v>
      </c>
      <c r="AA105" s="17"/>
      <c r="AB105" s="17"/>
      <c r="AC105" s="17"/>
      <c r="AD105" s="661">
        <f t="shared" si="92"/>
        <v>0</v>
      </c>
      <c r="AE105" s="17"/>
      <c r="AF105" s="17"/>
      <c r="AG105" s="17"/>
      <c r="AH105" s="661">
        <f t="shared" si="93"/>
        <v>0</v>
      </c>
      <c r="AI105" s="17"/>
      <c r="AJ105" s="17"/>
      <c r="AK105" s="17"/>
      <c r="AL105" s="661">
        <f t="shared" si="94"/>
        <v>0</v>
      </c>
      <c r="AM105" s="17"/>
      <c r="AN105" s="17"/>
      <c r="AO105" s="17"/>
      <c r="AP105" s="661">
        <f t="shared" si="95"/>
        <v>0</v>
      </c>
      <c r="AQ105" s="17"/>
      <c r="AR105" s="17"/>
      <c r="AS105" s="17"/>
      <c r="AT105" s="661">
        <f t="shared" si="96"/>
        <v>0</v>
      </c>
      <c r="AU105" s="17"/>
      <c r="AV105" s="17"/>
      <c r="AW105" s="17"/>
      <c r="AX105" s="661">
        <f t="shared" si="97"/>
        <v>0</v>
      </c>
      <c r="AY105" s="17"/>
      <c r="AZ105" s="17"/>
      <c r="BA105" s="17"/>
      <c r="BB105" s="661">
        <f t="shared" si="98"/>
        <v>0</v>
      </c>
    </row>
    <row r="106" spans="1:54">
      <c r="A106" s="3" t="s">
        <v>1709</v>
      </c>
      <c r="B106" s="17"/>
      <c r="C106" s="17"/>
      <c r="D106" s="17"/>
      <c r="E106" s="17"/>
      <c r="F106" s="661">
        <f t="shared" si="99"/>
        <v>0</v>
      </c>
      <c r="G106" s="17"/>
      <c r="H106" s="17"/>
      <c r="I106" s="17"/>
      <c r="J106" s="661">
        <f t="shared" si="86"/>
        <v>0</v>
      </c>
      <c r="K106" s="17"/>
      <c r="L106" s="17"/>
      <c r="M106" s="17"/>
      <c r="N106" s="661">
        <f t="shared" si="87"/>
        <v>0</v>
      </c>
      <c r="O106" s="17"/>
      <c r="P106" s="17"/>
      <c r="Q106" s="17"/>
      <c r="R106" s="661">
        <f t="shared" si="88"/>
        <v>0</v>
      </c>
      <c r="S106" s="17"/>
      <c r="T106" s="17"/>
      <c r="U106" s="17"/>
      <c r="V106" s="661">
        <f t="shared" si="89"/>
        <v>0</v>
      </c>
      <c r="W106" s="17"/>
      <c r="X106" s="17"/>
      <c r="Y106" s="17"/>
      <c r="Z106" s="661">
        <f t="shared" si="90"/>
        <v>0</v>
      </c>
      <c r="AA106" s="17"/>
      <c r="AB106" s="17"/>
      <c r="AC106" s="17"/>
      <c r="AD106" s="661">
        <f t="shared" si="92"/>
        <v>0</v>
      </c>
      <c r="AE106" s="17"/>
      <c r="AF106" s="17"/>
      <c r="AG106" s="17"/>
      <c r="AH106" s="661">
        <f t="shared" si="93"/>
        <v>0</v>
      </c>
      <c r="AI106" s="17"/>
      <c r="AJ106" s="17"/>
      <c r="AK106" s="17"/>
      <c r="AL106" s="661">
        <f t="shared" si="94"/>
        <v>0</v>
      </c>
      <c r="AM106" s="17"/>
      <c r="AN106" s="17"/>
      <c r="AO106" s="17"/>
      <c r="AP106" s="661">
        <f t="shared" si="95"/>
        <v>0</v>
      </c>
      <c r="AQ106" s="17"/>
      <c r="AR106" s="17"/>
      <c r="AS106" s="17"/>
      <c r="AT106" s="661">
        <f t="shared" si="96"/>
        <v>0</v>
      </c>
      <c r="AU106" s="17"/>
      <c r="AV106" s="17"/>
      <c r="AW106" s="17"/>
      <c r="AX106" s="661">
        <f t="shared" si="97"/>
        <v>0</v>
      </c>
      <c r="AY106" s="17"/>
      <c r="AZ106" s="17"/>
      <c r="BA106" s="17"/>
      <c r="BB106" s="661">
        <f t="shared" si="98"/>
        <v>0</v>
      </c>
    </row>
    <row r="107" spans="1:54">
      <c r="A107" s="3" t="s">
        <v>251</v>
      </c>
      <c r="B107" s="17">
        <f t="shared" ref="B107:BA107" si="100">SUM(B108:B114)</f>
        <v>0</v>
      </c>
      <c r="C107" s="17">
        <f t="shared" si="100"/>
        <v>0</v>
      </c>
      <c r="D107" s="17">
        <f t="shared" si="100"/>
        <v>0</v>
      </c>
      <c r="E107" s="17">
        <f t="shared" si="100"/>
        <v>0</v>
      </c>
      <c r="F107" s="17">
        <f t="shared" si="100"/>
        <v>0</v>
      </c>
      <c r="G107" s="17">
        <f t="shared" si="100"/>
        <v>0</v>
      </c>
      <c r="H107" s="17">
        <f t="shared" si="100"/>
        <v>0</v>
      </c>
      <c r="I107" s="17">
        <f t="shared" si="100"/>
        <v>0</v>
      </c>
      <c r="J107" s="661">
        <f t="shared" ref="J107:J113" si="101">G107-H107</f>
        <v>0</v>
      </c>
      <c r="K107" s="17">
        <f t="shared" si="100"/>
        <v>0</v>
      </c>
      <c r="L107" s="17">
        <f t="shared" si="100"/>
        <v>0</v>
      </c>
      <c r="M107" s="17">
        <f t="shared" si="100"/>
        <v>0</v>
      </c>
      <c r="N107" s="661">
        <f t="shared" ref="N107:N113" si="102">K107-L107</f>
        <v>0</v>
      </c>
      <c r="O107" s="17">
        <f t="shared" si="100"/>
        <v>0</v>
      </c>
      <c r="P107" s="17">
        <f t="shared" si="100"/>
        <v>0</v>
      </c>
      <c r="Q107" s="17">
        <f t="shared" si="100"/>
        <v>0</v>
      </c>
      <c r="R107" s="661">
        <f t="shared" ref="R107:R113" si="103">O107-P107</f>
        <v>0</v>
      </c>
      <c r="S107" s="17">
        <f t="shared" si="100"/>
        <v>0</v>
      </c>
      <c r="T107" s="17">
        <f t="shared" si="100"/>
        <v>0</v>
      </c>
      <c r="U107" s="17">
        <f t="shared" si="100"/>
        <v>0</v>
      </c>
      <c r="V107" s="661">
        <f t="shared" ref="V107:V112" si="104">S107-T107</f>
        <v>0</v>
      </c>
      <c r="W107" s="17">
        <f t="shared" si="100"/>
        <v>0</v>
      </c>
      <c r="X107" s="17">
        <f t="shared" si="100"/>
        <v>0</v>
      </c>
      <c r="Y107" s="17">
        <f t="shared" si="100"/>
        <v>0</v>
      </c>
      <c r="Z107" s="661">
        <f t="shared" ref="Z107:Z112" si="105">W107-X107</f>
        <v>0</v>
      </c>
      <c r="AA107" s="17">
        <f t="shared" si="100"/>
        <v>0</v>
      </c>
      <c r="AB107" s="17">
        <f t="shared" si="100"/>
        <v>0</v>
      </c>
      <c r="AC107" s="17">
        <f t="shared" si="100"/>
        <v>0</v>
      </c>
      <c r="AD107" s="661">
        <f t="shared" ref="AD107:AD112" si="106">AA107-AB107</f>
        <v>0</v>
      </c>
      <c r="AE107" s="17">
        <f t="shared" si="100"/>
        <v>36020.5</v>
      </c>
      <c r="AF107" s="17">
        <f t="shared" si="100"/>
        <v>36020.5</v>
      </c>
      <c r="AG107" s="17">
        <f t="shared" si="100"/>
        <v>0</v>
      </c>
      <c r="AH107" s="661">
        <f t="shared" ref="AH107:AH112" si="107">AE107-AF107</f>
        <v>0</v>
      </c>
      <c r="AI107" s="17">
        <f t="shared" si="100"/>
        <v>0</v>
      </c>
      <c r="AJ107" s="17">
        <f t="shared" si="100"/>
        <v>0</v>
      </c>
      <c r="AK107" s="17">
        <f t="shared" si="100"/>
        <v>0</v>
      </c>
      <c r="AL107" s="661">
        <f t="shared" ref="AL107:AL112" si="108">AI107-AJ107</f>
        <v>0</v>
      </c>
      <c r="AM107" s="17">
        <f t="shared" si="100"/>
        <v>30</v>
      </c>
      <c r="AN107" s="17">
        <f t="shared" si="100"/>
        <v>30</v>
      </c>
      <c r="AO107" s="17">
        <f t="shared" si="100"/>
        <v>0</v>
      </c>
      <c r="AP107" s="661">
        <f t="shared" ref="AP107:AP112" si="109">AM107-AN107</f>
        <v>0</v>
      </c>
      <c r="AQ107" s="17">
        <f t="shared" si="100"/>
        <v>0</v>
      </c>
      <c r="AR107" s="17">
        <f t="shared" si="100"/>
        <v>0</v>
      </c>
      <c r="AS107" s="17">
        <f t="shared" si="100"/>
        <v>0</v>
      </c>
      <c r="AT107" s="661">
        <f t="shared" ref="AT107:AT112" si="110">AQ107-AR107</f>
        <v>0</v>
      </c>
      <c r="AU107" s="17">
        <f t="shared" si="100"/>
        <v>0</v>
      </c>
      <c r="AV107" s="17">
        <f t="shared" si="100"/>
        <v>0</v>
      </c>
      <c r="AW107" s="17">
        <f t="shared" si="100"/>
        <v>0</v>
      </c>
      <c r="AX107" s="661">
        <f t="shared" ref="AX107:AX112" si="111">AU107-AV107</f>
        <v>0</v>
      </c>
      <c r="AY107" s="17">
        <f t="shared" si="100"/>
        <v>0</v>
      </c>
      <c r="AZ107" s="17">
        <f t="shared" si="100"/>
        <v>0</v>
      </c>
      <c r="BA107" s="17">
        <f t="shared" si="100"/>
        <v>0</v>
      </c>
      <c r="BB107" s="661">
        <f t="shared" ref="BB107:BB112" si="112">AY107-AZ107</f>
        <v>0</v>
      </c>
    </row>
    <row r="108" spans="1:54">
      <c r="A108" s="3" t="s">
        <v>252</v>
      </c>
      <c r="B108" s="17"/>
      <c r="C108" s="17"/>
      <c r="D108" s="17"/>
      <c r="E108" s="17"/>
      <c r="F108" s="661">
        <f t="shared" ref="F108:F113" si="113">C108-D108</f>
        <v>0</v>
      </c>
      <c r="G108" s="17"/>
      <c r="H108" s="17"/>
      <c r="I108" s="17"/>
      <c r="J108" s="661">
        <f t="shared" si="101"/>
        <v>0</v>
      </c>
      <c r="K108" s="17"/>
      <c r="L108" s="17"/>
      <c r="M108" s="17"/>
      <c r="N108" s="661">
        <f t="shared" si="102"/>
        <v>0</v>
      </c>
      <c r="O108" s="872"/>
      <c r="P108" s="872"/>
      <c r="Q108" s="17"/>
      <c r="R108" s="661">
        <f t="shared" si="103"/>
        <v>0</v>
      </c>
      <c r="S108" s="17"/>
      <c r="T108" s="17"/>
      <c r="U108" s="17"/>
      <c r="V108" s="661">
        <f t="shared" si="104"/>
        <v>0</v>
      </c>
      <c r="W108" s="17"/>
      <c r="X108" s="17"/>
      <c r="Y108" s="17"/>
      <c r="Z108" s="661">
        <f t="shared" si="105"/>
        <v>0</v>
      </c>
      <c r="AA108" s="17"/>
      <c r="AB108" s="17"/>
      <c r="AC108" s="17"/>
      <c r="AD108" s="661">
        <f t="shared" si="106"/>
        <v>0</v>
      </c>
      <c r="AE108" s="17"/>
      <c r="AF108" s="17"/>
      <c r="AG108" s="17"/>
      <c r="AH108" s="661">
        <f t="shared" si="107"/>
        <v>0</v>
      </c>
      <c r="AI108" s="17"/>
      <c r="AJ108" s="17"/>
      <c r="AK108" s="17"/>
      <c r="AL108" s="661">
        <f t="shared" si="108"/>
        <v>0</v>
      </c>
      <c r="AM108" s="17"/>
      <c r="AN108" s="17"/>
      <c r="AO108" s="17"/>
      <c r="AP108" s="661">
        <f t="shared" si="109"/>
        <v>0</v>
      </c>
      <c r="AQ108" s="17"/>
      <c r="AR108" s="17"/>
      <c r="AS108" s="17"/>
      <c r="AT108" s="661">
        <f t="shared" si="110"/>
        <v>0</v>
      </c>
      <c r="AU108" s="17"/>
      <c r="AV108" s="17"/>
      <c r="AW108" s="17"/>
      <c r="AX108" s="661">
        <f t="shared" si="111"/>
        <v>0</v>
      </c>
      <c r="AY108" s="17"/>
      <c r="AZ108" s="17"/>
      <c r="BA108" s="17"/>
      <c r="BB108" s="661">
        <f t="shared" si="112"/>
        <v>0</v>
      </c>
    </row>
    <row r="109" spans="1:54">
      <c r="A109" s="3" t="s">
        <v>253</v>
      </c>
      <c r="B109" s="17"/>
      <c r="C109" s="17"/>
      <c r="D109" s="17"/>
      <c r="E109" s="17"/>
      <c r="F109" s="661">
        <f t="shared" si="113"/>
        <v>0</v>
      </c>
      <c r="G109" s="17"/>
      <c r="H109" s="17"/>
      <c r="I109" s="17"/>
      <c r="J109" s="661">
        <f t="shared" si="101"/>
        <v>0</v>
      </c>
      <c r="K109" s="17"/>
      <c r="L109" s="17"/>
      <c r="M109" s="17"/>
      <c r="N109" s="661">
        <f t="shared" si="102"/>
        <v>0</v>
      </c>
      <c r="O109" s="872"/>
      <c r="P109" s="872"/>
      <c r="Q109" s="17"/>
      <c r="R109" s="661">
        <f t="shared" si="103"/>
        <v>0</v>
      </c>
      <c r="S109" s="17"/>
      <c r="T109" s="17"/>
      <c r="U109" s="17"/>
      <c r="V109" s="661">
        <f t="shared" si="104"/>
        <v>0</v>
      </c>
      <c r="W109" s="17"/>
      <c r="X109" s="17"/>
      <c r="Y109" s="17"/>
      <c r="Z109" s="661">
        <f t="shared" si="105"/>
        <v>0</v>
      </c>
      <c r="AA109" s="17"/>
      <c r="AB109" s="17"/>
      <c r="AC109" s="17"/>
      <c r="AD109" s="661">
        <f t="shared" si="106"/>
        <v>0</v>
      </c>
      <c r="AE109" s="17"/>
      <c r="AF109" s="17"/>
      <c r="AG109" s="17"/>
      <c r="AH109" s="661">
        <f t="shared" si="107"/>
        <v>0</v>
      </c>
      <c r="AI109" s="17"/>
      <c r="AJ109" s="17"/>
      <c r="AK109" s="17"/>
      <c r="AL109" s="661">
        <f t="shared" si="108"/>
        <v>0</v>
      </c>
      <c r="AM109" s="17"/>
      <c r="AN109" s="17"/>
      <c r="AO109" s="17"/>
      <c r="AP109" s="661">
        <f t="shared" si="109"/>
        <v>0</v>
      </c>
      <c r="AQ109" s="17"/>
      <c r="AR109" s="17"/>
      <c r="AS109" s="17"/>
      <c r="AT109" s="661">
        <f t="shared" si="110"/>
        <v>0</v>
      </c>
      <c r="AU109" s="17"/>
      <c r="AV109" s="17"/>
      <c r="AW109" s="17"/>
      <c r="AX109" s="661">
        <f t="shared" si="111"/>
        <v>0</v>
      </c>
      <c r="AY109" s="17"/>
      <c r="AZ109" s="17"/>
      <c r="BA109" s="17"/>
      <c r="BB109" s="661">
        <f t="shared" si="112"/>
        <v>0</v>
      </c>
    </row>
    <row r="110" spans="1:54">
      <c r="A110" s="571" t="s">
        <v>3026</v>
      </c>
      <c r="B110" s="17"/>
      <c r="C110" s="17"/>
      <c r="D110" s="17"/>
      <c r="E110" s="17"/>
      <c r="F110" s="661">
        <f t="shared" si="113"/>
        <v>0</v>
      </c>
      <c r="G110" s="17"/>
      <c r="H110" s="17"/>
      <c r="I110" s="17"/>
      <c r="J110" s="661">
        <f>G110-H110</f>
        <v>0</v>
      </c>
      <c r="K110" s="17"/>
      <c r="L110" s="17"/>
      <c r="M110" s="17"/>
      <c r="N110" s="661">
        <f>K110-L110</f>
        <v>0</v>
      </c>
      <c r="O110" s="872"/>
      <c r="P110" s="872"/>
      <c r="Q110" s="17"/>
      <c r="R110" s="661">
        <f>O110-P110</f>
        <v>0</v>
      </c>
      <c r="S110" s="17"/>
      <c r="T110" s="17"/>
      <c r="U110" s="17"/>
      <c r="V110" s="661">
        <f t="shared" si="104"/>
        <v>0</v>
      </c>
      <c r="W110" s="17"/>
      <c r="X110" s="17"/>
      <c r="Y110" s="17"/>
      <c r="Z110" s="661">
        <f t="shared" si="105"/>
        <v>0</v>
      </c>
      <c r="AA110" s="17"/>
      <c r="AB110" s="17"/>
      <c r="AC110" s="17"/>
      <c r="AD110" s="661">
        <f t="shared" si="106"/>
        <v>0</v>
      </c>
      <c r="AE110" s="17">
        <v>36020.5</v>
      </c>
      <c r="AF110" s="17">
        <v>36020.5</v>
      </c>
      <c r="AG110" s="17"/>
      <c r="AH110" s="661">
        <f t="shared" si="107"/>
        <v>0</v>
      </c>
      <c r="AI110" s="17"/>
      <c r="AJ110" s="17"/>
      <c r="AK110" s="17"/>
      <c r="AL110" s="661">
        <f t="shared" si="108"/>
        <v>0</v>
      </c>
      <c r="AM110" s="17">
        <v>30</v>
      </c>
      <c r="AN110" s="17">
        <v>30</v>
      </c>
      <c r="AO110" s="17"/>
      <c r="AP110" s="661">
        <f t="shared" si="109"/>
        <v>0</v>
      </c>
      <c r="AQ110" s="17"/>
      <c r="AR110" s="17"/>
      <c r="AS110" s="17"/>
      <c r="AT110" s="661">
        <f t="shared" si="110"/>
        <v>0</v>
      </c>
      <c r="AU110" s="17"/>
      <c r="AV110" s="17"/>
      <c r="AW110" s="17"/>
      <c r="AX110" s="661">
        <f t="shared" si="111"/>
        <v>0</v>
      </c>
      <c r="AY110" s="17"/>
      <c r="AZ110" s="17"/>
      <c r="BA110" s="17"/>
      <c r="BB110" s="661">
        <f t="shared" si="112"/>
        <v>0</v>
      </c>
    </row>
    <row r="111" spans="1:54">
      <c r="A111" s="3" t="s">
        <v>254</v>
      </c>
      <c r="B111" s="17"/>
      <c r="C111" s="17"/>
      <c r="D111" s="17"/>
      <c r="E111" s="17"/>
      <c r="F111" s="661">
        <f t="shared" si="113"/>
        <v>0</v>
      </c>
      <c r="G111" s="17"/>
      <c r="H111" s="17"/>
      <c r="I111" s="17"/>
      <c r="J111" s="661">
        <f t="shared" si="101"/>
        <v>0</v>
      </c>
      <c r="K111" s="17"/>
      <c r="L111" s="17"/>
      <c r="M111" s="17"/>
      <c r="N111" s="661">
        <f t="shared" si="102"/>
        <v>0</v>
      </c>
      <c r="O111" s="872"/>
      <c r="P111" s="872"/>
      <c r="Q111" s="17"/>
      <c r="R111" s="661">
        <f t="shared" si="103"/>
        <v>0</v>
      </c>
      <c r="S111" s="17"/>
      <c r="T111" s="17"/>
      <c r="U111" s="17"/>
      <c r="V111" s="661">
        <f t="shared" si="104"/>
        <v>0</v>
      </c>
      <c r="W111" s="17"/>
      <c r="X111" s="17"/>
      <c r="Y111" s="17"/>
      <c r="Z111" s="661">
        <f t="shared" si="105"/>
        <v>0</v>
      </c>
      <c r="AA111" s="17"/>
      <c r="AB111" s="17"/>
      <c r="AC111" s="17"/>
      <c r="AD111" s="661">
        <f t="shared" si="106"/>
        <v>0</v>
      </c>
      <c r="AE111" s="17"/>
      <c r="AF111" s="17"/>
      <c r="AG111" s="17"/>
      <c r="AH111" s="661">
        <f t="shared" si="107"/>
        <v>0</v>
      </c>
      <c r="AI111" s="17"/>
      <c r="AJ111" s="17"/>
      <c r="AK111" s="17"/>
      <c r="AL111" s="661">
        <f t="shared" si="108"/>
        <v>0</v>
      </c>
      <c r="AM111" s="17"/>
      <c r="AN111" s="17"/>
      <c r="AO111" s="17"/>
      <c r="AP111" s="661">
        <f t="shared" si="109"/>
        <v>0</v>
      </c>
      <c r="AQ111" s="17"/>
      <c r="AR111" s="17"/>
      <c r="AS111" s="17"/>
      <c r="AT111" s="661">
        <f t="shared" si="110"/>
        <v>0</v>
      </c>
      <c r="AU111" s="17"/>
      <c r="AV111" s="17"/>
      <c r="AW111" s="17"/>
      <c r="AX111" s="661">
        <f t="shared" si="111"/>
        <v>0</v>
      </c>
      <c r="AY111" s="17"/>
      <c r="AZ111" s="17"/>
      <c r="BA111" s="17"/>
      <c r="BB111" s="661">
        <f t="shared" si="112"/>
        <v>0</v>
      </c>
    </row>
    <row r="112" spans="1:54">
      <c r="A112" s="3" t="s">
        <v>255</v>
      </c>
      <c r="B112" s="17"/>
      <c r="C112" s="17"/>
      <c r="D112" s="17"/>
      <c r="E112" s="17"/>
      <c r="F112" s="661">
        <f t="shared" si="113"/>
        <v>0</v>
      </c>
      <c r="G112" s="17"/>
      <c r="H112" s="17"/>
      <c r="I112" s="17"/>
      <c r="J112" s="661">
        <f t="shared" si="101"/>
        <v>0</v>
      </c>
      <c r="K112" s="17"/>
      <c r="L112" s="17"/>
      <c r="M112" s="17"/>
      <c r="N112" s="661">
        <f t="shared" si="102"/>
        <v>0</v>
      </c>
      <c r="O112" s="872"/>
      <c r="P112" s="872"/>
      <c r="Q112" s="17"/>
      <c r="R112" s="661">
        <f t="shared" si="103"/>
        <v>0</v>
      </c>
      <c r="S112" s="17"/>
      <c r="T112" s="17"/>
      <c r="U112" s="17"/>
      <c r="V112" s="661">
        <f t="shared" si="104"/>
        <v>0</v>
      </c>
      <c r="W112" s="17"/>
      <c r="X112" s="17"/>
      <c r="Y112" s="17"/>
      <c r="Z112" s="661">
        <f t="shared" si="105"/>
        <v>0</v>
      </c>
      <c r="AA112" s="17"/>
      <c r="AB112" s="17"/>
      <c r="AC112" s="17"/>
      <c r="AD112" s="661">
        <f t="shared" si="106"/>
        <v>0</v>
      </c>
      <c r="AE112" s="17"/>
      <c r="AF112" s="17"/>
      <c r="AG112" s="17"/>
      <c r="AH112" s="661">
        <f t="shared" si="107"/>
        <v>0</v>
      </c>
      <c r="AI112" s="17"/>
      <c r="AJ112" s="17"/>
      <c r="AK112" s="17"/>
      <c r="AL112" s="661">
        <f t="shared" si="108"/>
        <v>0</v>
      </c>
      <c r="AM112" s="17"/>
      <c r="AN112" s="17"/>
      <c r="AO112" s="17"/>
      <c r="AP112" s="661">
        <f t="shared" si="109"/>
        <v>0</v>
      </c>
      <c r="AQ112" s="17"/>
      <c r="AR112" s="17"/>
      <c r="AS112" s="17"/>
      <c r="AT112" s="661">
        <f t="shared" si="110"/>
        <v>0</v>
      </c>
      <c r="AU112" s="17"/>
      <c r="AV112" s="17"/>
      <c r="AW112" s="17"/>
      <c r="AX112" s="661">
        <f t="shared" si="111"/>
        <v>0</v>
      </c>
      <c r="AY112" s="17"/>
      <c r="AZ112" s="17"/>
      <c r="BA112" s="17"/>
      <c r="BB112" s="661">
        <f t="shared" si="112"/>
        <v>0</v>
      </c>
    </row>
    <row r="113" spans="1:54">
      <c r="A113" s="711" t="s">
        <v>2919</v>
      </c>
      <c r="B113" s="17"/>
      <c r="C113" s="872"/>
      <c r="D113" s="17"/>
      <c r="E113" s="17"/>
      <c r="F113" s="661">
        <f t="shared" si="113"/>
        <v>0</v>
      </c>
      <c r="G113" s="17"/>
      <c r="H113" s="17"/>
      <c r="I113" s="17"/>
      <c r="J113" s="661">
        <f t="shared" si="101"/>
        <v>0</v>
      </c>
      <c r="K113" s="17"/>
      <c r="L113" s="17"/>
      <c r="M113" s="17"/>
      <c r="N113" s="661">
        <f t="shared" si="102"/>
        <v>0</v>
      </c>
      <c r="O113" s="872"/>
      <c r="P113" s="872"/>
      <c r="Q113" s="17"/>
      <c r="R113" s="661">
        <f t="shared" si="103"/>
        <v>0</v>
      </c>
      <c r="S113" s="17"/>
      <c r="T113" s="17"/>
      <c r="U113" s="17"/>
      <c r="V113" s="661"/>
      <c r="W113" s="17"/>
      <c r="X113" s="17"/>
      <c r="Y113" s="17"/>
      <c r="Z113" s="661"/>
      <c r="AA113" s="17"/>
      <c r="AB113" s="17"/>
      <c r="AC113" s="17"/>
      <c r="AD113" s="661"/>
      <c r="AE113" s="17"/>
      <c r="AF113" s="17"/>
      <c r="AG113" s="17"/>
      <c r="AH113" s="661"/>
      <c r="AI113" s="17"/>
      <c r="AJ113" s="17"/>
      <c r="AK113" s="17"/>
      <c r="AL113" s="661"/>
      <c r="AM113" s="17"/>
      <c r="AN113" s="17"/>
      <c r="AO113" s="17"/>
      <c r="AP113" s="661"/>
      <c r="AQ113" s="17"/>
      <c r="AR113" s="17"/>
      <c r="AS113" s="17"/>
      <c r="AT113" s="661"/>
      <c r="AU113" s="17"/>
      <c r="AV113" s="17"/>
      <c r="AW113" s="17"/>
      <c r="AX113" s="661"/>
      <c r="AY113" s="17"/>
      <c r="AZ113" s="17"/>
      <c r="BA113" s="17"/>
      <c r="BB113" s="661"/>
    </row>
    <row r="114" spans="1:54">
      <c r="A114" s="4"/>
      <c r="B114" s="21"/>
      <c r="C114" s="21"/>
      <c r="D114" s="21"/>
      <c r="E114" s="21"/>
      <c r="F114" s="665"/>
      <c r="G114" s="21"/>
      <c r="H114" s="21"/>
      <c r="I114" s="21"/>
      <c r="J114" s="665"/>
      <c r="K114" s="21"/>
      <c r="L114" s="21"/>
      <c r="M114" s="21"/>
      <c r="N114" s="665"/>
      <c r="O114" s="21"/>
      <c r="P114" s="21"/>
      <c r="Q114" s="21"/>
      <c r="R114" s="665"/>
      <c r="S114" s="21"/>
      <c r="T114" s="21"/>
      <c r="U114" s="21"/>
      <c r="V114" s="665"/>
      <c r="W114" s="21"/>
      <c r="X114" s="21"/>
      <c r="Y114" s="21"/>
      <c r="Z114" s="665"/>
      <c r="AA114" s="21"/>
      <c r="AB114" s="21"/>
      <c r="AC114" s="21"/>
      <c r="AD114" s="665"/>
      <c r="AE114" s="21"/>
      <c r="AF114" s="21"/>
      <c r="AG114" s="21"/>
      <c r="AH114" s="665"/>
      <c r="AI114" s="21"/>
      <c r="AJ114" s="21"/>
      <c r="AK114" s="21"/>
      <c r="AL114" s="665"/>
      <c r="AM114" s="21"/>
      <c r="AN114" s="21"/>
      <c r="AO114" s="21"/>
      <c r="AP114" s="665"/>
      <c r="AQ114" s="21"/>
      <c r="AR114" s="21"/>
      <c r="AS114" s="21"/>
      <c r="AT114" s="665"/>
      <c r="AU114" s="21"/>
      <c r="AV114" s="21"/>
      <c r="AW114" s="21"/>
      <c r="AX114" s="665"/>
      <c r="AY114" s="21"/>
      <c r="AZ114" s="21"/>
      <c r="BA114" s="21"/>
      <c r="BB114" s="665"/>
    </row>
    <row r="121" spans="1:54">
      <c r="A121" s="558" t="s">
        <v>1700</v>
      </c>
    </row>
    <row r="122" spans="1:54">
      <c r="C122" s="659" t="s">
        <v>257</v>
      </c>
      <c r="D122" s="659" t="s">
        <v>258</v>
      </c>
      <c r="E122" s="659" t="s">
        <v>197</v>
      </c>
      <c r="F122" s="659" t="s">
        <v>198</v>
      </c>
      <c r="G122" s="659" t="s">
        <v>199</v>
      </c>
      <c r="H122" s="659" t="s">
        <v>200</v>
      </c>
      <c r="I122" s="659" t="s">
        <v>201</v>
      </c>
      <c r="J122" s="659" t="s">
        <v>222</v>
      </c>
      <c r="K122" s="659" t="s">
        <v>203</v>
      </c>
      <c r="L122" s="659" t="s">
        <v>204</v>
      </c>
      <c r="M122" s="659" t="s">
        <v>1701</v>
      </c>
      <c r="N122" s="659" t="s">
        <v>206</v>
      </c>
      <c r="O122" s="659" t="s">
        <v>699</v>
      </c>
    </row>
    <row r="123" spans="1:54">
      <c r="A123" t="s">
        <v>259</v>
      </c>
      <c r="C123" s="10">
        <f>C65</f>
        <v>242252.08201967998</v>
      </c>
      <c r="D123" s="22">
        <f>G65</f>
        <v>57937.760312650003</v>
      </c>
      <c r="E123" s="22">
        <f>K65</f>
        <v>93256.528511389697</v>
      </c>
      <c r="F123" s="22">
        <f>O65</f>
        <v>551493.52637388499</v>
      </c>
      <c r="G123" s="22">
        <f>S65</f>
        <v>22907.567665000002</v>
      </c>
      <c r="H123" s="22">
        <f>W65</f>
        <v>520896.20263931999</v>
      </c>
      <c r="I123" s="22">
        <f>AA65</f>
        <v>279819.81404800003</v>
      </c>
      <c r="J123" s="22">
        <f>AE65</f>
        <v>95917.945000000007</v>
      </c>
      <c r="K123" s="22">
        <f>AI65</f>
        <v>130676.35164000001</v>
      </c>
      <c r="L123" s="22">
        <f>AM65</f>
        <v>723790.09461499983</v>
      </c>
      <c r="M123" s="22">
        <f>AQ65</f>
        <v>50926.7265252</v>
      </c>
      <c r="N123" s="22">
        <f>AU65</f>
        <v>372484.62850683997</v>
      </c>
      <c r="O123" s="22"/>
    </row>
    <row r="124" spans="1:54">
      <c r="A124" t="s">
        <v>260</v>
      </c>
      <c r="C124" s="10">
        <f>C6</f>
        <v>166758.93841249999</v>
      </c>
      <c r="D124" s="22">
        <f>G6</f>
        <v>161668.26415025</v>
      </c>
      <c r="E124" s="22">
        <f>K6</f>
        <v>208992.39620359999</v>
      </c>
      <c r="F124" s="22">
        <f>O6</f>
        <v>341244.28076133004</v>
      </c>
      <c r="G124" s="22">
        <f>S6</f>
        <v>146734.5</v>
      </c>
      <c r="H124" s="22">
        <f>W6</f>
        <v>211025.24588551998</v>
      </c>
      <c r="I124" s="22">
        <f>AA6</f>
        <v>446954.85599999997</v>
      </c>
      <c r="J124" s="22">
        <f>AE6</f>
        <v>159878.886</v>
      </c>
      <c r="K124" s="22">
        <f>AI6</f>
        <v>273286.26199999999</v>
      </c>
      <c r="L124" s="22">
        <f>AM6</f>
        <v>509501.68685250002</v>
      </c>
      <c r="M124" s="22">
        <f>AQ6</f>
        <v>149487.76217</v>
      </c>
      <c r="N124" s="22">
        <f>AU6</f>
        <v>922841.45</v>
      </c>
      <c r="O124" s="22">
        <f>SUM(C124:N124)</f>
        <v>3698374.5284356996</v>
      </c>
    </row>
    <row r="126" spans="1:54">
      <c r="C126" s="22">
        <f t="shared" ref="C126:N126" si="114">+C123+C125</f>
        <v>242252.08201967998</v>
      </c>
      <c r="D126" s="22">
        <f t="shared" si="114"/>
        <v>57937.760312650003</v>
      </c>
      <c r="E126" s="22">
        <f t="shared" si="114"/>
        <v>93256.528511389697</v>
      </c>
      <c r="F126" s="22">
        <f t="shared" si="114"/>
        <v>551493.52637388499</v>
      </c>
      <c r="G126" s="22">
        <f t="shared" si="114"/>
        <v>22907.567665000002</v>
      </c>
      <c r="H126" s="22">
        <f t="shared" si="114"/>
        <v>520896.20263931999</v>
      </c>
      <c r="I126" s="22">
        <f t="shared" si="114"/>
        <v>279819.81404800003</v>
      </c>
      <c r="J126" s="22">
        <f t="shared" si="114"/>
        <v>95917.945000000007</v>
      </c>
      <c r="K126" s="22">
        <f t="shared" si="114"/>
        <v>130676.35164000001</v>
      </c>
      <c r="L126" s="22">
        <f t="shared" si="114"/>
        <v>723790.09461499983</v>
      </c>
      <c r="M126" s="22">
        <f t="shared" si="114"/>
        <v>50926.7265252</v>
      </c>
      <c r="N126" s="22">
        <f t="shared" si="114"/>
        <v>372484.62850683997</v>
      </c>
      <c r="O126" s="22">
        <f>+O123+O125</f>
        <v>0</v>
      </c>
    </row>
    <row r="128" spans="1:54">
      <c r="A128" t="s">
        <v>1358</v>
      </c>
      <c r="C128" s="22">
        <f>F65</f>
        <v>-11238.207129999995</v>
      </c>
      <c r="D128" s="22">
        <f>J65</f>
        <v>0</v>
      </c>
      <c r="E128" s="22">
        <f>N65</f>
        <v>0</v>
      </c>
      <c r="F128" s="22">
        <f>R65</f>
        <v>0</v>
      </c>
      <c r="G128" s="22">
        <f>V65</f>
        <v>0</v>
      </c>
      <c r="H128" s="22">
        <f>Z65</f>
        <v>280606.15456</v>
      </c>
      <c r="I128" s="22">
        <f>AD65</f>
        <v>178059.18504800001</v>
      </c>
      <c r="J128" s="22">
        <f>AH65</f>
        <v>0</v>
      </c>
      <c r="K128" s="22">
        <f>AL65</f>
        <v>35019.415999999997</v>
      </c>
      <c r="L128" s="22">
        <f>AP65</f>
        <v>638232.93099999998</v>
      </c>
      <c r="M128" s="22">
        <f>AT65</f>
        <v>26630.924051999998</v>
      </c>
      <c r="N128" s="22">
        <f t="shared" ref="N128:BB128" si="115">AX65</f>
        <v>320828.85795174999</v>
      </c>
      <c r="O128" s="22">
        <f t="shared" si="115"/>
        <v>0</v>
      </c>
      <c r="P128" s="22">
        <f t="shared" si="115"/>
        <v>0</v>
      </c>
      <c r="Q128" s="22">
        <f t="shared" si="115"/>
        <v>0</v>
      </c>
      <c r="R128" s="22">
        <f t="shared" si="115"/>
        <v>0</v>
      </c>
      <c r="S128" s="22">
        <f t="shared" si="115"/>
        <v>0</v>
      </c>
      <c r="T128" s="22">
        <f t="shared" si="115"/>
        <v>0</v>
      </c>
      <c r="U128" s="22">
        <f t="shared" si="115"/>
        <v>0</v>
      </c>
      <c r="V128" s="22">
        <f t="shared" si="115"/>
        <v>0</v>
      </c>
      <c r="W128" s="22">
        <f t="shared" si="115"/>
        <v>0</v>
      </c>
      <c r="X128" s="22">
        <f t="shared" si="115"/>
        <v>0</v>
      </c>
      <c r="Y128" s="22">
        <f t="shared" si="115"/>
        <v>0</v>
      </c>
      <c r="Z128" s="22">
        <f t="shared" si="115"/>
        <v>0</v>
      </c>
      <c r="AA128" s="22">
        <f t="shared" si="115"/>
        <v>0</v>
      </c>
      <c r="AB128" s="22">
        <f t="shared" si="115"/>
        <v>0</v>
      </c>
      <c r="AC128" s="22">
        <f t="shared" si="115"/>
        <v>0</v>
      </c>
      <c r="AD128" s="22">
        <f t="shared" si="115"/>
        <v>0</v>
      </c>
      <c r="AE128" s="22">
        <f t="shared" si="115"/>
        <v>0</v>
      </c>
      <c r="AF128" s="22">
        <f t="shared" si="115"/>
        <v>0</v>
      </c>
      <c r="AG128" s="22">
        <f t="shared" si="115"/>
        <v>0</v>
      </c>
      <c r="AH128" s="22">
        <f t="shared" si="115"/>
        <v>0</v>
      </c>
      <c r="AI128" s="22">
        <f t="shared" si="115"/>
        <v>0</v>
      </c>
      <c r="AJ128" s="22">
        <f t="shared" si="115"/>
        <v>0</v>
      </c>
      <c r="AK128" s="22">
        <f t="shared" si="115"/>
        <v>0</v>
      </c>
      <c r="AL128" s="22">
        <f t="shared" si="115"/>
        <v>0</v>
      </c>
      <c r="AM128" s="22">
        <f t="shared" si="115"/>
        <v>0</v>
      </c>
      <c r="AN128" s="22">
        <f t="shared" si="115"/>
        <v>0</v>
      </c>
      <c r="AO128" s="22">
        <f t="shared" si="115"/>
        <v>0</v>
      </c>
      <c r="AP128" s="22">
        <f t="shared" si="115"/>
        <v>0</v>
      </c>
      <c r="AQ128" s="22">
        <f t="shared" si="115"/>
        <v>0</v>
      </c>
      <c r="AR128" s="22">
        <f t="shared" si="115"/>
        <v>0</v>
      </c>
      <c r="AS128" s="22">
        <f t="shared" si="115"/>
        <v>0</v>
      </c>
      <c r="AT128" s="22">
        <f t="shared" si="115"/>
        <v>0</v>
      </c>
      <c r="AU128" s="22">
        <f t="shared" si="115"/>
        <v>0</v>
      </c>
      <c r="AV128" s="22">
        <f t="shared" si="115"/>
        <v>0</v>
      </c>
      <c r="AW128" s="22">
        <f t="shared" si="115"/>
        <v>0</v>
      </c>
      <c r="AX128" s="22">
        <f t="shared" si="115"/>
        <v>0</v>
      </c>
      <c r="AY128" s="22">
        <f t="shared" si="115"/>
        <v>0</v>
      </c>
      <c r="AZ128" s="22">
        <f t="shared" si="115"/>
        <v>0</v>
      </c>
      <c r="BA128" s="22">
        <f t="shared" si="115"/>
        <v>0</v>
      </c>
      <c r="BB128" s="22">
        <f t="shared" si="115"/>
        <v>0</v>
      </c>
    </row>
    <row r="129" spans="1:54">
      <c r="A129" t="s">
        <v>1368</v>
      </c>
      <c r="C129" s="22">
        <f>F6</f>
        <v>0</v>
      </c>
      <c r="D129" s="22">
        <f>J6</f>
        <v>0</v>
      </c>
      <c r="E129" s="22">
        <f>N6</f>
        <v>79108.214999999997</v>
      </c>
      <c r="F129" s="22">
        <f>R6</f>
        <v>0</v>
      </c>
      <c r="G129" s="22"/>
      <c r="H129" s="22">
        <f>Z6</f>
        <v>0</v>
      </c>
      <c r="I129" s="22">
        <f>AD6</f>
        <v>328750</v>
      </c>
      <c r="J129" s="22">
        <f>AH6</f>
        <v>0</v>
      </c>
      <c r="K129" s="22">
        <f>AL6</f>
        <v>203713.40100000001</v>
      </c>
      <c r="L129" s="22">
        <f>AP6</f>
        <v>303250</v>
      </c>
      <c r="M129" s="22">
        <f>AT6</f>
        <v>0</v>
      </c>
      <c r="N129" s="22">
        <f t="shared" ref="N129:BB129" si="116">AX6</f>
        <v>65661.45</v>
      </c>
      <c r="O129" s="22">
        <f t="shared" si="116"/>
        <v>0</v>
      </c>
      <c r="P129" s="22">
        <f t="shared" si="116"/>
        <v>0</v>
      </c>
      <c r="Q129" s="22">
        <f t="shared" si="116"/>
        <v>0</v>
      </c>
      <c r="R129" s="22">
        <f t="shared" si="116"/>
        <v>0</v>
      </c>
      <c r="S129" s="22">
        <f t="shared" si="116"/>
        <v>0</v>
      </c>
      <c r="T129" s="22">
        <f t="shared" si="116"/>
        <v>0</v>
      </c>
      <c r="U129" s="22">
        <f t="shared" si="116"/>
        <v>0</v>
      </c>
      <c r="V129" s="22">
        <f t="shared" si="116"/>
        <v>0</v>
      </c>
      <c r="W129" s="22">
        <f t="shared" si="116"/>
        <v>0</v>
      </c>
      <c r="X129" s="22">
        <f t="shared" si="116"/>
        <v>0</v>
      </c>
      <c r="Y129" s="22">
        <f t="shared" si="116"/>
        <v>0</v>
      </c>
      <c r="Z129" s="22">
        <f t="shared" si="116"/>
        <v>0</v>
      </c>
      <c r="AA129" s="22">
        <f t="shared" si="116"/>
        <v>0</v>
      </c>
      <c r="AB129" s="22">
        <f t="shared" si="116"/>
        <v>0</v>
      </c>
      <c r="AC129" s="22">
        <f t="shared" si="116"/>
        <v>0</v>
      </c>
      <c r="AD129" s="22">
        <f t="shared" si="116"/>
        <v>0</v>
      </c>
      <c r="AE129" s="22">
        <f t="shared" si="116"/>
        <v>0</v>
      </c>
      <c r="AF129" s="22">
        <f t="shared" si="116"/>
        <v>0</v>
      </c>
      <c r="AG129" s="22">
        <f t="shared" si="116"/>
        <v>0</v>
      </c>
      <c r="AH129" s="22">
        <f t="shared" si="116"/>
        <v>0</v>
      </c>
      <c r="AI129" s="22">
        <f t="shared" si="116"/>
        <v>0</v>
      </c>
      <c r="AJ129" s="22">
        <f t="shared" si="116"/>
        <v>0</v>
      </c>
      <c r="AK129" s="22">
        <f t="shared" si="116"/>
        <v>0</v>
      </c>
      <c r="AL129" s="22">
        <f t="shared" si="116"/>
        <v>0</v>
      </c>
      <c r="AM129" s="22">
        <f t="shared" si="116"/>
        <v>0</v>
      </c>
      <c r="AN129" s="22">
        <f t="shared" si="116"/>
        <v>0</v>
      </c>
      <c r="AO129" s="22">
        <f t="shared" si="116"/>
        <v>0</v>
      </c>
      <c r="AP129" s="22">
        <f t="shared" si="116"/>
        <v>0</v>
      </c>
      <c r="AQ129" s="22">
        <f t="shared" si="116"/>
        <v>0</v>
      </c>
      <c r="AR129" s="22">
        <f t="shared" si="116"/>
        <v>0</v>
      </c>
      <c r="AS129" s="22">
        <f t="shared" si="116"/>
        <v>0</v>
      </c>
      <c r="AT129" s="22">
        <f t="shared" si="116"/>
        <v>0</v>
      </c>
      <c r="AU129" s="22">
        <f t="shared" si="116"/>
        <v>0</v>
      </c>
      <c r="AV129" s="22">
        <f t="shared" si="116"/>
        <v>0</v>
      </c>
      <c r="AW129" s="22">
        <f t="shared" si="116"/>
        <v>0</v>
      </c>
      <c r="AX129" s="22">
        <f t="shared" si="116"/>
        <v>0</v>
      </c>
      <c r="AY129" s="22">
        <f t="shared" si="116"/>
        <v>0</v>
      </c>
      <c r="AZ129" s="22">
        <f t="shared" si="116"/>
        <v>0</v>
      </c>
      <c r="BA129" s="22">
        <f t="shared" si="116"/>
        <v>0</v>
      </c>
      <c r="BB129" s="22">
        <f t="shared" si="116"/>
        <v>0</v>
      </c>
    </row>
    <row r="131" spans="1:54">
      <c r="A131" t="s">
        <v>1369</v>
      </c>
      <c r="C131" s="22">
        <f>E6+E65</f>
        <v>0</v>
      </c>
      <c r="D131" s="22">
        <f>I6+I65</f>
        <v>0</v>
      </c>
      <c r="E131" s="22">
        <f>M6+M65</f>
        <v>0</v>
      </c>
      <c r="F131" s="22">
        <f>Q6+Q65</f>
        <v>0</v>
      </c>
      <c r="G131" s="22">
        <f>U6+U65</f>
        <v>0</v>
      </c>
      <c r="H131" s="22">
        <f>Y6+Y65</f>
        <v>0</v>
      </c>
      <c r="I131" s="22">
        <f>AC6+AC65</f>
        <v>0</v>
      </c>
      <c r="J131" s="22">
        <f>AG6+AG65</f>
        <v>0</v>
      </c>
      <c r="K131" s="22">
        <f>AK6+AK65</f>
        <v>0</v>
      </c>
      <c r="L131" s="22">
        <f>AO6+AO65</f>
        <v>0</v>
      </c>
      <c r="M131" s="22">
        <f>AS6+AS65</f>
        <v>0</v>
      </c>
      <c r="N131" s="22">
        <f t="shared" ref="N131:BB131" si="117">AW6+AW65</f>
        <v>0</v>
      </c>
      <c r="O131" s="22">
        <f t="shared" si="117"/>
        <v>386490.30795175</v>
      </c>
      <c r="P131" s="22">
        <f t="shared" si="117"/>
        <v>0</v>
      </c>
      <c r="Q131" s="22">
        <f t="shared" si="117"/>
        <v>0</v>
      </c>
      <c r="R131" s="22">
        <f t="shared" si="117"/>
        <v>0</v>
      </c>
      <c r="S131" s="22">
        <f t="shared" si="117"/>
        <v>0</v>
      </c>
      <c r="T131" s="22">
        <f t="shared" si="117"/>
        <v>0</v>
      </c>
      <c r="U131" s="22">
        <f t="shared" si="117"/>
        <v>0</v>
      </c>
      <c r="V131" s="22">
        <f t="shared" si="117"/>
        <v>0</v>
      </c>
      <c r="W131" s="22">
        <f t="shared" si="117"/>
        <v>0</v>
      </c>
      <c r="X131" s="22">
        <f t="shared" si="117"/>
        <v>0</v>
      </c>
      <c r="Y131" s="22">
        <f t="shared" si="117"/>
        <v>0</v>
      </c>
      <c r="Z131" s="22">
        <f t="shared" si="117"/>
        <v>0</v>
      </c>
      <c r="AA131" s="22">
        <f t="shared" si="117"/>
        <v>0</v>
      </c>
      <c r="AB131" s="22">
        <f t="shared" si="117"/>
        <v>0</v>
      </c>
      <c r="AC131" s="22">
        <f t="shared" si="117"/>
        <v>0</v>
      </c>
      <c r="AD131" s="22">
        <f t="shared" si="117"/>
        <v>0</v>
      </c>
      <c r="AE131" s="22">
        <f t="shared" si="117"/>
        <v>0</v>
      </c>
      <c r="AF131" s="22">
        <f t="shared" si="117"/>
        <v>0</v>
      </c>
      <c r="AG131" s="22">
        <f t="shared" si="117"/>
        <v>0</v>
      </c>
      <c r="AH131" s="22">
        <f t="shared" si="117"/>
        <v>0</v>
      </c>
      <c r="AI131" s="22">
        <f t="shared" si="117"/>
        <v>0</v>
      </c>
      <c r="AJ131" s="22">
        <f t="shared" si="117"/>
        <v>0</v>
      </c>
      <c r="AK131" s="22">
        <f t="shared" si="117"/>
        <v>0</v>
      </c>
      <c r="AL131" s="22">
        <f t="shared" si="117"/>
        <v>0</v>
      </c>
      <c r="AM131" s="22">
        <f t="shared" si="117"/>
        <v>0</v>
      </c>
      <c r="AN131" s="22">
        <f t="shared" si="117"/>
        <v>0</v>
      </c>
      <c r="AO131" s="22">
        <f t="shared" si="117"/>
        <v>0</v>
      </c>
      <c r="AP131" s="22">
        <f t="shared" si="117"/>
        <v>0</v>
      </c>
      <c r="AQ131" s="22">
        <f t="shared" si="117"/>
        <v>0</v>
      </c>
      <c r="AR131" s="22">
        <f t="shared" si="117"/>
        <v>0</v>
      </c>
      <c r="AS131" s="22">
        <f t="shared" si="117"/>
        <v>0</v>
      </c>
      <c r="AT131" s="22">
        <f t="shared" si="117"/>
        <v>0</v>
      </c>
      <c r="AU131" s="22">
        <f t="shared" si="117"/>
        <v>0</v>
      </c>
      <c r="AV131" s="22">
        <f t="shared" si="117"/>
        <v>0</v>
      </c>
      <c r="AW131" s="22">
        <f t="shared" si="117"/>
        <v>0</v>
      </c>
      <c r="AX131" s="22">
        <f t="shared" si="117"/>
        <v>0</v>
      </c>
      <c r="AY131" s="22">
        <f t="shared" si="117"/>
        <v>0</v>
      </c>
      <c r="AZ131" s="22">
        <f t="shared" si="117"/>
        <v>0</v>
      </c>
      <c r="BA131" s="22">
        <f t="shared" si="117"/>
        <v>0</v>
      </c>
      <c r="BB131" s="22">
        <f t="shared" si="117"/>
        <v>0</v>
      </c>
    </row>
    <row r="132" spans="1:54">
      <c r="A132">
        <f>+'Fin-Int'!H27</f>
        <v>0</v>
      </c>
    </row>
  </sheetData>
  <phoneticPr fontId="0" type="noConversion"/>
  <pageMargins left="0.39370078740157483" right="0.31496062992125984" top="0.98425196850393704" bottom="0.98425196850393704" header="0.51181102362204722" footer="0.51181102362204722"/>
  <pageSetup paperSize="9" scale="55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5"/>
  <dimension ref="A1:AG132"/>
  <sheetViews>
    <sheetView showZeros="0" topLeftCell="A3" workbookViewId="0">
      <pane xSplit="2" ySplit="3" topLeftCell="O24" activePane="bottomRight" state="frozen"/>
      <selection activeCell="A3" sqref="A3"/>
      <selection pane="topRight" activeCell="C3" sqref="C3"/>
      <selection pane="bottomLeft" activeCell="A6" sqref="A6"/>
      <selection pane="bottomRight" activeCell="P33" sqref="P33"/>
    </sheetView>
  </sheetViews>
  <sheetFormatPr defaultColWidth="9.140625" defaultRowHeight="15.75"/>
  <cols>
    <col min="1" max="1" width="11.42578125" style="132" customWidth="1"/>
    <col min="2" max="2" width="43.5703125" style="132" customWidth="1"/>
    <col min="3" max="3" width="20.85546875" style="132" customWidth="1"/>
    <col min="4" max="4" width="21.42578125" style="132" customWidth="1"/>
    <col min="5" max="5" width="20.5703125" style="132" customWidth="1"/>
    <col min="6" max="6" width="19.7109375" style="132" customWidth="1"/>
    <col min="7" max="7" width="20.5703125" style="132" customWidth="1"/>
    <col min="8" max="8" width="21.85546875" style="132" bestFit="1" customWidth="1"/>
    <col min="9" max="9" width="20.85546875" style="132" customWidth="1"/>
    <col min="10" max="10" width="20.42578125" style="132" bestFit="1" customWidth="1"/>
    <col min="11" max="12" width="22" style="132" bestFit="1" customWidth="1"/>
    <col min="13" max="13" width="19.28515625" style="132" customWidth="1"/>
    <col min="14" max="14" width="21.28515625" style="132" customWidth="1"/>
    <col min="15" max="15" width="22" style="132" bestFit="1" customWidth="1"/>
    <col min="16" max="16" width="17.7109375" style="132" customWidth="1"/>
    <col min="17" max="17" width="18.5703125" style="132" customWidth="1"/>
    <col min="18" max="18" width="17.7109375" style="132" customWidth="1"/>
    <col min="19" max="19" width="20.5703125" style="132" bestFit="1" customWidth="1"/>
    <col min="20" max="20" width="19" style="132" customWidth="1"/>
    <col min="21" max="21" width="19.7109375" style="132" customWidth="1"/>
    <col min="22" max="22" width="19.5703125" style="132" customWidth="1"/>
    <col min="23" max="24" width="18.85546875" style="132" customWidth="1"/>
    <col min="25" max="25" width="20.28515625" style="132" bestFit="1" customWidth="1"/>
    <col min="26" max="26" width="19.28515625" style="132" customWidth="1"/>
    <col min="27" max="27" width="23.5703125" style="132" customWidth="1"/>
    <col min="28" max="28" width="22.85546875" style="132" bestFit="1" customWidth="1"/>
    <col min="29" max="29" width="11.42578125" style="132" customWidth="1"/>
    <col min="30" max="30" width="17.7109375" style="132" customWidth="1"/>
    <col min="31" max="31" width="17.5703125" style="132" customWidth="1"/>
    <col min="32" max="32" width="11.42578125" style="132" customWidth="1"/>
    <col min="33" max="33" width="17" style="132" customWidth="1"/>
    <col min="34" max="16384" width="9.140625" style="132"/>
  </cols>
  <sheetData>
    <row r="1" spans="1:33">
      <c r="B1" s="133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</row>
    <row r="2" spans="1:33" ht="45" customHeight="1">
      <c r="B2" s="135" t="s">
        <v>138</v>
      </c>
      <c r="G2" s="862"/>
      <c r="H2" s="134"/>
      <c r="I2" s="134"/>
      <c r="J2" s="136"/>
      <c r="K2" s="137"/>
      <c r="L2" s="138"/>
      <c r="M2" s="134"/>
      <c r="N2" s="134"/>
      <c r="O2" s="134"/>
      <c r="P2" s="862"/>
      <c r="Q2" s="135" t="s">
        <v>139</v>
      </c>
      <c r="R2" s="138"/>
      <c r="S2" s="138"/>
      <c r="T2" s="138"/>
      <c r="W2" s="134"/>
    </row>
    <row r="3" spans="1:33">
      <c r="B3" s="139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Q3" s="134"/>
      <c r="S3" s="134"/>
      <c r="T3" s="134"/>
      <c r="U3" s="134"/>
      <c r="V3" s="134"/>
    </row>
    <row r="4" spans="1:33" ht="23.25">
      <c r="C4" s="134"/>
      <c r="D4" s="134"/>
      <c r="E4" s="862"/>
      <c r="F4" s="134"/>
      <c r="G4" s="1201" t="s">
        <v>2884</v>
      </c>
      <c r="H4" s="134"/>
      <c r="I4" s="134"/>
      <c r="J4" s="877"/>
      <c r="K4" s="134"/>
      <c r="L4" s="134"/>
      <c r="M4" s="134"/>
      <c r="N4" s="1201" t="s">
        <v>2884</v>
      </c>
      <c r="O4" s="134"/>
      <c r="Q4" s="134"/>
      <c r="R4" s="134"/>
      <c r="T4" s="1201" t="s">
        <v>2884</v>
      </c>
      <c r="V4" s="134"/>
      <c r="X4" s="134"/>
      <c r="Z4" s="134"/>
    </row>
    <row r="5" spans="1:33" ht="59.25" customHeight="1">
      <c r="B5" s="745"/>
      <c r="C5" s="746" t="s">
        <v>2999</v>
      </c>
      <c r="D5" s="746" t="s">
        <v>3000</v>
      </c>
      <c r="E5" s="747" t="s">
        <v>3001</v>
      </c>
      <c r="F5" s="746" t="s">
        <v>3002</v>
      </c>
      <c r="G5" s="747" t="s">
        <v>3004</v>
      </c>
      <c r="H5" s="746" t="s">
        <v>3003</v>
      </c>
      <c r="I5" s="746" t="s">
        <v>3005</v>
      </c>
      <c r="J5" s="747" t="s">
        <v>3006</v>
      </c>
      <c r="K5" s="746" t="s">
        <v>3007</v>
      </c>
      <c r="L5" s="746" t="s">
        <v>3008</v>
      </c>
      <c r="M5" s="747" t="s">
        <v>3009</v>
      </c>
      <c r="N5" s="746" t="s">
        <v>3010</v>
      </c>
      <c r="O5" s="746" t="s">
        <v>3011</v>
      </c>
      <c r="P5" s="748" t="s">
        <v>2960</v>
      </c>
      <c r="Q5" s="746" t="s">
        <v>2961</v>
      </c>
      <c r="R5" s="748" t="s">
        <v>2962</v>
      </c>
      <c r="S5" s="746" t="s">
        <v>2963</v>
      </c>
      <c r="T5" s="748" t="s">
        <v>2964</v>
      </c>
      <c r="U5" s="746" t="s">
        <v>2965</v>
      </c>
      <c r="V5" s="748" t="s">
        <v>2966</v>
      </c>
      <c r="W5" s="746" t="s">
        <v>2967</v>
      </c>
      <c r="X5" s="748" t="s">
        <v>2968</v>
      </c>
      <c r="Y5" s="746" t="s">
        <v>2969</v>
      </c>
      <c r="Z5" s="748" t="s">
        <v>2970</v>
      </c>
      <c r="AA5" s="746" t="s">
        <v>2971</v>
      </c>
      <c r="AB5" s="748" t="s">
        <v>322</v>
      </c>
    </row>
    <row r="6" spans="1:33" ht="20.25" customHeight="1">
      <c r="A6" s="134"/>
      <c r="B6" s="142" t="s">
        <v>180</v>
      </c>
      <c r="C6" s="143">
        <f>C8+C9+C10+C11+C20+C21</f>
        <v>0</v>
      </c>
      <c r="D6" s="712">
        <f>(D7+D21)*0</f>
        <v>0</v>
      </c>
      <c r="E6" s="712">
        <f t="shared" ref="E6:N6" si="0">(E7+E21)*0</f>
        <v>0</v>
      </c>
      <c r="F6" s="712">
        <f t="shared" si="0"/>
        <v>0</v>
      </c>
      <c r="G6" s="712">
        <f t="shared" si="0"/>
        <v>0</v>
      </c>
      <c r="H6" s="712">
        <f t="shared" si="0"/>
        <v>0</v>
      </c>
      <c r="I6" s="712">
        <f t="shared" si="0"/>
        <v>0</v>
      </c>
      <c r="J6" s="712">
        <f t="shared" si="0"/>
        <v>0</v>
      </c>
      <c r="K6" s="712">
        <f t="shared" si="0"/>
        <v>0</v>
      </c>
      <c r="L6" s="712">
        <f t="shared" si="0"/>
        <v>0</v>
      </c>
      <c r="M6" s="712">
        <f t="shared" si="0"/>
        <v>0</v>
      </c>
      <c r="N6" s="712">
        <f t="shared" si="0"/>
        <v>0</v>
      </c>
      <c r="O6" s="712">
        <f t="shared" ref="O6" si="1">(O7+O21)</f>
        <v>11937178016</v>
      </c>
      <c r="P6" s="579">
        <f>D6</f>
        <v>0</v>
      </c>
      <c r="Q6" s="579">
        <f>E6-D6</f>
        <v>0</v>
      </c>
      <c r="R6" s="144">
        <f t="shared" ref="R6:V10" si="2">F6-E6</f>
        <v>0</v>
      </c>
      <c r="S6" s="144">
        <f t="shared" si="2"/>
        <v>0</v>
      </c>
      <c r="T6" s="144">
        <f t="shared" si="2"/>
        <v>0</v>
      </c>
      <c r="U6" s="144">
        <f t="shared" si="2"/>
        <v>0</v>
      </c>
      <c r="V6" s="144">
        <f t="shared" si="2"/>
        <v>0</v>
      </c>
      <c r="W6" s="144">
        <f t="shared" ref="W6:W12" si="3">K6-J6</f>
        <v>0</v>
      </c>
      <c r="X6" s="144">
        <f t="shared" ref="X6:X12" si="4">L6-K6</f>
        <v>0</v>
      </c>
      <c r="Y6" s="144">
        <f t="shared" ref="Y6:Y12" si="5">M6-L6</f>
        <v>0</v>
      </c>
      <c r="Z6" s="144">
        <f t="shared" ref="Z6:Z12" si="6">N6-M6</f>
        <v>0</v>
      </c>
      <c r="AA6" s="144">
        <f>(O6-N6)</f>
        <v>11937178016</v>
      </c>
      <c r="AB6" s="1149">
        <f>SUM(P6:AA6)</f>
        <v>11937178016</v>
      </c>
      <c r="AD6" s="868"/>
      <c r="AE6" s="675"/>
    </row>
    <row r="7" spans="1:33" ht="20.25" customHeight="1">
      <c r="A7" s="134"/>
      <c r="B7" s="145" t="s">
        <v>167</v>
      </c>
      <c r="C7" s="146">
        <f>C8+C9+C10+C11+C20</f>
        <v>0</v>
      </c>
      <c r="D7" s="713">
        <f>D8+D9+D10+D11+D20</f>
        <v>10201460</v>
      </c>
      <c r="E7" s="713">
        <f t="shared" ref="E7:N7" si="7">E8+E9+E10+E11+E20</f>
        <v>1272700687</v>
      </c>
      <c r="F7" s="713">
        <f t="shared" si="7"/>
        <v>1628724381</v>
      </c>
      <c r="G7" s="713">
        <f t="shared" si="7"/>
        <v>8513967206</v>
      </c>
      <c r="H7" s="713">
        <f t="shared" si="7"/>
        <v>0</v>
      </c>
      <c r="I7" s="713">
        <f t="shared" si="7"/>
        <v>3404614736</v>
      </c>
      <c r="J7" s="713">
        <f t="shared" si="7"/>
        <v>5390222313</v>
      </c>
      <c r="K7" s="713">
        <f t="shared" si="7"/>
        <v>7703461217</v>
      </c>
      <c r="L7" s="713">
        <f t="shared" si="7"/>
        <v>10666668004</v>
      </c>
      <c r="M7" s="713">
        <f t="shared" si="7"/>
        <v>0</v>
      </c>
      <c r="N7" s="713">
        <f t="shared" si="7"/>
        <v>0</v>
      </c>
      <c r="O7" s="713">
        <f>O8+O9+O10+O11+O20</f>
        <v>9047881467</v>
      </c>
      <c r="P7" s="579">
        <f>+D7</f>
        <v>10201460</v>
      </c>
      <c r="Q7" s="579">
        <f>E7-D7</f>
        <v>1262499227</v>
      </c>
      <c r="R7" s="144">
        <f t="shared" si="2"/>
        <v>356023694</v>
      </c>
      <c r="S7" s="144">
        <f t="shared" si="2"/>
        <v>6885242825</v>
      </c>
      <c r="T7" s="144">
        <f t="shared" si="2"/>
        <v>-8513967206</v>
      </c>
      <c r="U7" s="144">
        <f t="shared" si="2"/>
        <v>3404614736</v>
      </c>
      <c r="V7" s="144">
        <f t="shared" si="2"/>
        <v>1985607577</v>
      </c>
      <c r="W7" s="144">
        <f t="shared" si="3"/>
        <v>2313238904</v>
      </c>
      <c r="X7" s="144">
        <f t="shared" si="4"/>
        <v>2963206787</v>
      </c>
      <c r="Y7" s="144">
        <f t="shared" si="5"/>
        <v>-10666668004</v>
      </c>
      <c r="Z7" s="144">
        <f t="shared" si="6"/>
        <v>0</v>
      </c>
      <c r="AA7" s="144">
        <f t="shared" ref="AA7:AA12" si="8">O7-N7</f>
        <v>9047881467</v>
      </c>
      <c r="AB7" s="1149">
        <f>SUM(P7:AA7)</f>
        <v>9047881467</v>
      </c>
      <c r="AD7" s="675"/>
      <c r="AG7" s="675"/>
    </row>
    <row r="8" spans="1:33">
      <c r="B8" s="147" t="s">
        <v>157</v>
      </c>
      <c r="C8" s="148"/>
      <c r="D8" s="149">
        <v>523226</v>
      </c>
      <c r="E8" s="149">
        <f>127864368+D8</f>
        <v>128387594</v>
      </c>
      <c r="F8" s="149">
        <f>40502104+E8</f>
        <v>168889698</v>
      </c>
      <c r="G8" s="149">
        <f>3269930390+F8</f>
        <v>3438820088</v>
      </c>
      <c r="H8" s="149"/>
      <c r="I8" s="148">
        <v>1036345144</v>
      </c>
      <c r="J8" s="863">
        <f>249156812+I8</f>
        <v>1285501956</v>
      </c>
      <c r="K8" s="148">
        <v>4032850015</v>
      </c>
      <c r="L8" s="148">
        <f>76237078+K8</f>
        <v>4109087093</v>
      </c>
      <c r="M8" s="148"/>
      <c r="N8" s="148"/>
      <c r="O8" s="148">
        <f>'[38]ACULM. ATE DEZEM'!$G$9</f>
        <v>3462573062</v>
      </c>
      <c r="P8" s="580">
        <f>D8</f>
        <v>523226</v>
      </c>
      <c r="Q8" s="580">
        <f>E8-D8</f>
        <v>127864368</v>
      </c>
      <c r="R8" s="150">
        <f t="shared" si="2"/>
        <v>40502104</v>
      </c>
      <c r="S8" s="150">
        <f t="shared" si="2"/>
        <v>3269930390</v>
      </c>
      <c r="T8" s="150">
        <f t="shared" si="2"/>
        <v>-3438820088</v>
      </c>
      <c r="U8" s="150">
        <f t="shared" si="2"/>
        <v>1036345144</v>
      </c>
      <c r="V8" s="150">
        <f t="shared" si="2"/>
        <v>249156812</v>
      </c>
      <c r="W8" s="150">
        <f t="shared" si="3"/>
        <v>2747348059</v>
      </c>
      <c r="X8" s="150">
        <f t="shared" si="4"/>
        <v>76237078</v>
      </c>
      <c r="Y8" s="150">
        <f t="shared" si="5"/>
        <v>-4109087093</v>
      </c>
      <c r="Z8" s="150">
        <f t="shared" si="6"/>
        <v>0</v>
      </c>
      <c r="AA8" s="150">
        <f t="shared" si="8"/>
        <v>3462573062</v>
      </c>
      <c r="AB8" s="1149">
        <f>SUM(P8:AA8)</f>
        <v>3462573062</v>
      </c>
      <c r="AD8" s="675"/>
      <c r="AE8" s="134"/>
    </row>
    <row r="9" spans="1:33">
      <c r="B9" s="147" t="s">
        <v>158</v>
      </c>
      <c r="C9" s="148"/>
      <c r="D9" s="148"/>
      <c r="E9" s="148">
        <f>369140230+605480811</f>
        <v>974621041</v>
      </c>
      <c r="F9" s="148">
        <f>150750333+20280237+E9</f>
        <v>1145651611</v>
      </c>
      <c r="G9" s="148">
        <f>418307395+820858946+F9</f>
        <v>2384817952</v>
      </c>
      <c r="H9" s="148"/>
      <c r="I9" s="148">
        <f>722930472+500421530</f>
        <v>1223352002</v>
      </c>
      <c r="J9" s="148">
        <f>699034617+295882088+I9</f>
        <v>2218268707</v>
      </c>
      <c r="K9" s="148">
        <f>509800849+673486517</f>
        <v>1183287366</v>
      </c>
      <c r="L9" s="148">
        <f>496054591+1171425755+K9</f>
        <v>2850767712</v>
      </c>
      <c r="M9" s="148"/>
      <c r="N9" s="148"/>
      <c r="O9" s="148">
        <f>'[38]ACULM. ATE DEZEM'!$G$33+'[38]ACULM. ATE DEZEM'!$G$99</f>
        <v>1974901306</v>
      </c>
      <c r="P9" s="580">
        <f>D9</f>
        <v>0</v>
      </c>
      <c r="Q9" s="580">
        <f>E9-D9</f>
        <v>974621041</v>
      </c>
      <c r="R9" s="150">
        <f t="shared" si="2"/>
        <v>171030570</v>
      </c>
      <c r="S9" s="150">
        <f t="shared" si="2"/>
        <v>1239166341</v>
      </c>
      <c r="T9" s="150">
        <f t="shared" si="2"/>
        <v>-2384817952</v>
      </c>
      <c r="U9" s="150">
        <f t="shared" si="2"/>
        <v>1223352002</v>
      </c>
      <c r="V9" s="150">
        <f t="shared" si="2"/>
        <v>994916705</v>
      </c>
      <c r="W9" s="150">
        <f t="shared" si="3"/>
        <v>-1034981341</v>
      </c>
      <c r="X9" s="150">
        <f t="shared" si="4"/>
        <v>1667480346</v>
      </c>
      <c r="Y9" s="150">
        <f t="shared" si="5"/>
        <v>-2850767712</v>
      </c>
      <c r="Z9" s="150">
        <f t="shared" si="6"/>
        <v>0</v>
      </c>
      <c r="AA9" s="150">
        <f t="shared" si="8"/>
        <v>1974901306</v>
      </c>
      <c r="AB9" s="1149">
        <f>SUM(P9:AA9)</f>
        <v>1974901306</v>
      </c>
      <c r="AD9" s="675"/>
      <c r="AE9" s="134"/>
    </row>
    <row r="10" spans="1:33">
      <c r="B10" s="147" t="s">
        <v>159</v>
      </c>
      <c r="C10" s="148"/>
      <c r="D10" s="148">
        <v>9678234</v>
      </c>
      <c r="E10" s="148">
        <f>160013818+D10</f>
        <v>169692052</v>
      </c>
      <c r="F10" s="148">
        <f>144491020+E10</f>
        <v>314183072</v>
      </c>
      <c r="G10" s="148">
        <f>1342370114+F10</f>
        <v>1656553186</v>
      </c>
      <c r="H10" s="148"/>
      <c r="I10" s="148">
        <f>835851943</f>
        <v>835851943</v>
      </c>
      <c r="J10" s="148">
        <f>279791116+I10</f>
        <v>1115643059</v>
      </c>
      <c r="K10" s="148">
        <v>2208584836</v>
      </c>
      <c r="L10" s="148">
        <f>513261311+K10</f>
        <v>2721846147</v>
      </c>
      <c r="M10" s="148"/>
      <c r="N10" s="148"/>
      <c r="O10" s="148">
        <f>'[38]ACULM. ATE DEZEM'!$G$66</f>
        <v>1870055167</v>
      </c>
      <c r="P10" s="580">
        <f>D10</f>
        <v>9678234</v>
      </c>
      <c r="Q10" s="580">
        <f>E10-D10</f>
        <v>160013818</v>
      </c>
      <c r="R10" s="150">
        <f t="shared" si="2"/>
        <v>144491020</v>
      </c>
      <c r="S10" s="150">
        <f t="shared" si="2"/>
        <v>1342370114</v>
      </c>
      <c r="T10" s="150">
        <f t="shared" si="2"/>
        <v>-1656553186</v>
      </c>
      <c r="U10" s="150">
        <f t="shared" si="2"/>
        <v>835851943</v>
      </c>
      <c r="V10" s="150">
        <f t="shared" si="2"/>
        <v>279791116</v>
      </c>
      <c r="W10" s="150">
        <f t="shared" si="3"/>
        <v>1092941777</v>
      </c>
      <c r="X10" s="150">
        <f t="shared" si="4"/>
        <v>513261311</v>
      </c>
      <c r="Y10" s="150">
        <f t="shared" si="5"/>
        <v>-2721846147</v>
      </c>
      <c r="Z10" s="150">
        <f t="shared" si="6"/>
        <v>0</v>
      </c>
      <c r="AA10" s="150">
        <f t="shared" si="8"/>
        <v>1870055167</v>
      </c>
      <c r="AB10" s="1149">
        <f>SUM(P10:AA10)</f>
        <v>1870055167</v>
      </c>
      <c r="AD10" s="675"/>
      <c r="AE10" s="134"/>
    </row>
    <row r="11" spans="1:33">
      <c r="B11" s="147" t="s">
        <v>160</v>
      </c>
      <c r="C11" s="148">
        <f>+C12+C13</f>
        <v>0</v>
      </c>
      <c r="D11" s="148">
        <f t="shared" ref="D11:O11" si="9">+D12+D13</f>
        <v>0</v>
      </c>
      <c r="E11" s="148">
        <f t="shared" si="9"/>
        <v>0</v>
      </c>
      <c r="F11" s="148">
        <f t="shared" si="9"/>
        <v>0</v>
      </c>
      <c r="G11" s="148">
        <f t="shared" si="9"/>
        <v>973816165</v>
      </c>
      <c r="H11" s="148">
        <f t="shared" si="9"/>
        <v>0</v>
      </c>
      <c r="I11" s="148">
        <f t="shared" si="9"/>
        <v>293993347</v>
      </c>
      <c r="J11" s="148">
        <f t="shared" si="9"/>
        <v>770808591</v>
      </c>
      <c r="K11" s="148">
        <f t="shared" si="9"/>
        <v>0</v>
      </c>
      <c r="L11" s="148">
        <f t="shared" si="9"/>
        <v>260414680</v>
      </c>
      <c r="M11" s="148">
        <f t="shared" si="9"/>
        <v>0</v>
      </c>
      <c r="N11" s="148">
        <f t="shared" si="9"/>
        <v>0</v>
      </c>
      <c r="O11" s="148">
        <f t="shared" si="9"/>
        <v>1592572932</v>
      </c>
      <c r="P11" s="580">
        <f t="shared" ref="P11:P20" si="10">D11</f>
        <v>0</v>
      </c>
      <c r="Q11" s="150">
        <f t="shared" ref="Q11:V16" si="11">E11-D11</f>
        <v>0</v>
      </c>
      <c r="R11" s="150">
        <f t="shared" si="11"/>
        <v>0</v>
      </c>
      <c r="S11" s="150">
        <f t="shared" si="11"/>
        <v>973816165</v>
      </c>
      <c r="T11" s="150">
        <f t="shared" si="11"/>
        <v>-973816165</v>
      </c>
      <c r="U11" s="150">
        <f t="shared" si="11"/>
        <v>293993347</v>
      </c>
      <c r="V11" s="150">
        <f t="shared" si="11"/>
        <v>476815244</v>
      </c>
      <c r="W11" s="150">
        <f t="shared" si="3"/>
        <v>-770808591</v>
      </c>
      <c r="X11" s="150">
        <f t="shared" si="4"/>
        <v>260414680</v>
      </c>
      <c r="Y11" s="150">
        <f t="shared" si="5"/>
        <v>-260414680</v>
      </c>
      <c r="Z11" s="150">
        <f t="shared" si="6"/>
        <v>0</v>
      </c>
      <c r="AA11" s="150">
        <f t="shared" si="8"/>
        <v>1592572932</v>
      </c>
      <c r="AB11" s="1149">
        <f t="shared" ref="AB11:AB24" si="12">SUM(P11:AA11)</f>
        <v>1592572932</v>
      </c>
      <c r="AD11" s="675"/>
      <c r="AE11" s="134"/>
    </row>
    <row r="12" spans="1:33">
      <c r="B12" s="596" t="s">
        <v>161</v>
      </c>
      <c r="C12" s="148">
        <v>0</v>
      </c>
      <c r="D12" s="148">
        <v>0</v>
      </c>
      <c r="E12" s="148">
        <v>0</v>
      </c>
      <c r="F12" s="148"/>
      <c r="G12" s="148">
        <f>9655569+133733905</f>
        <v>143389474</v>
      </c>
      <c r="H12" s="148"/>
      <c r="I12" s="148">
        <v>9655569</v>
      </c>
      <c r="J12" s="134">
        <f>44129890+I12</f>
        <v>53785459</v>
      </c>
      <c r="K12" s="149"/>
      <c r="L12" s="148">
        <f>81896100+119172232</f>
        <v>201068332</v>
      </c>
      <c r="M12" s="148"/>
      <c r="N12" s="148"/>
      <c r="O12" s="148"/>
      <c r="P12" s="580">
        <f t="shared" si="10"/>
        <v>0</v>
      </c>
      <c r="Q12" s="150">
        <f t="shared" si="11"/>
        <v>0</v>
      </c>
      <c r="R12" s="150">
        <f>F12-E12</f>
        <v>0</v>
      </c>
      <c r="S12" s="150">
        <f>G12-F12</f>
        <v>143389474</v>
      </c>
      <c r="T12" s="150">
        <f>H12-G12</f>
        <v>-143389474</v>
      </c>
      <c r="U12" s="150">
        <f>I12-H12</f>
        <v>9655569</v>
      </c>
      <c r="V12" s="150">
        <f>J12-I12</f>
        <v>44129890</v>
      </c>
      <c r="W12" s="150">
        <f t="shared" si="3"/>
        <v>-53785459</v>
      </c>
      <c r="X12" s="150">
        <f t="shared" si="4"/>
        <v>201068332</v>
      </c>
      <c r="Y12" s="150">
        <f t="shared" si="5"/>
        <v>-201068332</v>
      </c>
      <c r="Z12" s="150">
        <f t="shared" si="6"/>
        <v>0</v>
      </c>
      <c r="AA12" s="150">
        <f t="shared" si="8"/>
        <v>0</v>
      </c>
      <c r="AB12" s="1149">
        <f t="shared" si="12"/>
        <v>0</v>
      </c>
      <c r="AD12" s="675"/>
      <c r="AE12" s="134"/>
    </row>
    <row r="13" spans="1:33">
      <c r="B13" s="147" t="s">
        <v>162</v>
      </c>
      <c r="C13" s="148"/>
      <c r="D13" s="148">
        <f t="shared" ref="D13:O13" si="13">D14+D15+D16</f>
        <v>0</v>
      </c>
      <c r="E13" s="718">
        <f t="shared" si="13"/>
        <v>0</v>
      </c>
      <c r="F13" s="148">
        <f t="shared" si="13"/>
        <v>0</v>
      </c>
      <c r="G13" s="148">
        <f t="shared" si="13"/>
        <v>830426691</v>
      </c>
      <c r="H13" s="148">
        <f t="shared" si="13"/>
        <v>0</v>
      </c>
      <c r="I13" s="148">
        <f t="shared" si="13"/>
        <v>284337778</v>
      </c>
      <c r="J13" s="148">
        <f t="shared" si="13"/>
        <v>717023132</v>
      </c>
      <c r="K13" s="1570">
        <f t="shared" si="13"/>
        <v>0</v>
      </c>
      <c r="L13" s="863">
        <f t="shared" si="13"/>
        <v>59346348</v>
      </c>
      <c r="M13" s="148">
        <f t="shared" si="13"/>
        <v>0</v>
      </c>
      <c r="N13" s="148">
        <f t="shared" si="13"/>
        <v>0</v>
      </c>
      <c r="O13" s="148">
        <f t="shared" si="13"/>
        <v>1592572932</v>
      </c>
      <c r="P13" s="580">
        <f t="shared" si="10"/>
        <v>0</v>
      </c>
      <c r="Q13" s="150">
        <f t="shared" si="11"/>
        <v>0</v>
      </c>
      <c r="R13" s="150">
        <f t="shared" si="11"/>
        <v>0</v>
      </c>
      <c r="S13" s="150">
        <f>G13-F13</f>
        <v>830426691</v>
      </c>
      <c r="T13" s="150">
        <f>H13-G13</f>
        <v>-830426691</v>
      </c>
      <c r="U13" s="150">
        <f t="shared" si="11"/>
        <v>284337778</v>
      </c>
      <c r="V13" s="150">
        <f t="shared" si="11"/>
        <v>432685354</v>
      </c>
      <c r="W13" s="150">
        <f>K13-J13</f>
        <v>-717023132</v>
      </c>
      <c r="X13" s="150">
        <f>L13-K13</f>
        <v>59346348</v>
      </c>
      <c r="Y13" s="150">
        <f>M13-L13</f>
        <v>-59346348</v>
      </c>
      <c r="Z13" s="150">
        <f>N13-M13</f>
        <v>0</v>
      </c>
      <c r="AA13" s="150">
        <f>O13-N13</f>
        <v>1592572932</v>
      </c>
      <c r="AB13" s="1149">
        <f t="shared" si="12"/>
        <v>1592572932</v>
      </c>
      <c r="AD13" s="675"/>
      <c r="AE13" s="134"/>
    </row>
    <row r="14" spans="1:33">
      <c r="B14" s="147" t="s">
        <v>140</v>
      </c>
      <c r="C14" s="148"/>
      <c r="D14" s="148"/>
      <c r="E14" s="718"/>
      <c r="F14" s="148"/>
      <c r="G14" s="148">
        <f>12567750+12264700+751167516</f>
        <v>775999966</v>
      </c>
      <c r="H14" s="148"/>
      <c r="I14" s="148">
        <v>229911053</v>
      </c>
      <c r="J14" s="149">
        <f>377383055+I14</f>
        <v>607294108</v>
      </c>
      <c r="K14" s="149"/>
      <c r="L14" s="148">
        <v>59346348</v>
      </c>
      <c r="M14" s="148"/>
      <c r="N14" s="148"/>
      <c r="O14" s="149">
        <f>'[38]ACULM. ATE DEZEM'!$G$117</f>
        <v>1592572932</v>
      </c>
      <c r="P14" s="580">
        <f t="shared" si="10"/>
        <v>0</v>
      </c>
      <c r="Q14" s="150">
        <f t="shared" si="11"/>
        <v>0</v>
      </c>
      <c r="R14" s="150">
        <f t="shared" si="11"/>
        <v>0</v>
      </c>
      <c r="S14" s="150">
        <f>G14-F14</f>
        <v>775999966</v>
      </c>
      <c r="T14" s="150">
        <f>H14-G14</f>
        <v>-775999966</v>
      </c>
      <c r="U14" s="150">
        <f t="shared" si="11"/>
        <v>229911053</v>
      </c>
      <c r="V14" s="150">
        <f t="shared" ref="V14:AA14" si="14">I24-I14</f>
        <v>148045628</v>
      </c>
      <c r="W14" s="150">
        <f t="shared" si="14"/>
        <v>152655939</v>
      </c>
      <c r="X14" s="150">
        <f t="shared" si="14"/>
        <v>0</v>
      </c>
      <c r="Y14" s="150">
        <f t="shared" si="14"/>
        <v>131480014</v>
      </c>
      <c r="Z14" s="150">
        <f t="shared" si="14"/>
        <v>0</v>
      </c>
      <c r="AA14" s="150">
        <f t="shared" si="14"/>
        <v>0</v>
      </c>
      <c r="AB14" s="1149">
        <f t="shared" si="12"/>
        <v>662092634</v>
      </c>
      <c r="AD14" s="675"/>
      <c r="AE14" s="134"/>
    </row>
    <row r="15" spans="1:33">
      <c r="B15" s="147" t="s">
        <v>179</v>
      </c>
      <c r="C15" s="148"/>
      <c r="D15" s="148"/>
      <c r="E15" s="148"/>
      <c r="F15" s="148"/>
      <c r="G15" s="148">
        <v>54426725</v>
      </c>
      <c r="H15" s="148"/>
      <c r="I15" s="148">
        <v>54426725</v>
      </c>
      <c r="J15" s="863">
        <f>55302299+I15</f>
        <v>109729024</v>
      </c>
      <c r="K15" s="863"/>
      <c r="L15" s="863"/>
      <c r="M15" s="148"/>
      <c r="N15" s="148"/>
      <c r="O15" s="149"/>
      <c r="P15" s="580">
        <f t="shared" si="10"/>
        <v>0</v>
      </c>
      <c r="Q15" s="150">
        <f t="shared" si="11"/>
        <v>0</v>
      </c>
      <c r="R15" s="150">
        <f t="shared" si="11"/>
        <v>0</v>
      </c>
      <c r="S15" s="150">
        <f t="shared" si="11"/>
        <v>54426725</v>
      </c>
      <c r="T15" s="150">
        <f t="shared" si="11"/>
        <v>-54426725</v>
      </c>
      <c r="U15" s="150">
        <f t="shared" si="11"/>
        <v>54426725</v>
      </c>
      <c r="V15" s="150">
        <f t="shared" si="11"/>
        <v>55302299</v>
      </c>
      <c r="W15" s="150">
        <f t="shared" ref="W15:W25" si="15">K15-J15</f>
        <v>-109729024</v>
      </c>
      <c r="X15" s="150">
        <f t="shared" ref="X15:X25" si="16">L15-K15</f>
        <v>0</v>
      </c>
      <c r="Y15" s="150">
        <f t="shared" ref="Y15:Y25" si="17">M15-L15</f>
        <v>0</v>
      </c>
      <c r="Z15" s="150">
        <f t="shared" ref="Z15:Z25" si="18">N15-M15</f>
        <v>0</v>
      </c>
      <c r="AA15" s="150">
        <f t="shared" ref="AA15:AA25" si="19">O15-N15</f>
        <v>0</v>
      </c>
      <c r="AB15" s="1149">
        <f t="shared" si="12"/>
        <v>0</v>
      </c>
      <c r="AD15" s="675"/>
      <c r="AE15" s="134"/>
    </row>
    <row r="16" spans="1:33">
      <c r="B16" s="147" t="s">
        <v>143</v>
      </c>
      <c r="C16" s="148">
        <f>SUM(C17:C18)</f>
        <v>0</v>
      </c>
      <c r="D16" s="148">
        <f>+D17+D18</f>
        <v>0</v>
      </c>
      <c r="E16" s="148">
        <f t="shared" ref="E16:N16" si="20">+E17+E18</f>
        <v>0</v>
      </c>
      <c r="F16" s="148">
        <f t="shared" si="20"/>
        <v>0</v>
      </c>
      <c r="G16" s="148">
        <f t="shared" si="20"/>
        <v>0</v>
      </c>
      <c r="H16" s="148">
        <f t="shared" si="20"/>
        <v>0</v>
      </c>
      <c r="I16" s="148">
        <f t="shared" si="20"/>
        <v>0</v>
      </c>
      <c r="J16" s="148">
        <f t="shared" si="20"/>
        <v>0</v>
      </c>
      <c r="K16" s="148">
        <f t="shared" si="20"/>
        <v>0</v>
      </c>
      <c r="L16" s="148">
        <f t="shared" si="20"/>
        <v>0</v>
      </c>
      <c r="M16" s="148">
        <f t="shared" si="20"/>
        <v>0</v>
      </c>
      <c r="N16" s="148">
        <f t="shared" si="20"/>
        <v>0</v>
      </c>
      <c r="O16" s="148"/>
      <c r="P16" s="580">
        <f t="shared" si="10"/>
        <v>0</v>
      </c>
      <c r="Q16" s="150">
        <f t="shared" ref="Q16:V20" si="21">E16-D16</f>
        <v>0</v>
      </c>
      <c r="R16" s="150">
        <f t="shared" si="21"/>
        <v>0</v>
      </c>
      <c r="S16" s="150">
        <f t="shared" si="21"/>
        <v>0</v>
      </c>
      <c r="T16" s="150">
        <f t="shared" si="21"/>
        <v>0</v>
      </c>
      <c r="U16" s="150">
        <f t="shared" si="11"/>
        <v>0</v>
      </c>
      <c r="V16" s="150">
        <f t="shared" si="21"/>
        <v>0</v>
      </c>
      <c r="W16" s="150">
        <f t="shared" si="15"/>
        <v>0</v>
      </c>
      <c r="X16" s="150">
        <f t="shared" si="16"/>
        <v>0</v>
      </c>
      <c r="Y16" s="150">
        <f t="shared" si="17"/>
        <v>0</v>
      </c>
      <c r="Z16" s="150">
        <f t="shared" si="18"/>
        <v>0</v>
      </c>
      <c r="AA16" s="150">
        <f t="shared" si="19"/>
        <v>0</v>
      </c>
      <c r="AB16" s="1149">
        <f t="shared" si="12"/>
        <v>0</v>
      </c>
      <c r="AD16" s="675"/>
      <c r="AE16" s="134"/>
    </row>
    <row r="17" spans="2:31">
      <c r="B17" s="147" t="s">
        <v>144</v>
      </c>
      <c r="C17" s="148"/>
      <c r="D17" s="148"/>
      <c r="E17" s="148"/>
      <c r="F17" s="148"/>
      <c r="G17" s="148"/>
      <c r="H17" s="148">
        <v>0</v>
      </c>
      <c r="I17" s="148">
        <v>0</v>
      </c>
      <c r="J17" s="148">
        <v>0</v>
      </c>
      <c r="K17" s="148">
        <v>0</v>
      </c>
      <c r="L17" s="148">
        <v>0</v>
      </c>
      <c r="M17" s="148">
        <v>0</v>
      </c>
      <c r="N17" s="148">
        <v>0</v>
      </c>
      <c r="O17" s="149"/>
      <c r="P17" s="580">
        <f t="shared" si="10"/>
        <v>0</v>
      </c>
      <c r="Q17" s="150">
        <f t="shared" si="21"/>
        <v>0</v>
      </c>
      <c r="R17" s="150">
        <f t="shared" si="21"/>
        <v>0</v>
      </c>
      <c r="S17" s="150">
        <f t="shared" si="21"/>
        <v>0</v>
      </c>
      <c r="T17" s="150">
        <f t="shared" si="21"/>
        <v>0</v>
      </c>
      <c r="U17" s="150"/>
      <c r="V17" s="150">
        <f t="shared" si="21"/>
        <v>0</v>
      </c>
      <c r="W17" s="150">
        <f t="shared" si="15"/>
        <v>0</v>
      </c>
      <c r="X17" s="150">
        <f t="shared" si="16"/>
        <v>0</v>
      </c>
      <c r="Y17" s="150">
        <f t="shared" si="17"/>
        <v>0</v>
      </c>
      <c r="Z17" s="150">
        <f t="shared" si="18"/>
        <v>0</v>
      </c>
      <c r="AA17" s="150">
        <f t="shared" si="19"/>
        <v>0</v>
      </c>
      <c r="AB17" s="1149">
        <f t="shared" si="12"/>
        <v>0</v>
      </c>
      <c r="AD17" s="675"/>
      <c r="AE17" s="134"/>
    </row>
    <row r="18" spans="2:31">
      <c r="B18" s="147" t="s">
        <v>145</v>
      </c>
      <c r="C18" s="148"/>
      <c r="D18" s="148"/>
      <c r="E18" s="148"/>
      <c r="F18" s="148"/>
      <c r="G18" s="148"/>
      <c r="H18" s="148">
        <v>0</v>
      </c>
      <c r="I18" s="148">
        <v>0</v>
      </c>
      <c r="J18" s="148">
        <v>0</v>
      </c>
      <c r="K18" s="148"/>
      <c r="L18" s="148"/>
      <c r="M18" s="148">
        <v>0</v>
      </c>
      <c r="N18" s="148">
        <v>0</v>
      </c>
      <c r="O18" s="149"/>
      <c r="P18" s="580">
        <f t="shared" si="10"/>
        <v>0</v>
      </c>
      <c r="Q18" s="150">
        <f t="shared" si="21"/>
        <v>0</v>
      </c>
      <c r="R18" s="150">
        <f t="shared" si="21"/>
        <v>0</v>
      </c>
      <c r="S18" s="150">
        <f t="shared" si="21"/>
        <v>0</v>
      </c>
      <c r="T18" s="150">
        <f t="shared" si="21"/>
        <v>0</v>
      </c>
      <c r="U18" s="150">
        <f t="shared" si="21"/>
        <v>0</v>
      </c>
      <c r="V18" s="150">
        <f t="shared" si="21"/>
        <v>0</v>
      </c>
      <c r="W18" s="150">
        <f t="shared" si="15"/>
        <v>0</v>
      </c>
      <c r="X18" s="150">
        <f t="shared" si="16"/>
        <v>0</v>
      </c>
      <c r="Y18" s="150">
        <f t="shared" si="17"/>
        <v>0</v>
      </c>
      <c r="Z18" s="150">
        <f t="shared" si="18"/>
        <v>0</v>
      </c>
      <c r="AA18" s="150">
        <f t="shared" si="19"/>
        <v>0</v>
      </c>
      <c r="AB18" s="1149">
        <f t="shared" si="12"/>
        <v>0</v>
      </c>
      <c r="AD18" s="675"/>
      <c r="AE18" s="134"/>
    </row>
    <row r="19" spans="2:31" hidden="1">
      <c r="B19" s="147"/>
      <c r="C19" s="151"/>
      <c r="D19" s="151"/>
      <c r="E19" s="151"/>
      <c r="F19" s="151"/>
      <c r="G19" s="151"/>
      <c r="H19" s="151"/>
      <c r="I19" s="151"/>
      <c r="J19" s="151"/>
      <c r="K19" s="151"/>
      <c r="L19" s="151"/>
      <c r="M19" s="151"/>
      <c r="N19" s="151"/>
      <c r="O19" s="1585"/>
      <c r="P19" s="580">
        <f t="shared" si="10"/>
        <v>0</v>
      </c>
      <c r="Q19" s="150">
        <f t="shared" si="21"/>
        <v>0</v>
      </c>
      <c r="R19" s="150">
        <f t="shared" si="21"/>
        <v>0</v>
      </c>
      <c r="S19" s="150">
        <f t="shared" si="21"/>
        <v>0</v>
      </c>
      <c r="T19" s="150">
        <f t="shared" si="21"/>
        <v>0</v>
      </c>
      <c r="U19" s="150">
        <f t="shared" si="21"/>
        <v>0</v>
      </c>
      <c r="V19" s="150">
        <f t="shared" si="21"/>
        <v>0</v>
      </c>
      <c r="W19" s="150">
        <f t="shared" si="15"/>
        <v>0</v>
      </c>
      <c r="X19" s="150">
        <f t="shared" si="16"/>
        <v>0</v>
      </c>
      <c r="Y19" s="150">
        <f t="shared" si="17"/>
        <v>0</v>
      </c>
      <c r="Z19" s="150">
        <f t="shared" si="18"/>
        <v>0</v>
      </c>
      <c r="AA19" s="150">
        <f t="shared" si="19"/>
        <v>0</v>
      </c>
      <c r="AB19" s="1149">
        <f t="shared" si="12"/>
        <v>0</v>
      </c>
      <c r="AD19" s="675"/>
      <c r="AE19" s="134"/>
    </row>
    <row r="20" spans="2:31">
      <c r="B20" s="1152" t="s">
        <v>163</v>
      </c>
      <c r="C20" s="1151"/>
      <c r="D20" s="1151">
        <v>0</v>
      </c>
      <c r="E20" s="1547"/>
      <c r="F20" s="1547"/>
      <c r="G20" s="1151">
        <f>34887515+25072300</f>
        <v>59959815</v>
      </c>
      <c r="H20" s="1151"/>
      <c r="I20" s="148">
        <f>15072300</f>
        <v>15072300</v>
      </c>
      <c r="J20" s="1608"/>
      <c r="K20" s="1153">
        <v>278739000</v>
      </c>
      <c r="L20" s="1639">
        <f>445813372+K20</f>
        <v>724552372</v>
      </c>
      <c r="M20" s="1153"/>
      <c r="N20" s="1153"/>
      <c r="O20" s="1586">
        <f>'[38]ACULM. ATE DEZEM'!$G$126</f>
        <v>147779000</v>
      </c>
      <c r="P20" s="580">
        <f t="shared" si="10"/>
        <v>0</v>
      </c>
      <c r="Q20" s="150">
        <f>E20-D20</f>
        <v>0</v>
      </c>
      <c r="R20" s="150">
        <f>F20-E20</f>
        <v>0</v>
      </c>
      <c r="S20" s="150">
        <f>G20-F20</f>
        <v>59959815</v>
      </c>
      <c r="T20" s="150">
        <f>H20-G20</f>
        <v>-59959815</v>
      </c>
      <c r="U20" s="150">
        <f t="shared" si="21"/>
        <v>15072300</v>
      </c>
      <c r="V20" s="150">
        <f>J20-I20</f>
        <v>-15072300</v>
      </c>
      <c r="W20" s="150">
        <f t="shared" si="15"/>
        <v>278739000</v>
      </c>
      <c r="X20" s="150">
        <f t="shared" si="16"/>
        <v>445813372</v>
      </c>
      <c r="Y20" s="150">
        <f t="shared" si="17"/>
        <v>-724552372</v>
      </c>
      <c r="Z20" s="150">
        <f t="shared" si="18"/>
        <v>0</v>
      </c>
      <c r="AA20" s="150">
        <f t="shared" si="19"/>
        <v>147779000</v>
      </c>
      <c r="AB20" s="1149">
        <f t="shared" si="12"/>
        <v>147779000</v>
      </c>
      <c r="AD20" s="675"/>
      <c r="AE20" s="134"/>
    </row>
    <row r="21" spans="2:31" ht="20.25" customHeight="1">
      <c r="B21" s="1425" t="s">
        <v>176</v>
      </c>
      <c r="C21" s="146">
        <f>C22+C23</f>
        <v>0</v>
      </c>
      <c r="D21" s="146">
        <f t="shared" ref="D21:O21" si="22">D22+D23</f>
        <v>309290126</v>
      </c>
      <c r="E21" s="146">
        <f t="shared" si="22"/>
        <v>349290126</v>
      </c>
      <c r="F21" s="146">
        <f t="shared" si="22"/>
        <v>359420543</v>
      </c>
      <c r="G21" s="146">
        <f t="shared" si="22"/>
        <v>1017154991</v>
      </c>
      <c r="H21" s="146">
        <f t="shared" si="22"/>
        <v>0</v>
      </c>
      <c r="I21" s="146">
        <f t="shared" si="22"/>
        <v>617198880</v>
      </c>
      <c r="J21" s="146">
        <f t="shared" si="22"/>
        <v>1136482333</v>
      </c>
      <c r="K21" s="146">
        <f t="shared" si="22"/>
        <v>1275213</v>
      </c>
      <c r="L21" s="146">
        <f t="shared" si="22"/>
        <v>192101575</v>
      </c>
      <c r="M21" s="146">
        <f t="shared" si="22"/>
        <v>0</v>
      </c>
      <c r="N21" s="146">
        <f t="shared" si="22"/>
        <v>0</v>
      </c>
      <c r="O21" s="146">
        <f t="shared" si="22"/>
        <v>2889296549</v>
      </c>
      <c r="P21" s="144">
        <f t="shared" ref="P21:V25" si="23">D21-C21</f>
        <v>309290126</v>
      </c>
      <c r="Q21" s="144">
        <f t="shared" si="23"/>
        <v>40000000</v>
      </c>
      <c r="R21" s="144">
        <f t="shared" si="23"/>
        <v>10130417</v>
      </c>
      <c r="S21" s="144">
        <f t="shared" si="23"/>
        <v>657734448</v>
      </c>
      <c r="T21" s="144">
        <f t="shared" si="23"/>
        <v>-1017154991</v>
      </c>
      <c r="U21" s="144"/>
      <c r="V21" s="144">
        <f t="shared" si="23"/>
        <v>519283453</v>
      </c>
      <c r="W21" s="144">
        <f t="shared" si="15"/>
        <v>-1135207120</v>
      </c>
      <c r="X21" s="144">
        <f t="shared" si="16"/>
        <v>190826362</v>
      </c>
      <c r="Y21" s="144">
        <f t="shared" si="17"/>
        <v>-192101575</v>
      </c>
      <c r="Z21" s="144">
        <f t="shared" si="18"/>
        <v>0</v>
      </c>
      <c r="AA21" s="144">
        <f t="shared" si="19"/>
        <v>2889296549</v>
      </c>
      <c r="AB21" s="1149">
        <f t="shared" si="12"/>
        <v>2272097669</v>
      </c>
      <c r="AD21" s="675"/>
      <c r="AE21" s="134"/>
    </row>
    <row r="22" spans="2:31">
      <c r="B22" s="596" t="s">
        <v>177</v>
      </c>
      <c r="C22" s="148">
        <v>0</v>
      </c>
      <c r="D22" s="148">
        <v>309290126</v>
      </c>
      <c r="E22" s="148">
        <f>40000000+D22</f>
        <v>349290126</v>
      </c>
      <c r="F22" s="148">
        <f>10130417+E22</f>
        <v>359420543</v>
      </c>
      <c r="G22" s="148">
        <f>137290087+66487680+F22</f>
        <v>563198310</v>
      </c>
      <c r="H22" s="148"/>
      <c r="I22" s="863">
        <v>239242199</v>
      </c>
      <c r="J22" s="134">
        <f>137290087+I22</f>
        <v>376532286</v>
      </c>
      <c r="K22" s="149">
        <v>1275213</v>
      </c>
      <c r="L22" s="148">
        <f>+K22</f>
        <v>1275213</v>
      </c>
      <c r="M22" s="148"/>
      <c r="N22" s="148"/>
      <c r="O22" s="148">
        <f>'[38]ACULM. ATE DEZEM'!$G$30+'[38]ACULM. ATE DEZEM'!$G$32</f>
        <v>353169532</v>
      </c>
      <c r="P22" s="150">
        <f t="shared" si="23"/>
        <v>309290126</v>
      </c>
      <c r="Q22" s="150">
        <f t="shared" si="23"/>
        <v>40000000</v>
      </c>
      <c r="R22" s="150">
        <f t="shared" si="23"/>
        <v>10130417</v>
      </c>
      <c r="S22" s="150">
        <f t="shared" si="23"/>
        <v>203777767</v>
      </c>
      <c r="T22" s="150">
        <f t="shared" si="23"/>
        <v>-563198310</v>
      </c>
      <c r="U22" s="150">
        <f>I22-H22</f>
        <v>239242199</v>
      </c>
      <c r="V22" s="150">
        <f>J22-I22</f>
        <v>137290087</v>
      </c>
      <c r="W22" s="150">
        <f t="shared" si="15"/>
        <v>-375257073</v>
      </c>
      <c r="X22" s="150">
        <f t="shared" si="16"/>
        <v>0</v>
      </c>
      <c r="Y22" s="150">
        <f t="shared" si="17"/>
        <v>-1275213</v>
      </c>
      <c r="Z22" s="150">
        <f t="shared" si="18"/>
        <v>0</v>
      </c>
      <c r="AA22" s="150">
        <f t="shared" si="19"/>
        <v>353169532</v>
      </c>
      <c r="AB22" s="1149">
        <f>+P22-O22</f>
        <v>-43879406</v>
      </c>
      <c r="AD22" s="675"/>
      <c r="AE22" s="134"/>
    </row>
    <row r="23" spans="2:31">
      <c r="B23" s="147" t="s">
        <v>178</v>
      </c>
      <c r="C23" s="148">
        <f>C24+C25</f>
        <v>0</v>
      </c>
      <c r="D23" s="148">
        <f t="shared" ref="D23:O23" si="24">D24+D25</f>
        <v>0</v>
      </c>
      <c r="E23" s="148">
        <f t="shared" si="24"/>
        <v>0</v>
      </c>
      <c r="F23" s="148">
        <f t="shared" si="24"/>
        <v>0</v>
      </c>
      <c r="G23" s="148">
        <f t="shared" si="24"/>
        <v>453956681</v>
      </c>
      <c r="H23" s="148">
        <f t="shared" si="24"/>
        <v>0</v>
      </c>
      <c r="I23" s="148">
        <f t="shared" si="24"/>
        <v>377956681</v>
      </c>
      <c r="J23" s="148">
        <f t="shared" si="24"/>
        <v>759950047</v>
      </c>
      <c r="K23" s="148">
        <f t="shared" si="24"/>
        <v>0</v>
      </c>
      <c r="L23" s="148">
        <f t="shared" si="24"/>
        <v>190826362</v>
      </c>
      <c r="M23" s="148">
        <f t="shared" si="24"/>
        <v>0</v>
      </c>
      <c r="N23" s="148">
        <f t="shared" si="24"/>
        <v>0</v>
      </c>
      <c r="O23" s="148">
        <f t="shared" si="24"/>
        <v>2536127017</v>
      </c>
      <c r="P23" s="150">
        <f t="shared" si="23"/>
        <v>0</v>
      </c>
      <c r="Q23" s="150">
        <f t="shared" si="23"/>
        <v>0</v>
      </c>
      <c r="R23" s="150">
        <f t="shared" si="23"/>
        <v>0</v>
      </c>
      <c r="S23" s="150">
        <f t="shared" si="23"/>
        <v>453956681</v>
      </c>
      <c r="T23" s="150">
        <f t="shared" si="23"/>
        <v>-453956681</v>
      </c>
      <c r="U23" s="150">
        <f t="shared" si="23"/>
        <v>377956681</v>
      </c>
      <c r="V23" s="150">
        <f t="shared" si="23"/>
        <v>381993366</v>
      </c>
      <c r="W23" s="150">
        <f t="shared" si="15"/>
        <v>-759950047</v>
      </c>
      <c r="X23" s="150">
        <f t="shared" si="16"/>
        <v>190826362</v>
      </c>
      <c r="Y23" s="150">
        <f t="shared" si="17"/>
        <v>-190826362</v>
      </c>
      <c r="Z23" s="150">
        <f t="shared" si="18"/>
        <v>0</v>
      </c>
      <c r="AA23" s="150">
        <f t="shared" si="19"/>
        <v>2536127017</v>
      </c>
      <c r="AB23" s="1149">
        <f t="shared" si="12"/>
        <v>2536127017</v>
      </c>
      <c r="AD23" s="675"/>
      <c r="AE23" s="134"/>
    </row>
    <row r="24" spans="2:31">
      <c r="B24" s="147" t="s">
        <v>140</v>
      </c>
      <c r="C24" s="148"/>
      <c r="D24" s="148"/>
      <c r="E24" s="148"/>
      <c r="F24" s="148"/>
      <c r="G24" s="148">
        <f>12634181+76000000+365322500</f>
        <v>453956681</v>
      </c>
      <c r="H24" s="148"/>
      <c r="I24" s="148">
        <f>365322500+12634181</f>
        <v>377956681</v>
      </c>
      <c r="J24" s="134">
        <f>328750000+53243366+I24</f>
        <v>759950047</v>
      </c>
      <c r="K24" s="149"/>
      <c r="L24" s="148">
        <f>190826362+K24</f>
        <v>190826362</v>
      </c>
      <c r="M24" s="148"/>
      <c r="N24" s="148"/>
      <c r="O24" s="148">
        <f>'[39]ACULM. ATE DEZEM'!$H$22</f>
        <v>2536127017</v>
      </c>
      <c r="P24" s="150">
        <f t="shared" si="23"/>
        <v>0</v>
      </c>
      <c r="Q24" s="150">
        <f t="shared" si="23"/>
        <v>0</v>
      </c>
      <c r="R24" s="150">
        <f t="shared" si="23"/>
        <v>0</v>
      </c>
      <c r="S24" s="150">
        <f t="shared" si="23"/>
        <v>453956681</v>
      </c>
      <c r="T24" s="150">
        <f t="shared" si="23"/>
        <v>-453956681</v>
      </c>
      <c r="U24" s="150">
        <f>I24-H24</f>
        <v>377956681</v>
      </c>
      <c r="V24" s="150">
        <f>J24-I24</f>
        <v>381993366</v>
      </c>
      <c r="W24" s="150">
        <f t="shared" si="15"/>
        <v>-759950047</v>
      </c>
      <c r="X24" s="150">
        <f t="shared" si="16"/>
        <v>190826362</v>
      </c>
      <c r="Y24" s="150">
        <f t="shared" si="17"/>
        <v>-190826362</v>
      </c>
      <c r="Z24" s="150">
        <f t="shared" si="18"/>
        <v>0</v>
      </c>
      <c r="AA24" s="150">
        <f t="shared" si="19"/>
        <v>2536127017</v>
      </c>
      <c r="AB24" s="1149">
        <f t="shared" si="12"/>
        <v>2536127017</v>
      </c>
      <c r="AD24" s="675"/>
      <c r="AE24" s="134"/>
    </row>
    <row r="25" spans="2:31">
      <c r="B25" s="147" t="s">
        <v>165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>
        <v>0</v>
      </c>
      <c r="M25" s="148"/>
      <c r="N25" s="148"/>
      <c r="O25" s="148"/>
      <c r="P25" s="150">
        <f t="shared" si="23"/>
        <v>0</v>
      </c>
      <c r="Q25" s="150">
        <f t="shared" si="23"/>
        <v>0</v>
      </c>
      <c r="R25" s="150">
        <f t="shared" si="23"/>
        <v>0</v>
      </c>
      <c r="S25" s="150">
        <f t="shared" si="23"/>
        <v>0</v>
      </c>
      <c r="T25" s="150">
        <f t="shared" si="23"/>
        <v>0</v>
      </c>
      <c r="U25" s="150">
        <f t="shared" si="23"/>
        <v>0</v>
      </c>
      <c r="V25" s="150">
        <f t="shared" si="23"/>
        <v>0</v>
      </c>
      <c r="W25" s="150">
        <f t="shared" si="15"/>
        <v>0</v>
      </c>
      <c r="X25" s="150">
        <f t="shared" si="16"/>
        <v>0</v>
      </c>
      <c r="Y25" s="150">
        <f t="shared" si="17"/>
        <v>0</v>
      </c>
      <c r="Z25" s="150">
        <f t="shared" si="18"/>
        <v>0</v>
      </c>
      <c r="AA25" s="150">
        <f t="shared" si="19"/>
        <v>0</v>
      </c>
      <c r="AB25" s="1150">
        <v>0</v>
      </c>
    </row>
    <row r="26" spans="2:31">
      <c r="B26" s="1152" t="s">
        <v>2852</v>
      </c>
      <c r="C26" s="148"/>
      <c r="D26" s="1529">
        <v>633373</v>
      </c>
      <c r="E26" s="1529">
        <f>310643</f>
        <v>310643</v>
      </c>
      <c r="F26" s="148">
        <v>691360</v>
      </c>
      <c r="G26" s="148">
        <v>72239</v>
      </c>
      <c r="H26" s="148"/>
      <c r="I26" s="148"/>
      <c r="J26" s="148"/>
      <c r="K26" s="148">
        <v>1279</v>
      </c>
      <c r="L26" s="148"/>
      <c r="M26" s="148"/>
      <c r="N26" s="148">
        <v>11586</v>
      </c>
      <c r="O26" s="148"/>
      <c r="P26" s="148">
        <f>+D26-$C26</f>
        <v>633373</v>
      </c>
      <c r="Q26" s="148">
        <f t="shared" ref="Q26:AB26" si="25">+E26-$C26</f>
        <v>310643</v>
      </c>
      <c r="R26" s="148">
        <f t="shared" si="25"/>
        <v>691360</v>
      </c>
      <c r="S26" s="148">
        <f t="shared" si="25"/>
        <v>72239</v>
      </c>
      <c r="T26" s="148">
        <f t="shared" si="25"/>
        <v>0</v>
      </c>
      <c r="U26" s="148">
        <f t="shared" si="25"/>
        <v>0</v>
      </c>
      <c r="V26" s="148">
        <f t="shared" si="25"/>
        <v>0</v>
      </c>
      <c r="W26" s="148">
        <f>+K26-$C26</f>
        <v>1279</v>
      </c>
      <c r="X26" s="148">
        <f>+L26-$C26</f>
        <v>0</v>
      </c>
      <c r="Y26" s="148">
        <f>+M26-$C26</f>
        <v>0</v>
      </c>
      <c r="Z26" s="148">
        <f>+N26-$C26</f>
        <v>11586</v>
      </c>
      <c r="AA26" s="148">
        <f>+O26-$C26</f>
        <v>0</v>
      </c>
      <c r="AB26" s="148">
        <f t="shared" si="25"/>
        <v>633373</v>
      </c>
    </row>
    <row r="27" spans="2:31">
      <c r="B27" s="147" t="s">
        <v>193</v>
      </c>
      <c r="C27" s="148"/>
      <c r="D27" s="148"/>
      <c r="E27" s="148"/>
      <c r="F27" s="148"/>
      <c r="G27" s="148"/>
      <c r="H27" s="148">
        <v>0</v>
      </c>
      <c r="I27" s="148">
        <v>0</v>
      </c>
      <c r="J27" s="148">
        <v>0</v>
      </c>
      <c r="K27" s="148"/>
      <c r="L27" s="148">
        <v>0</v>
      </c>
      <c r="M27" s="148"/>
      <c r="N27" s="148"/>
      <c r="O27" s="148"/>
      <c r="P27" s="148">
        <f t="shared" ref="P27:U27" si="26">+D27-$C48</f>
        <v>0</v>
      </c>
      <c r="Q27" s="148">
        <f t="shared" si="26"/>
        <v>0</v>
      </c>
      <c r="R27" s="148">
        <f t="shared" si="26"/>
        <v>0</v>
      </c>
      <c r="S27" s="148">
        <f t="shared" si="26"/>
        <v>0</v>
      </c>
      <c r="T27" s="148">
        <f t="shared" si="26"/>
        <v>0</v>
      </c>
      <c r="U27" s="148">
        <f t="shared" si="26"/>
        <v>0</v>
      </c>
      <c r="V27" s="148">
        <f t="shared" ref="V27:AB27" si="27">+J27-$C48</f>
        <v>0</v>
      </c>
      <c r="W27" s="148">
        <f t="shared" si="27"/>
        <v>0</v>
      </c>
      <c r="X27" s="148">
        <f t="shared" si="27"/>
        <v>0</v>
      </c>
      <c r="Y27" s="148">
        <f t="shared" si="27"/>
        <v>0</v>
      </c>
      <c r="Z27" s="148">
        <f t="shared" si="27"/>
        <v>0</v>
      </c>
      <c r="AA27" s="148">
        <f t="shared" si="27"/>
        <v>0</v>
      </c>
      <c r="AB27" s="1151">
        <f t="shared" si="27"/>
        <v>0</v>
      </c>
    </row>
    <row r="28" spans="2:31">
      <c r="B28" s="147" t="s">
        <v>2910</v>
      </c>
      <c r="C28" s="148"/>
      <c r="D28" s="1529">
        <f>[34]ARRIERE!D28</f>
        <v>680493.45699999994</v>
      </c>
      <c r="E28" s="1529">
        <f>[34]ARRIERE!E28</f>
        <v>217536.2</v>
      </c>
      <c r="F28" s="1529">
        <f>[34]ARRIERE!F28</f>
        <v>103942.07799999999</v>
      </c>
      <c r="G28" s="1529">
        <f>[34]ARRIERE!G28</f>
        <v>102885</v>
      </c>
      <c r="H28" s="1529">
        <f>[34]ARRIERE!H28</f>
        <v>15207.615</v>
      </c>
      <c r="I28" s="1529">
        <f>[34]ARRIERE!I28</f>
        <v>174165.541</v>
      </c>
      <c r="J28" s="1529">
        <f>[34]ARRIERE!J28</f>
        <v>400180.66600000003</v>
      </c>
      <c r="K28" s="1529">
        <f>[34]ARRIERE!K28</f>
        <v>10381.5</v>
      </c>
      <c r="L28" s="1529">
        <f>[34]ARRIERE!L28</f>
        <v>62337.308000000005</v>
      </c>
      <c r="M28" s="1529">
        <f>[34]ARRIERE!M28</f>
        <v>207931.71600000001</v>
      </c>
      <c r="N28" s="1529">
        <f>[34]ARRIERE!N28</f>
        <v>99788.527000000002</v>
      </c>
      <c r="O28" s="1529">
        <f>[34]ARRIERE!O28</f>
        <v>71585.241000000009</v>
      </c>
      <c r="P28" s="148">
        <f t="shared" ref="P28:P34" si="28">+D28-$C28</f>
        <v>680493.45699999994</v>
      </c>
      <c r="Q28" s="148">
        <f t="shared" ref="Q28:U34" si="29">+E28-$C28</f>
        <v>217536.2</v>
      </c>
      <c r="R28" s="148">
        <f t="shared" si="29"/>
        <v>103942.07799999999</v>
      </c>
      <c r="S28" s="148">
        <f t="shared" si="29"/>
        <v>102885</v>
      </c>
      <c r="T28" s="148">
        <f t="shared" si="29"/>
        <v>15207.615</v>
      </c>
      <c r="U28" s="148">
        <f t="shared" si="29"/>
        <v>174165.541</v>
      </c>
      <c r="V28" s="148">
        <f t="shared" ref="V28:V34" si="30">+J28-$C28</f>
        <v>400180.66600000003</v>
      </c>
      <c r="W28" s="148">
        <f t="shared" ref="W28:W34" si="31">+K28-$C28</f>
        <v>10381.5</v>
      </c>
      <c r="X28" s="148">
        <f t="shared" ref="X28:X34" si="32">+L28-$C28</f>
        <v>62337.308000000005</v>
      </c>
      <c r="Y28" s="148">
        <f t="shared" ref="Y28:Y34" si="33">+M28-$C28</f>
        <v>207931.71600000001</v>
      </c>
      <c r="Z28" s="148">
        <f t="shared" ref="Z28:Z34" si="34">+N28-$C28</f>
        <v>99788.527000000002</v>
      </c>
      <c r="AA28" s="148">
        <f t="shared" ref="AA28:AA34" si="35">+O28-$C28</f>
        <v>71585.241000000009</v>
      </c>
      <c r="AB28" s="1151">
        <f t="shared" ref="AB28:AB33" si="36">+P28-$C28</f>
        <v>680493.45699999994</v>
      </c>
      <c r="AD28" s="675"/>
      <c r="AE28" s="675"/>
    </row>
    <row r="29" spans="2:31">
      <c r="B29" s="147" t="s">
        <v>2756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>
        <v>0</v>
      </c>
      <c r="N29" s="148">
        <v>0</v>
      </c>
      <c r="O29" s="148">
        <v>0</v>
      </c>
      <c r="P29" s="148">
        <f t="shared" si="28"/>
        <v>0</v>
      </c>
      <c r="Q29" s="148">
        <f t="shared" si="29"/>
        <v>0</v>
      </c>
      <c r="R29" s="148">
        <f t="shared" si="29"/>
        <v>0</v>
      </c>
      <c r="S29" s="148">
        <f t="shared" si="29"/>
        <v>0</v>
      </c>
      <c r="T29" s="148">
        <f t="shared" si="29"/>
        <v>0</v>
      </c>
      <c r="U29" s="148">
        <f t="shared" si="29"/>
        <v>0</v>
      </c>
      <c r="V29" s="148">
        <f t="shared" si="30"/>
        <v>0</v>
      </c>
      <c r="W29" s="148">
        <f t="shared" si="31"/>
        <v>0</v>
      </c>
      <c r="X29" s="148">
        <f t="shared" si="32"/>
        <v>0</v>
      </c>
      <c r="Y29" s="148">
        <f t="shared" si="33"/>
        <v>0</v>
      </c>
      <c r="Z29" s="148">
        <f t="shared" si="34"/>
        <v>0</v>
      </c>
      <c r="AA29" s="148">
        <f t="shared" si="35"/>
        <v>0</v>
      </c>
      <c r="AB29" s="1151">
        <f t="shared" si="36"/>
        <v>0</v>
      </c>
    </row>
    <row r="30" spans="2:31">
      <c r="B30" s="147" t="s">
        <v>194</v>
      </c>
      <c r="C30" s="148"/>
      <c r="D30" s="148"/>
      <c r="E30" s="148"/>
      <c r="F30" s="148"/>
      <c r="G30" s="148"/>
      <c r="H30" s="148"/>
      <c r="I30" s="148"/>
      <c r="J30" s="148"/>
      <c r="K30" s="148"/>
      <c r="L30" s="148"/>
      <c r="M30" s="148"/>
      <c r="N30" s="148"/>
      <c r="O30" s="148"/>
      <c r="P30" s="148">
        <f t="shared" si="28"/>
        <v>0</v>
      </c>
      <c r="Q30" s="148">
        <f t="shared" si="29"/>
        <v>0</v>
      </c>
      <c r="R30" s="148">
        <f t="shared" si="29"/>
        <v>0</v>
      </c>
      <c r="S30" s="148">
        <f t="shared" si="29"/>
        <v>0</v>
      </c>
      <c r="T30" s="148">
        <f t="shared" si="29"/>
        <v>0</v>
      </c>
      <c r="U30" s="148">
        <f t="shared" si="29"/>
        <v>0</v>
      </c>
      <c r="V30" s="148">
        <f t="shared" si="30"/>
        <v>0</v>
      </c>
      <c r="W30" s="148">
        <f t="shared" si="31"/>
        <v>0</v>
      </c>
      <c r="X30" s="148">
        <f t="shared" si="32"/>
        <v>0</v>
      </c>
      <c r="Y30" s="148">
        <f t="shared" si="33"/>
        <v>0</v>
      </c>
      <c r="Z30" s="148">
        <f t="shared" si="34"/>
        <v>0</v>
      </c>
      <c r="AA30" s="148">
        <f t="shared" si="35"/>
        <v>0</v>
      </c>
      <c r="AB30" s="1151">
        <f t="shared" si="36"/>
        <v>0</v>
      </c>
    </row>
    <row r="31" spans="2:31">
      <c r="B31" s="147" t="s">
        <v>195</v>
      </c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>
        <f t="shared" si="28"/>
        <v>0</v>
      </c>
      <c r="Q31" s="148">
        <f t="shared" si="29"/>
        <v>0</v>
      </c>
      <c r="R31" s="148">
        <f t="shared" si="29"/>
        <v>0</v>
      </c>
      <c r="S31" s="148">
        <f t="shared" si="29"/>
        <v>0</v>
      </c>
      <c r="T31" s="148">
        <f t="shared" si="29"/>
        <v>0</v>
      </c>
      <c r="U31" s="148">
        <f t="shared" si="29"/>
        <v>0</v>
      </c>
      <c r="V31" s="148">
        <f t="shared" si="30"/>
        <v>0</v>
      </c>
      <c r="W31" s="148">
        <f t="shared" si="31"/>
        <v>0</v>
      </c>
      <c r="X31" s="148">
        <f t="shared" si="32"/>
        <v>0</v>
      </c>
      <c r="Y31" s="148">
        <f t="shared" si="33"/>
        <v>0</v>
      </c>
      <c r="Z31" s="148">
        <f t="shared" si="34"/>
        <v>0</v>
      </c>
      <c r="AA31" s="148">
        <f t="shared" si="35"/>
        <v>0</v>
      </c>
      <c r="AB31" s="1151">
        <f t="shared" si="36"/>
        <v>0</v>
      </c>
    </row>
    <row r="32" spans="2:31" ht="15" customHeight="1">
      <c r="B32" s="147" t="s">
        <v>265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>
        <f t="shared" si="28"/>
        <v>0</v>
      </c>
      <c r="Q32" s="148">
        <f t="shared" si="29"/>
        <v>0</v>
      </c>
      <c r="R32" s="148">
        <f t="shared" si="29"/>
        <v>0</v>
      </c>
      <c r="S32" s="148">
        <f t="shared" si="29"/>
        <v>0</v>
      </c>
      <c r="T32" s="148">
        <f t="shared" si="29"/>
        <v>0</v>
      </c>
      <c r="U32" s="148">
        <f t="shared" si="29"/>
        <v>0</v>
      </c>
      <c r="V32" s="148">
        <f t="shared" si="30"/>
        <v>0</v>
      </c>
      <c r="W32" s="148">
        <f t="shared" si="31"/>
        <v>0</v>
      </c>
      <c r="X32" s="148">
        <f t="shared" si="32"/>
        <v>0</v>
      </c>
      <c r="Y32" s="148">
        <f t="shared" si="33"/>
        <v>0</v>
      </c>
      <c r="Z32" s="148">
        <f t="shared" si="34"/>
        <v>0</v>
      </c>
      <c r="AA32" s="148">
        <f t="shared" si="35"/>
        <v>0</v>
      </c>
      <c r="AB32" s="1151">
        <f t="shared" si="36"/>
        <v>0</v>
      </c>
    </row>
    <row r="33" spans="2:28" ht="15" customHeight="1">
      <c r="B33" s="147" t="s">
        <v>1570</v>
      </c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>
        <f t="shared" si="28"/>
        <v>0</v>
      </c>
      <c r="Q33" s="148">
        <f t="shared" si="29"/>
        <v>0</v>
      </c>
      <c r="R33" s="148">
        <f t="shared" si="29"/>
        <v>0</v>
      </c>
      <c r="S33" s="148">
        <f t="shared" si="29"/>
        <v>0</v>
      </c>
      <c r="T33" s="148">
        <f t="shared" si="29"/>
        <v>0</v>
      </c>
      <c r="U33" s="148">
        <f t="shared" si="29"/>
        <v>0</v>
      </c>
      <c r="V33" s="148">
        <f t="shared" si="30"/>
        <v>0</v>
      </c>
      <c r="W33" s="148">
        <f t="shared" si="31"/>
        <v>0</v>
      </c>
      <c r="X33" s="148">
        <f t="shared" si="32"/>
        <v>0</v>
      </c>
      <c r="Y33" s="148">
        <f t="shared" si="33"/>
        <v>0</v>
      </c>
      <c r="Z33" s="148">
        <f t="shared" si="34"/>
        <v>0</v>
      </c>
      <c r="AA33" s="148">
        <f t="shared" si="35"/>
        <v>0</v>
      </c>
      <c r="AB33" s="1151">
        <f t="shared" si="36"/>
        <v>0</v>
      </c>
    </row>
    <row r="34" spans="2:28" ht="15" customHeight="1">
      <c r="B34" s="147" t="s">
        <v>1150</v>
      </c>
      <c r="C34" s="148"/>
      <c r="D34" s="148"/>
      <c r="E34" s="148"/>
      <c r="F34" s="148"/>
      <c r="G34" s="148"/>
      <c r="H34" s="148"/>
      <c r="I34" s="148"/>
      <c r="J34" s="684"/>
      <c r="K34" s="148"/>
      <c r="L34" s="148"/>
      <c r="M34" s="148"/>
      <c r="N34" s="148"/>
      <c r="O34" s="148">
        <f>+O6</f>
        <v>11937178016</v>
      </c>
      <c r="P34" s="660">
        <f t="shared" si="28"/>
        <v>0</v>
      </c>
      <c r="Q34" s="660">
        <f t="shared" si="29"/>
        <v>0</v>
      </c>
      <c r="R34" s="660">
        <f t="shared" si="29"/>
        <v>0</v>
      </c>
      <c r="S34" s="660">
        <f t="shared" si="29"/>
        <v>0</v>
      </c>
      <c r="T34" s="660">
        <f t="shared" si="29"/>
        <v>0</v>
      </c>
      <c r="U34" s="660">
        <f t="shared" si="29"/>
        <v>0</v>
      </c>
      <c r="V34" s="660">
        <f t="shared" si="30"/>
        <v>0</v>
      </c>
      <c r="W34" s="660">
        <f t="shared" si="31"/>
        <v>0</v>
      </c>
      <c r="X34" s="660">
        <f t="shared" si="32"/>
        <v>0</v>
      </c>
      <c r="Y34" s="660">
        <f t="shared" si="33"/>
        <v>0</v>
      </c>
      <c r="Z34" s="660">
        <f t="shared" si="34"/>
        <v>0</v>
      </c>
      <c r="AA34" s="660">
        <f t="shared" si="35"/>
        <v>11937178016</v>
      </c>
      <c r="AB34" s="1149">
        <f>+P34-O34</f>
        <v>-11937178016</v>
      </c>
    </row>
    <row r="35" spans="2:28" ht="15" customHeight="1">
      <c r="B35" s="147" t="s">
        <v>597</v>
      </c>
      <c r="C35" s="148"/>
      <c r="D35" s="148">
        <f>+D7</f>
        <v>10201460</v>
      </c>
      <c r="E35" s="148">
        <f>+E7</f>
        <v>1272700687</v>
      </c>
      <c r="F35" s="148">
        <f>+F7</f>
        <v>1628724381</v>
      </c>
      <c r="G35" s="148">
        <f t="shared" ref="G35:O35" si="37">+G7</f>
        <v>8513967206</v>
      </c>
      <c r="H35" s="148">
        <f t="shared" si="37"/>
        <v>0</v>
      </c>
      <c r="I35" s="148">
        <f t="shared" si="37"/>
        <v>3404614736</v>
      </c>
      <c r="J35" s="148">
        <f t="shared" si="37"/>
        <v>5390222313</v>
      </c>
      <c r="K35" s="148">
        <f t="shared" si="37"/>
        <v>7703461217</v>
      </c>
      <c r="L35" s="148">
        <f t="shared" si="37"/>
        <v>10666668004</v>
      </c>
      <c r="M35" s="148">
        <f t="shared" si="37"/>
        <v>0</v>
      </c>
      <c r="N35" s="148">
        <f t="shared" si="37"/>
        <v>0</v>
      </c>
      <c r="O35" s="148">
        <f t="shared" si="37"/>
        <v>9047881467</v>
      </c>
      <c r="P35" s="148"/>
      <c r="Q35" s="148"/>
      <c r="R35" s="148"/>
      <c r="S35" s="148"/>
      <c r="T35" s="148"/>
      <c r="U35" s="148"/>
      <c r="V35" s="144">
        <f t="shared" ref="V35:AA35" si="38">J35-I35</f>
        <v>1985607577</v>
      </c>
      <c r="W35" s="144">
        <f t="shared" si="38"/>
        <v>2313238904</v>
      </c>
      <c r="X35" s="144">
        <f t="shared" si="38"/>
        <v>2963206787</v>
      </c>
      <c r="Y35" s="144">
        <f t="shared" si="38"/>
        <v>-10666668004</v>
      </c>
      <c r="Z35" s="144">
        <f t="shared" si="38"/>
        <v>0</v>
      </c>
      <c r="AA35" s="144">
        <f t="shared" si="38"/>
        <v>9047881467</v>
      </c>
      <c r="AB35" s="1149"/>
    </row>
    <row r="36" spans="2:28" ht="21" customHeight="1">
      <c r="B36" s="152" t="s">
        <v>166</v>
      </c>
      <c r="C36" s="143">
        <f>SUM(C26:C34)</f>
        <v>0</v>
      </c>
      <c r="D36" s="143">
        <f>SUM(D26:D34)</f>
        <v>1313866.4569999999</v>
      </c>
      <c r="E36" s="143">
        <f t="shared" ref="E36:O36" si="39">SUM(E26:E34)</f>
        <v>528179.19999999995</v>
      </c>
      <c r="F36" s="143">
        <f t="shared" si="39"/>
        <v>795302.07799999998</v>
      </c>
      <c r="G36" s="143">
        <f t="shared" si="39"/>
        <v>175124</v>
      </c>
      <c r="H36" s="143">
        <f t="shared" si="39"/>
        <v>15207.615</v>
      </c>
      <c r="I36" s="143">
        <f t="shared" si="39"/>
        <v>174165.541</v>
      </c>
      <c r="J36" s="143">
        <f t="shared" si="39"/>
        <v>400180.66600000003</v>
      </c>
      <c r="K36" s="143">
        <f t="shared" si="39"/>
        <v>11660.5</v>
      </c>
      <c r="L36" s="143">
        <f t="shared" si="39"/>
        <v>62337.308000000005</v>
      </c>
      <c r="M36" s="143">
        <f t="shared" si="39"/>
        <v>207931.71600000001</v>
      </c>
      <c r="N36" s="143">
        <f t="shared" si="39"/>
        <v>111374.527</v>
      </c>
      <c r="O36" s="143">
        <f t="shared" si="39"/>
        <v>11937249601.240999</v>
      </c>
      <c r="P36" s="148">
        <f t="shared" ref="P36:U36" si="40">SUM(P26:P34)</f>
        <v>1313866.4569999999</v>
      </c>
      <c r="Q36" s="148">
        <f t="shared" si="40"/>
        <v>528179.19999999995</v>
      </c>
      <c r="R36" s="148">
        <f t="shared" si="40"/>
        <v>795302.07799999998</v>
      </c>
      <c r="S36" s="148">
        <f t="shared" si="40"/>
        <v>175124</v>
      </c>
      <c r="T36" s="148">
        <f t="shared" si="40"/>
        <v>15207.615</v>
      </c>
      <c r="U36" s="148">
        <f t="shared" si="40"/>
        <v>174165.541</v>
      </c>
      <c r="V36" s="148">
        <f>SUM(V26:V34)</f>
        <v>400180.66600000003</v>
      </c>
      <c r="W36" s="148">
        <f>SUM(W26:W34)</f>
        <v>11660.5</v>
      </c>
      <c r="X36" s="153">
        <f>SUM(X26:X32)</f>
        <v>62337.308000000005</v>
      </c>
      <c r="Y36" s="144">
        <f>+M36-L36</f>
        <v>145594.408</v>
      </c>
      <c r="Z36" s="144">
        <f>+N36-M36</f>
        <v>-96557.189000000013</v>
      </c>
      <c r="AA36" s="144">
        <f>+O36-N36</f>
        <v>11937138226.713999</v>
      </c>
      <c r="AB36" s="160">
        <f>SUM(AB26:AB32)</f>
        <v>1313866.4569999999</v>
      </c>
    </row>
    <row r="37" spans="2:28">
      <c r="B37" s="147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50"/>
      <c r="Q37" s="150"/>
      <c r="R37" s="150"/>
      <c r="S37" s="150"/>
      <c r="T37" s="150"/>
      <c r="U37" s="150"/>
      <c r="V37" s="150"/>
      <c r="W37" s="150"/>
      <c r="X37" s="150"/>
      <c r="Y37" s="144">
        <f>+M37-L37</f>
        <v>0</v>
      </c>
      <c r="Z37" s="150"/>
      <c r="AA37" s="150"/>
      <c r="AB37" s="150"/>
    </row>
    <row r="38" spans="2:28">
      <c r="B38" s="154"/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6">
        <f t="shared" ref="P38:AB38" si="41">+P34-P37</f>
        <v>0</v>
      </c>
      <c r="Q38" s="156">
        <f t="shared" si="41"/>
        <v>0</v>
      </c>
      <c r="R38" s="156">
        <f t="shared" si="41"/>
        <v>0</v>
      </c>
      <c r="S38" s="156">
        <f t="shared" si="41"/>
        <v>0</v>
      </c>
      <c r="T38" s="156">
        <f t="shared" si="41"/>
        <v>0</v>
      </c>
      <c r="U38" s="156">
        <f t="shared" si="41"/>
        <v>0</v>
      </c>
      <c r="V38" s="156">
        <f t="shared" si="41"/>
        <v>0</v>
      </c>
      <c r="W38" s="156">
        <f t="shared" si="41"/>
        <v>0</v>
      </c>
      <c r="X38" s="156">
        <f t="shared" si="41"/>
        <v>0</v>
      </c>
      <c r="Y38" s="156">
        <f t="shared" si="41"/>
        <v>0</v>
      </c>
      <c r="Z38" s="156">
        <f t="shared" si="41"/>
        <v>0</v>
      </c>
      <c r="AA38" s="156">
        <f t="shared" si="41"/>
        <v>11937178016</v>
      </c>
      <c r="AB38" s="156">
        <f t="shared" si="41"/>
        <v>-11937178016</v>
      </c>
    </row>
    <row r="39" spans="2:28" hidden="1">
      <c r="B39" s="147"/>
      <c r="C39" s="148"/>
      <c r="D39" s="148"/>
      <c r="E39" s="148"/>
      <c r="F39" s="148"/>
      <c r="G39" s="148"/>
      <c r="H39" s="148"/>
      <c r="I39" s="148"/>
      <c r="J39" s="148"/>
      <c r="K39" s="148"/>
      <c r="L39" s="148"/>
      <c r="M39" s="148"/>
      <c r="N39" s="148"/>
      <c r="O39" s="148"/>
      <c r="P39" s="150">
        <f t="shared" ref="P39:W39" si="42">D39-C39</f>
        <v>0</v>
      </c>
      <c r="Q39" s="150">
        <f t="shared" si="42"/>
        <v>0</v>
      </c>
      <c r="R39" s="150">
        <f t="shared" si="42"/>
        <v>0</v>
      </c>
      <c r="S39" s="150">
        <f t="shared" si="42"/>
        <v>0</v>
      </c>
      <c r="T39" s="150">
        <f t="shared" si="42"/>
        <v>0</v>
      </c>
      <c r="U39" s="150">
        <f t="shared" si="42"/>
        <v>0</v>
      </c>
      <c r="V39" s="150">
        <f t="shared" si="42"/>
        <v>0</v>
      </c>
      <c r="W39" s="150">
        <f t="shared" si="42"/>
        <v>0</v>
      </c>
      <c r="X39" s="150">
        <v>0</v>
      </c>
      <c r="Y39" s="150">
        <v>0</v>
      </c>
      <c r="Z39" s="150"/>
      <c r="AA39" s="150"/>
      <c r="AB39" s="150">
        <v>0</v>
      </c>
    </row>
    <row r="40" spans="2:28" hidden="1">
      <c r="B40" s="145"/>
      <c r="C40" s="146"/>
      <c r="D40" s="146"/>
      <c r="E40" s="146"/>
      <c r="F40" s="146"/>
      <c r="G40" s="146"/>
      <c r="H40" s="146"/>
      <c r="I40" s="146"/>
      <c r="J40" s="146"/>
      <c r="K40" s="146"/>
      <c r="L40" s="146"/>
      <c r="M40" s="146"/>
      <c r="N40" s="146"/>
      <c r="O40" s="146"/>
      <c r="P40" s="144"/>
      <c r="Q40" s="144"/>
      <c r="R40" s="144"/>
      <c r="S40" s="144"/>
      <c r="T40" s="144"/>
      <c r="U40" s="144"/>
      <c r="V40" s="144"/>
      <c r="W40" s="144"/>
      <c r="X40" s="144"/>
      <c r="Y40" s="144"/>
      <c r="Z40" s="144"/>
      <c r="AA40" s="144"/>
      <c r="AB40" s="144"/>
    </row>
    <row r="41" spans="2:28" hidden="1">
      <c r="B41" s="147"/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</row>
    <row r="42" spans="2:28" hidden="1">
      <c r="B42" s="147"/>
      <c r="C42" s="14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</row>
    <row r="43" spans="2:28" hidden="1">
      <c r="B43" s="147"/>
      <c r="C43" s="149"/>
      <c r="D43" s="149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</row>
    <row r="44" spans="2:28">
      <c r="B44" s="147"/>
      <c r="C44" s="148"/>
      <c r="D44" s="148"/>
      <c r="E44" s="148"/>
      <c r="F44" s="148"/>
      <c r="G44" s="148"/>
      <c r="H44" s="148"/>
      <c r="I44" s="148"/>
      <c r="J44" s="148"/>
      <c r="K44" s="148"/>
      <c r="L44" s="148"/>
      <c r="M44" s="148"/>
      <c r="N44" s="148"/>
      <c r="O44" s="148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</row>
    <row r="45" spans="2:28">
      <c r="B45" s="157"/>
      <c r="C45" s="158"/>
      <c r="D45" s="158"/>
      <c r="E45" s="158"/>
      <c r="F45" s="158"/>
      <c r="G45" s="158"/>
      <c r="H45" s="158"/>
      <c r="I45" s="158"/>
      <c r="J45" s="158"/>
      <c r="K45" s="158"/>
      <c r="L45" s="158"/>
      <c r="M45" s="158"/>
      <c r="N45" s="158"/>
      <c r="O45" s="158"/>
      <c r="P45" s="144">
        <f t="shared" ref="P45:AB45" si="43">D45-C45</f>
        <v>0</v>
      </c>
      <c r="Q45" s="144">
        <f>+Q38-P38</f>
        <v>0</v>
      </c>
      <c r="R45" s="144">
        <f t="shared" si="43"/>
        <v>0</v>
      </c>
      <c r="S45" s="144">
        <f t="shared" si="43"/>
        <v>0</v>
      </c>
      <c r="T45" s="144">
        <f t="shared" si="43"/>
        <v>0</v>
      </c>
      <c r="U45" s="144">
        <f t="shared" si="43"/>
        <v>0</v>
      </c>
      <c r="V45" s="144">
        <f t="shared" si="43"/>
        <v>0</v>
      </c>
      <c r="W45" s="144"/>
      <c r="X45" s="144"/>
      <c r="Y45" s="144">
        <f t="shared" si="43"/>
        <v>0</v>
      </c>
      <c r="Z45" s="144"/>
      <c r="AA45" s="144"/>
      <c r="AB45" s="144">
        <f t="shared" si="43"/>
        <v>0</v>
      </c>
    </row>
    <row r="46" spans="2:28">
      <c r="B46" s="147"/>
      <c r="C46" s="148"/>
      <c r="D46" s="148"/>
      <c r="E46" s="148"/>
      <c r="F46" s="148"/>
      <c r="G46" s="148"/>
      <c r="H46" s="148"/>
      <c r="I46" s="148"/>
      <c r="J46" s="148"/>
      <c r="K46" s="148"/>
      <c r="L46" s="148"/>
      <c r="M46" s="148"/>
      <c r="N46" s="148"/>
      <c r="O46" s="148"/>
      <c r="P46" s="150"/>
      <c r="Q46" s="150">
        <f t="shared" ref="P46:W48" si="44">E46-D46</f>
        <v>0</v>
      </c>
      <c r="R46" s="150">
        <f t="shared" si="44"/>
        <v>0</v>
      </c>
      <c r="S46" s="150">
        <f t="shared" si="44"/>
        <v>0</v>
      </c>
      <c r="T46" s="150">
        <f t="shared" si="44"/>
        <v>0</v>
      </c>
      <c r="U46" s="150">
        <f t="shared" si="44"/>
        <v>0</v>
      </c>
      <c r="V46" s="150">
        <f t="shared" si="44"/>
        <v>0</v>
      </c>
      <c r="W46" s="150">
        <f t="shared" si="44"/>
        <v>0</v>
      </c>
      <c r="X46" s="150"/>
      <c r="Y46" s="150">
        <v>0</v>
      </c>
      <c r="Z46" s="150"/>
      <c r="AA46" s="150"/>
      <c r="AB46" s="150">
        <v>0</v>
      </c>
    </row>
    <row r="47" spans="2:28" ht="21" customHeight="1">
      <c r="B47" s="152"/>
      <c r="C47" s="159"/>
      <c r="D47" s="159"/>
      <c r="E47" s="159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60">
        <f t="shared" si="44"/>
        <v>0</v>
      </c>
      <c r="Q47" s="160">
        <f t="shared" si="44"/>
        <v>0</v>
      </c>
      <c r="R47" s="160">
        <f t="shared" si="44"/>
        <v>0</v>
      </c>
      <c r="S47" s="160">
        <f t="shared" si="44"/>
        <v>0</v>
      </c>
      <c r="T47" s="160">
        <f t="shared" si="44"/>
        <v>0</v>
      </c>
      <c r="U47" s="160">
        <f t="shared" si="44"/>
        <v>0</v>
      </c>
      <c r="V47" s="160">
        <f t="shared" si="44"/>
        <v>0</v>
      </c>
      <c r="W47" s="160"/>
      <c r="X47" s="683"/>
      <c r="Y47" s="160">
        <f>M47-L47</f>
        <v>0</v>
      </c>
      <c r="Z47" s="160"/>
      <c r="AA47" s="160"/>
      <c r="AB47" s="160">
        <f>P47-O47</f>
        <v>0</v>
      </c>
    </row>
    <row r="48" spans="2:28">
      <c r="B48" s="154"/>
      <c r="C48" s="155"/>
      <c r="D48" s="155"/>
      <c r="E48" s="155"/>
      <c r="F48" s="155"/>
      <c r="G48" s="155"/>
      <c r="H48" s="155"/>
      <c r="I48" s="155"/>
      <c r="J48" s="155"/>
      <c r="K48" s="155"/>
      <c r="L48" s="155"/>
      <c r="M48" s="155"/>
      <c r="N48" s="155"/>
      <c r="O48" s="155"/>
      <c r="P48" s="156">
        <f t="shared" si="44"/>
        <v>0</v>
      </c>
      <c r="Q48" s="156">
        <f t="shared" si="44"/>
        <v>0</v>
      </c>
      <c r="R48" s="156">
        <f t="shared" si="44"/>
        <v>0</v>
      </c>
      <c r="S48" s="156">
        <f t="shared" si="44"/>
        <v>0</v>
      </c>
      <c r="T48" s="156">
        <f t="shared" si="44"/>
        <v>0</v>
      </c>
      <c r="U48" s="156">
        <f t="shared" si="44"/>
        <v>0</v>
      </c>
      <c r="V48" s="156">
        <f t="shared" si="44"/>
        <v>0</v>
      </c>
      <c r="W48" s="156">
        <f t="shared" si="44"/>
        <v>0</v>
      </c>
      <c r="X48" s="156">
        <v>0</v>
      </c>
      <c r="Y48" s="156">
        <v>0</v>
      </c>
      <c r="Z48" s="156">
        <v>0</v>
      </c>
      <c r="AA48" s="156">
        <v>0</v>
      </c>
      <c r="AB48" s="156">
        <v>0</v>
      </c>
    </row>
    <row r="49" spans="2:23" ht="44.25" customHeight="1">
      <c r="B49" s="161"/>
      <c r="C49" s="162"/>
      <c r="D49" s="162"/>
      <c r="E49" s="162"/>
      <c r="F49" s="134"/>
      <c r="G49" s="134"/>
      <c r="H49" s="134"/>
      <c r="O49" s="132">
        <v>0</v>
      </c>
      <c r="S49" s="134"/>
      <c r="V49" s="134"/>
      <c r="W49" s="134"/>
    </row>
    <row r="50" spans="2:23">
      <c r="C50" s="133"/>
      <c r="D50" s="133"/>
      <c r="E50" s="133"/>
      <c r="F50" s="133"/>
      <c r="G50" s="133"/>
      <c r="H50" s="133"/>
      <c r="I50" s="133"/>
      <c r="J50" s="133"/>
      <c r="K50" s="133"/>
      <c r="L50" s="133"/>
      <c r="M50" s="133"/>
      <c r="N50" s="133"/>
      <c r="O50" s="133"/>
      <c r="P50" s="134"/>
      <c r="Q50" s="134"/>
      <c r="R50" s="134"/>
      <c r="S50" s="134"/>
      <c r="T50" s="134"/>
      <c r="W50" s="134"/>
    </row>
    <row r="51" spans="2:23" hidden="1">
      <c r="B51" s="132" t="s">
        <v>146</v>
      </c>
      <c r="C51" s="133">
        <v>31069.620566000001</v>
      </c>
      <c r="D51" s="133">
        <v>33399.071577000002</v>
      </c>
      <c r="E51" s="133">
        <v>30901.652257000002</v>
      </c>
      <c r="F51" s="133">
        <v>36258.623277000006</v>
      </c>
      <c r="G51" s="133">
        <v>39629.784684999999</v>
      </c>
      <c r="H51" s="133"/>
      <c r="I51" s="133"/>
      <c r="J51" s="133"/>
      <c r="K51" s="133"/>
      <c r="L51" s="133"/>
      <c r="M51" s="133"/>
      <c r="N51" s="133"/>
      <c r="O51" s="133"/>
      <c r="P51" s="150"/>
      <c r="Q51" s="150"/>
      <c r="R51" s="150"/>
      <c r="S51" s="150"/>
    </row>
    <row r="52" spans="2:23" hidden="1">
      <c r="C52" s="133"/>
      <c r="D52" s="133"/>
      <c r="E52" s="133"/>
      <c r="F52" s="133"/>
      <c r="G52" s="133"/>
      <c r="H52" s="133"/>
      <c r="I52" s="133"/>
      <c r="J52" s="133"/>
      <c r="K52" s="133"/>
      <c r="L52" s="133"/>
      <c r="M52" s="133"/>
      <c r="N52" s="133"/>
      <c r="O52" s="133"/>
      <c r="P52" s="134"/>
    </row>
    <row r="53" spans="2:23" hidden="1">
      <c r="C53" s="133"/>
      <c r="D53" s="133"/>
      <c r="E53" s="133"/>
      <c r="F53" s="133"/>
      <c r="G53" s="133"/>
      <c r="H53" s="133"/>
      <c r="I53" s="133"/>
      <c r="J53" s="133"/>
      <c r="K53" s="133"/>
      <c r="L53" s="133"/>
      <c r="M53" s="133"/>
      <c r="N53" s="133"/>
      <c r="O53" s="133"/>
      <c r="P53" s="134"/>
    </row>
    <row r="54" spans="2:23" hidden="1">
      <c r="B54" s="132" t="s">
        <v>147</v>
      </c>
      <c r="C54" s="133">
        <v>-30052.876090000002</v>
      </c>
      <c r="D54" s="133">
        <v>-29899.972422999999</v>
      </c>
      <c r="E54" s="133">
        <v>-24595.448522999999</v>
      </c>
      <c r="F54" s="133">
        <v>-34757.188681</v>
      </c>
      <c r="G54" s="133">
        <v>-37273.239391000003</v>
      </c>
      <c r="H54" s="133">
        <v>-32215.026425999997</v>
      </c>
      <c r="I54" s="133">
        <v>-35467.924992</v>
      </c>
      <c r="J54" s="133">
        <v>-40425.090871</v>
      </c>
      <c r="K54" s="133"/>
      <c r="L54" s="133"/>
      <c r="M54" s="133"/>
      <c r="N54" s="133"/>
      <c r="O54" s="133"/>
      <c r="P54" s="134"/>
    </row>
    <row r="55" spans="2:23" hidden="1">
      <c r="B55" s="132" t="s">
        <v>148</v>
      </c>
      <c r="C55" s="133"/>
      <c r="D55" s="133">
        <v>152.90366700000232</v>
      </c>
      <c r="E55" s="133">
        <v>5457.4275670000025</v>
      </c>
      <c r="F55" s="133">
        <v>-4704.3125909999981</v>
      </c>
      <c r="G55" s="133">
        <v>-7220.3633010000012</v>
      </c>
      <c r="H55" s="133">
        <v>-2162.1503359999951</v>
      </c>
      <c r="I55" s="133">
        <v>-5415.0489019999986</v>
      </c>
      <c r="J55" s="163"/>
      <c r="K55" s="163"/>
      <c r="L55" s="163"/>
      <c r="M55" s="163"/>
      <c r="N55" s="163"/>
      <c r="O55" s="163"/>
    </row>
    <row r="56" spans="2:23" hidden="1">
      <c r="C56" s="163"/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</row>
    <row r="57" spans="2:23" hidden="1">
      <c r="B57" s="132" t="s">
        <v>149</v>
      </c>
      <c r="C57" s="133">
        <v>0</v>
      </c>
      <c r="D57" s="133">
        <v>0</v>
      </c>
      <c r="E57" s="133"/>
      <c r="F57" s="133"/>
      <c r="G57" s="133"/>
      <c r="H57" s="133"/>
      <c r="I57" s="133"/>
      <c r="J57" s="133"/>
      <c r="K57" s="133"/>
      <c r="L57" s="133"/>
      <c r="M57" s="133"/>
      <c r="N57" s="133"/>
      <c r="O57" s="133"/>
    </row>
    <row r="58" spans="2:23" hidden="1">
      <c r="B58" s="132" t="s">
        <v>150</v>
      </c>
      <c r="C58" s="133">
        <v>0</v>
      </c>
      <c r="D58" s="133">
        <v>0</v>
      </c>
      <c r="E58" s="133"/>
      <c r="F58" s="133"/>
      <c r="G58" s="133"/>
      <c r="H58" s="133"/>
      <c r="I58" s="133"/>
      <c r="J58" s="133"/>
      <c r="K58" s="133"/>
      <c r="L58" s="133"/>
      <c r="M58" s="133"/>
      <c r="N58" s="133"/>
      <c r="O58" s="133"/>
    </row>
    <row r="59" spans="2:23" hidden="1">
      <c r="B59" s="132" t="s">
        <v>151</v>
      </c>
      <c r="C59" s="133">
        <v>0</v>
      </c>
      <c r="D59" s="133">
        <v>0</v>
      </c>
      <c r="E59" s="133"/>
      <c r="F59" s="133"/>
      <c r="G59" s="133"/>
      <c r="H59" s="133"/>
      <c r="I59" s="133"/>
      <c r="J59" s="133"/>
      <c r="K59" s="133"/>
      <c r="L59" s="133"/>
      <c r="M59" s="133"/>
      <c r="N59" s="133"/>
      <c r="O59" s="133"/>
    </row>
    <row r="60" spans="2:23" hidden="1">
      <c r="B60" s="132" t="s">
        <v>152</v>
      </c>
      <c r="C60" s="133" t="e">
        <v>#REF!</v>
      </c>
      <c r="D60" s="133" t="e">
        <v>#REF!</v>
      </c>
      <c r="E60" s="133"/>
      <c r="F60" s="133"/>
      <c r="G60" s="133"/>
      <c r="H60" s="133"/>
      <c r="I60" s="133"/>
      <c r="J60" s="133"/>
      <c r="K60" s="133"/>
      <c r="L60" s="133"/>
      <c r="M60" s="133"/>
      <c r="N60" s="133"/>
      <c r="O60" s="133"/>
    </row>
    <row r="61" spans="2:23" hidden="1">
      <c r="B61" s="132" t="s">
        <v>150</v>
      </c>
      <c r="C61" s="133" t="e">
        <v>#REF!</v>
      </c>
      <c r="D61" s="133" t="e">
        <v>#REF!</v>
      </c>
      <c r="E61" s="133"/>
      <c r="F61" s="133"/>
      <c r="G61" s="133"/>
      <c r="H61" s="133"/>
      <c r="I61" s="133"/>
      <c r="J61" s="133"/>
      <c r="K61" s="133"/>
      <c r="L61" s="133"/>
      <c r="M61" s="133"/>
      <c r="N61" s="133"/>
      <c r="O61" s="133"/>
    </row>
    <row r="62" spans="2:23" hidden="1">
      <c r="B62" s="132" t="s">
        <v>151</v>
      </c>
      <c r="C62" s="133" t="e">
        <v>#REF!</v>
      </c>
      <c r="D62" s="133" t="e">
        <v>#REF!</v>
      </c>
      <c r="E62" s="133"/>
      <c r="F62" s="133"/>
      <c r="G62" s="133"/>
      <c r="H62" s="133"/>
      <c r="I62" s="133"/>
      <c r="J62" s="133"/>
      <c r="K62" s="133"/>
      <c r="L62" s="133"/>
      <c r="M62" s="133"/>
      <c r="N62" s="133"/>
      <c r="O62" s="133"/>
    </row>
    <row r="63" spans="2:23" ht="32.25" customHeight="1">
      <c r="B63" s="164" t="s">
        <v>153</v>
      </c>
      <c r="C63" s="165"/>
      <c r="D63" s="166"/>
      <c r="E63" s="167"/>
      <c r="F63" s="166"/>
      <c r="G63" s="163"/>
      <c r="H63" s="163"/>
      <c r="I63" s="133"/>
      <c r="J63" s="166"/>
      <c r="K63" s="166"/>
      <c r="L63" s="166"/>
      <c r="M63" s="163"/>
      <c r="N63" s="163"/>
      <c r="O63" s="163"/>
    </row>
    <row r="64" spans="2:23">
      <c r="C64" s="163"/>
      <c r="D64" s="163"/>
      <c r="E64" s="163"/>
      <c r="F64" s="163"/>
      <c r="G64" s="163"/>
      <c r="H64" s="163"/>
      <c r="I64" s="163"/>
      <c r="J64" s="163"/>
      <c r="K64" s="163"/>
      <c r="L64" s="163"/>
      <c r="M64" s="163"/>
      <c r="N64" s="163"/>
      <c r="O64" s="163"/>
    </row>
    <row r="65" spans="2:22" ht="40.5" customHeight="1">
      <c r="B65" s="168"/>
      <c r="C65" s="140" t="s">
        <v>2885</v>
      </c>
      <c r="D65" s="140" t="s">
        <v>2888</v>
      </c>
      <c r="E65" s="141" t="s">
        <v>2886</v>
      </c>
      <c r="F65" s="140" t="s">
        <v>2887</v>
      </c>
      <c r="G65" s="141" t="s">
        <v>2889</v>
      </c>
      <c r="H65" s="141" t="s">
        <v>2890</v>
      </c>
      <c r="I65" s="141" t="s">
        <v>2891</v>
      </c>
      <c r="J65" s="141" t="s">
        <v>2892</v>
      </c>
      <c r="K65" s="141" t="s">
        <v>2893</v>
      </c>
      <c r="L65" s="141" t="s">
        <v>2894</v>
      </c>
      <c r="M65" s="141" t="s">
        <v>2895</v>
      </c>
      <c r="N65" s="141" t="s">
        <v>2896</v>
      </c>
      <c r="O65" s="141" t="s">
        <v>2897</v>
      </c>
    </row>
    <row r="66" spans="2:22">
      <c r="B66" s="142" t="s">
        <v>180</v>
      </c>
      <c r="C66" s="143">
        <f t="shared" ref="C66:C87" si="45">C6</f>
        <v>0</v>
      </c>
      <c r="D66" s="143">
        <f t="shared" ref="D66:O66" si="46">D6-$C6</f>
        <v>0</v>
      </c>
      <c r="E66" s="143">
        <f t="shared" si="46"/>
        <v>0</v>
      </c>
      <c r="F66" s="143">
        <f t="shared" si="46"/>
        <v>0</v>
      </c>
      <c r="G66" s="143">
        <f t="shared" si="46"/>
        <v>0</v>
      </c>
      <c r="H66" s="143">
        <f t="shared" si="46"/>
        <v>0</v>
      </c>
      <c r="I66" s="143">
        <f t="shared" si="46"/>
        <v>0</v>
      </c>
      <c r="J66" s="143">
        <f t="shared" si="46"/>
        <v>0</v>
      </c>
      <c r="K66" s="143">
        <f t="shared" si="46"/>
        <v>0</v>
      </c>
      <c r="L66" s="143">
        <f t="shared" si="46"/>
        <v>0</v>
      </c>
      <c r="M66" s="143">
        <f t="shared" si="46"/>
        <v>0</v>
      </c>
      <c r="N66" s="143">
        <f t="shared" si="46"/>
        <v>0</v>
      </c>
      <c r="O66" s="143">
        <f t="shared" si="46"/>
        <v>11937178016</v>
      </c>
    </row>
    <row r="67" spans="2:22">
      <c r="B67" s="145" t="s">
        <v>167</v>
      </c>
      <c r="C67" s="143">
        <f t="shared" si="45"/>
        <v>0</v>
      </c>
      <c r="D67" s="143">
        <f t="shared" ref="D67:O67" si="47">D7-$C7</f>
        <v>10201460</v>
      </c>
      <c r="E67" s="143">
        <f t="shared" si="47"/>
        <v>1272700687</v>
      </c>
      <c r="F67" s="143">
        <f t="shared" si="47"/>
        <v>1628724381</v>
      </c>
      <c r="G67" s="143">
        <f t="shared" si="47"/>
        <v>8513967206</v>
      </c>
      <c r="H67" s="143">
        <f t="shared" si="47"/>
        <v>0</v>
      </c>
      <c r="I67" s="143">
        <f t="shared" si="47"/>
        <v>3404614736</v>
      </c>
      <c r="J67" s="143">
        <f t="shared" si="47"/>
        <v>5390222313</v>
      </c>
      <c r="K67" s="143">
        <f t="shared" si="47"/>
        <v>7703461217</v>
      </c>
      <c r="L67" s="143">
        <f t="shared" si="47"/>
        <v>10666668004</v>
      </c>
      <c r="M67" s="143">
        <f t="shared" si="47"/>
        <v>0</v>
      </c>
      <c r="N67" s="143">
        <f t="shared" si="47"/>
        <v>0</v>
      </c>
      <c r="O67" s="143">
        <f t="shared" si="47"/>
        <v>9047881467</v>
      </c>
      <c r="V67" s="134"/>
    </row>
    <row r="68" spans="2:22">
      <c r="B68" s="147" t="s">
        <v>157</v>
      </c>
      <c r="C68" s="148">
        <f t="shared" si="45"/>
        <v>0</v>
      </c>
      <c r="D68" s="148">
        <f t="shared" ref="D68:O68" si="48">D8-$C8</f>
        <v>523226</v>
      </c>
      <c r="E68" s="148">
        <f t="shared" si="48"/>
        <v>128387594</v>
      </c>
      <c r="F68" s="148">
        <f t="shared" si="48"/>
        <v>168889698</v>
      </c>
      <c r="G68" s="148">
        <f t="shared" si="48"/>
        <v>3438820088</v>
      </c>
      <c r="H68" s="148">
        <f t="shared" si="48"/>
        <v>0</v>
      </c>
      <c r="I68" s="148">
        <f t="shared" si="48"/>
        <v>1036345144</v>
      </c>
      <c r="J68" s="148">
        <f t="shared" si="48"/>
        <v>1285501956</v>
      </c>
      <c r="K68" s="148">
        <f t="shared" si="48"/>
        <v>4032850015</v>
      </c>
      <c r="L68" s="148">
        <f t="shared" si="48"/>
        <v>4109087093</v>
      </c>
      <c r="M68" s="148">
        <f t="shared" si="48"/>
        <v>0</v>
      </c>
      <c r="N68" s="148">
        <f t="shared" si="48"/>
        <v>0</v>
      </c>
      <c r="O68" s="148">
        <f t="shared" si="48"/>
        <v>3462573062</v>
      </c>
    </row>
    <row r="69" spans="2:22">
      <c r="B69" s="147" t="s">
        <v>158</v>
      </c>
      <c r="C69" s="148">
        <f t="shared" si="45"/>
        <v>0</v>
      </c>
      <c r="D69" s="148">
        <f t="shared" ref="D69:O69" si="49">D9-$C9</f>
        <v>0</v>
      </c>
      <c r="E69" s="148">
        <f t="shared" si="49"/>
        <v>974621041</v>
      </c>
      <c r="F69" s="148">
        <f t="shared" si="49"/>
        <v>1145651611</v>
      </c>
      <c r="G69" s="148">
        <f t="shared" si="49"/>
        <v>2384817952</v>
      </c>
      <c r="H69" s="148">
        <f t="shared" si="49"/>
        <v>0</v>
      </c>
      <c r="I69" s="148">
        <f t="shared" si="49"/>
        <v>1223352002</v>
      </c>
      <c r="J69" s="148">
        <f t="shared" si="49"/>
        <v>2218268707</v>
      </c>
      <c r="K69" s="148">
        <f t="shared" si="49"/>
        <v>1183287366</v>
      </c>
      <c r="L69" s="148">
        <f t="shared" si="49"/>
        <v>2850767712</v>
      </c>
      <c r="M69" s="148">
        <f t="shared" si="49"/>
        <v>0</v>
      </c>
      <c r="N69" s="148">
        <f t="shared" si="49"/>
        <v>0</v>
      </c>
      <c r="O69" s="148">
        <f t="shared" si="49"/>
        <v>1974901306</v>
      </c>
    </row>
    <row r="70" spans="2:22">
      <c r="B70" s="147" t="s">
        <v>159</v>
      </c>
      <c r="C70" s="148">
        <f t="shared" si="45"/>
        <v>0</v>
      </c>
      <c r="D70" s="148">
        <f t="shared" ref="D70:O70" si="50">D10-$C10</f>
        <v>9678234</v>
      </c>
      <c r="E70" s="148">
        <f t="shared" si="50"/>
        <v>169692052</v>
      </c>
      <c r="F70" s="148">
        <f t="shared" si="50"/>
        <v>314183072</v>
      </c>
      <c r="G70" s="148">
        <f t="shared" si="50"/>
        <v>1656553186</v>
      </c>
      <c r="H70" s="148">
        <f t="shared" si="50"/>
        <v>0</v>
      </c>
      <c r="I70" s="148">
        <f t="shared" si="50"/>
        <v>835851943</v>
      </c>
      <c r="J70" s="148">
        <f t="shared" si="50"/>
        <v>1115643059</v>
      </c>
      <c r="K70" s="148">
        <f t="shared" si="50"/>
        <v>2208584836</v>
      </c>
      <c r="L70" s="148">
        <f t="shared" si="50"/>
        <v>2721846147</v>
      </c>
      <c r="M70" s="148">
        <f t="shared" si="50"/>
        <v>0</v>
      </c>
      <c r="N70" s="148">
        <f t="shared" si="50"/>
        <v>0</v>
      </c>
      <c r="O70" s="148">
        <f t="shared" si="50"/>
        <v>1870055167</v>
      </c>
    </row>
    <row r="71" spans="2:22">
      <c r="B71" s="147" t="s">
        <v>160</v>
      </c>
      <c r="C71" s="148">
        <f t="shared" si="45"/>
        <v>0</v>
      </c>
      <c r="D71" s="148">
        <f t="shared" ref="D71:O71" si="51">D11-$C11</f>
        <v>0</v>
      </c>
      <c r="E71" s="148">
        <f t="shared" si="51"/>
        <v>0</v>
      </c>
      <c r="F71" s="148">
        <f t="shared" si="51"/>
        <v>0</v>
      </c>
      <c r="G71" s="148">
        <f t="shared" si="51"/>
        <v>973816165</v>
      </c>
      <c r="H71" s="148">
        <f t="shared" si="51"/>
        <v>0</v>
      </c>
      <c r="I71" s="148">
        <f t="shared" si="51"/>
        <v>293993347</v>
      </c>
      <c r="J71" s="148">
        <f t="shared" si="51"/>
        <v>770808591</v>
      </c>
      <c r="K71" s="148">
        <f t="shared" si="51"/>
        <v>0</v>
      </c>
      <c r="L71" s="148">
        <f t="shared" si="51"/>
        <v>260414680</v>
      </c>
      <c r="M71" s="148">
        <f t="shared" si="51"/>
        <v>0</v>
      </c>
      <c r="N71" s="148">
        <f t="shared" si="51"/>
        <v>0</v>
      </c>
      <c r="O71" s="148">
        <f t="shared" si="51"/>
        <v>1592572932</v>
      </c>
      <c r="S71" s="134"/>
    </row>
    <row r="72" spans="2:22">
      <c r="B72" s="147" t="s">
        <v>161</v>
      </c>
      <c r="C72" s="148">
        <f t="shared" si="45"/>
        <v>0</v>
      </c>
      <c r="D72" s="148">
        <f t="shared" ref="D72:O72" si="52">D12-$C12</f>
        <v>0</v>
      </c>
      <c r="E72" s="148">
        <f t="shared" si="52"/>
        <v>0</v>
      </c>
      <c r="F72" s="148">
        <f t="shared" si="52"/>
        <v>0</v>
      </c>
      <c r="G72" s="148">
        <f t="shared" si="52"/>
        <v>143389474</v>
      </c>
      <c r="H72" s="148">
        <f t="shared" si="52"/>
        <v>0</v>
      </c>
      <c r="I72" s="148">
        <f t="shared" si="52"/>
        <v>9655569</v>
      </c>
      <c r="J72" s="148">
        <f>I22-$C12</f>
        <v>239242199</v>
      </c>
      <c r="K72" s="148">
        <f t="shared" si="52"/>
        <v>0</v>
      </c>
      <c r="L72" s="148">
        <f t="shared" si="52"/>
        <v>201068332</v>
      </c>
      <c r="M72" s="148">
        <f t="shared" si="52"/>
        <v>0</v>
      </c>
      <c r="N72" s="148">
        <f t="shared" si="52"/>
        <v>0</v>
      </c>
      <c r="O72" s="148">
        <f t="shared" si="52"/>
        <v>0</v>
      </c>
    </row>
    <row r="73" spans="2:22">
      <c r="B73" s="147" t="s">
        <v>162</v>
      </c>
      <c r="C73" s="148">
        <f t="shared" si="45"/>
        <v>0</v>
      </c>
      <c r="D73" s="148">
        <f t="shared" ref="D73:O73" si="53">D13-$C13</f>
        <v>0</v>
      </c>
      <c r="E73" s="148">
        <f t="shared" si="53"/>
        <v>0</v>
      </c>
      <c r="F73" s="148">
        <f t="shared" si="53"/>
        <v>0</v>
      </c>
      <c r="G73" s="148">
        <f t="shared" si="53"/>
        <v>830426691</v>
      </c>
      <c r="H73" s="148">
        <f t="shared" si="53"/>
        <v>0</v>
      </c>
      <c r="I73" s="148">
        <f t="shared" si="53"/>
        <v>284337778</v>
      </c>
      <c r="J73" s="148">
        <f t="shared" si="53"/>
        <v>717023132</v>
      </c>
      <c r="K73" s="148">
        <f t="shared" si="53"/>
        <v>0</v>
      </c>
      <c r="L73" s="148">
        <f t="shared" si="53"/>
        <v>59346348</v>
      </c>
      <c r="M73" s="148">
        <f t="shared" si="53"/>
        <v>0</v>
      </c>
      <c r="N73" s="148">
        <f t="shared" si="53"/>
        <v>0</v>
      </c>
      <c r="O73" s="148">
        <f t="shared" si="53"/>
        <v>1592572932</v>
      </c>
    </row>
    <row r="74" spans="2:22" ht="12.75" customHeight="1">
      <c r="B74" s="147" t="s">
        <v>140</v>
      </c>
      <c r="C74" s="148">
        <f t="shared" si="45"/>
        <v>0</v>
      </c>
      <c r="D74" s="148">
        <f t="shared" ref="D74:O74" si="54">D14-$C14</f>
        <v>0</v>
      </c>
      <c r="E74" s="148">
        <f t="shared" si="54"/>
        <v>0</v>
      </c>
      <c r="F74" s="148">
        <f t="shared" si="54"/>
        <v>0</v>
      </c>
      <c r="G74" s="148">
        <f t="shared" si="54"/>
        <v>775999966</v>
      </c>
      <c r="H74" s="148">
        <f t="shared" si="54"/>
        <v>0</v>
      </c>
      <c r="I74" s="148">
        <f t="shared" si="54"/>
        <v>229911053</v>
      </c>
      <c r="J74" s="148">
        <f>I24-$C14</f>
        <v>377956681</v>
      </c>
      <c r="K74" s="148">
        <f t="shared" si="54"/>
        <v>0</v>
      </c>
      <c r="L74" s="148">
        <f t="shared" si="54"/>
        <v>59346348</v>
      </c>
      <c r="M74" s="148">
        <f t="shared" si="54"/>
        <v>0</v>
      </c>
      <c r="N74" s="148">
        <f t="shared" si="54"/>
        <v>0</v>
      </c>
      <c r="O74" s="148">
        <f t="shared" si="54"/>
        <v>1592572932</v>
      </c>
      <c r="P74" s="169"/>
      <c r="Q74" s="169"/>
      <c r="R74" s="169"/>
      <c r="S74" s="169"/>
      <c r="T74" s="169"/>
    </row>
    <row r="75" spans="2:22">
      <c r="B75" s="147" t="s">
        <v>181</v>
      </c>
      <c r="C75" s="148">
        <f t="shared" si="45"/>
        <v>0</v>
      </c>
      <c r="D75" s="148">
        <f t="shared" ref="D75:O75" si="55">D15-$C15</f>
        <v>0</v>
      </c>
      <c r="E75" s="148">
        <f t="shared" si="55"/>
        <v>0</v>
      </c>
      <c r="F75" s="148">
        <f t="shared" si="55"/>
        <v>0</v>
      </c>
      <c r="G75" s="148">
        <f t="shared" si="55"/>
        <v>54426725</v>
      </c>
      <c r="H75" s="148">
        <f t="shared" si="55"/>
        <v>0</v>
      </c>
      <c r="I75" s="148">
        <f t="shared" si="55"/>
        <v>54426725</v>
      </c>
      <c r="J75" s="148">
        <f t="shared" si="55"/>
        <v>109729024</v>
      </c>
      <c r="K75" s="148">
        <f t="shared" si="55"/>
        <v>0</v>
      </c>
      <c r="L75" s="148">
        <f t="shared" si="55"/>
        <v>0</v>
      </c>
      <c r="M75" s="148">
        <f t="shared" si="55"/>
        <v>0</v>
      </c>
      <c r="N75" s="148">
        <f t="shared" si="55"/>
        <v>0</v>
      </c>
      <c r="O75" s="148">
        <f t="shared" si="55"/>
        <v>0</v>
      </c>
    </row>
    <row r="76" spans="2:22">
      <c r="B76" s="147" t="s">
        <v>143</v>
      </c>
      <c r="C76" s="148">
        <f t="shared" si="45"/>
        <v>0</v>
      </c>
      <c r="D76" s="148">
        <f t="shared" ref="D76:O76" si="56">D16-$C16</f>
        <v>0</v>
      </c>
      <c r="E76" s="148">
        <f t="shared" si="56"/>
        <v>0</v>
      </c>
      <c r="F76" s="148">
        <f t="shared" si="56"/>
        <v>0</v>
      </c>
      <c r="G76" s="148">
        <f t="shared" si="56"/>
        <v>0</v>
      </c>
      <c r="H76" s="148">
        <f t="shared" si="56"/>
        <v>0</v>
      </c>
      <c r="I76" s="148">
        <f t="shared" si="56"/>
        <v>0</v>
      </c>
      <c r="J76" s="148">
        <f t="shared" si="56"/>
        <v>0</v>
      </c>
      <c r="K76" s="148">
        <f t="shared" si="56"/>
        <v>0</v>
      </c>
      <c r="L76" s="148">
        <f t="shared" si="56"/>
        <v>0</v>
      </c>
      <c r="M76" s="148">
        <f t="shared" si="56"/>
        <v>0</v>
      </c>
      <c r="N76" s="148">
        <f t="shared" si="56"/>
        <v>0</v>
      </c>
      <c r="O76" s="148">
        <f t="shared" si="56"/>
        <v>0</v>
      </c>
    </row>
    <row r="77" spans="2:22">
      <c r="B77" s="147" t="s">
        <v>144</v>
      </c>
      <c r="C77" s="148">
        <f t="shared" si="45"/>
        <v>0</v>
      </c>
      <c r="D77" s="148">
        <f t="shared" ref="D77:O77" si="57">D17-$C17</f>
        <v>0</v>
      </c>
      <c r="E77" s="148">
        <f t="shared" si="57"/>
        <v>0</v>
      </c>
      <c r="F77" s="148">
        <f t="shared" si="57"/>
        <v>0</v>
      </c>
      <c r="G77" s="148">
        <f t="shared" si="57"/>
        <v>0</v>
      </c>
      <c r="H77" s="148">
        <f t="shared" si="57"/>
        <v>0</v>
      </c>
      <c r="I77" s="148">
        <f t="shared" si="57"/>
        <v>0</v>
      </c>
      <c r="J77" s="148">
        <f t="shared" si="57"/>
        <v>0</v>
      </c>
      <c r="K77" s="148">
        <f t="shared" si="57"/>
        <v>0</v>
      </c>
      <c r="L77" s="148">
        <f t="shared" si="57"/>
        <v>0</v>
      </c>
      <c r="M77" s="148">
        <f t="shared" si="57"/>
        <v>0</v>
      </c>
      <c r="N77" s="148">
        <f t="shared" si="57"/>
        <v>0</v>
      </c>
      <c r="O77" s="148">
        <f t="shared" si="57"/>
        <v>0</v>
      </c>
    </row>
    <row r="78" spans="2:22">
      <c r="B78" s="147" t="s">
        <v>145</v>
      </c>
      <c r="C78" s="148">
        <f t="shared" si="45"/>
        <v>0</v>
      </c>
      <c r="D78" s="148">
        <f t="shared" ref="D78:O78" si="58">D18-$C18</f>
        <v>0</v>
      </c>
      <c r="E78" s="148">
        <f t="shared" si="58"/>
        <v>0</v>
      </c>
      <c r="F78" s="148">
        <f t="shared" si="58"/>
        <v>0</v>
      </c>
      <c r="G78" s="148">
        <f t="shared" si="58"/>
        <v>0</v>
      </c>
      <c r="H78" s="148">
        <f t="shared" si="58"/>
        <v>0</v>
      </c>
      <c r="I78" s="148">
        <f t="shared" si="58"/>
        <v>0</v>
      </c>
      <c r="J78" s="148">
        <f t="shared" si="58"/>
        <v>0</v>
      </c>
      <c r="K78" s="148">
        <f t="shared" si="58"/>
        <v>0</v>
      </c>
      <c r="L78" s="148">
        <f t="shared" si="58"/>
        <v>0</v>
      </c>
      <c r="M78" s="148">
        <f t="shared" si="58"/>
        <v>0</v>
      </c>
      <c r="N78" s="148">
        <f t="shared" si="58"/>
        <v>0</v>
      </c>
      <c r="O78" s="148">
        <f t="shared" si="58"/>
        <v>0</v>
      </c>
    </row>
    <row r="79" spans="2:22">
      <c r="B79" s="147"/>
      <c r="C79" s="148">
        <f t="shared" si="45"/>
        <v>0</v>
      </c>
      <c r="D79" s="148">
        <f t="shared" ref="D79:O79" si="59">D19-C19</f>
        <v>0</v>
      </c>
      <c r="E79" s="148">
        <f t="shared" si="59"/>
        <v>0</v>
      </c>
      <c r="F79" s="148">
        <f t="shared" si="59"/>
        <v>0</v>
      </c>
      <c r="G79" s="148">
        <f t="shared" si="59"/>
        <v>0</v>
      </c>
      <c r="H79" s="148">
        <f t="shared" si="59"/>
        <v>0</v>
      </c>
      <c r="I79" s="148">
        <f t="shared" si="59"/>
        <v>0</v>
      </c>
      <c r="J79" s="148">
        <f t="shared" si="59"/>
        <v>0</v>
      </c>
      <c r="K79" s="148">
        <f t="shared" si="59"/>
        <v>0</v>
      </c>
      <c r="L79" s="148">
        <f t="shared" si="59"/>
        <v>0</v>
      </c>
      <c r="M79" s="148">
        <f t="shared" si="59"/>
        <v>0</v>
      </c>
      <c r="N79" s="148">
        <f t="shared" si="59"/>
        <v>0</v>
      </c>
      <c r="O79" s="148">
        <f t="shared" si="59"/>
        <v>0</v>
      </c>
    </row>
    <row r="80" spans="2:22">
      <c r="B80" s="147" t="s">
        <v>163</v>
      </c>
      <c r="C80" s="148">
        <f t="shared" si="45"/>
        <v>0</v>
      </c>
      <c r="D80" s="148">
        <f t="shared" ref="D80:O80" si="60">D20-$C20</f>
        <v>0</v>
      </c>
      <c r="E80" s="148">
        <f t="shared" si="60"/>
        <v>0</v>
      </c>
      <c r="F80" s="148">
        <f t="shared" si="60"/>
        <v>0</v>
      </c>
      <c r="G80" s="148">
        <f t="shared" si="60"/>
        <v>59959815</v>
      </c>
      <c r="H80" s="148">
        <f t="shared" si="60"/>
        <v>0</v>
      </c>
      <c r="I80" s="148">
        <f t="shared" si="60"/>
        <v>15072300</v>
      </c>
      <c r="J80" s="148">
        <f t="shared" si="60"/>
        <v>0</v>
      </c>
      <c r="K80" s="148">
        <f t="shared" si="60"/>
        <v>278739000</v>
      </c>
      <c r="L80" s="148">
        <f t="shared" si="60"/>
        <v>724552372</v>
      </c>
      <c r="M80" s="148">
        <f t="shared" si="60"/>
        <v>0</v>
      </c>
      <c r="N80" s="148">
        <f t="shared" si="60"/>
        <v>0</v>
      </c>
      <c r="O80" s="148">
        <f t="shared" si="60"/>
        <v>147779000</v>
      </c>
    </row>
    <row r="81" spans="2:15">
      <c r="B81" s="147" t="s">
        <v>176</v>
      </c>
      <c r="C81" s="148">
        <f t="shared" si="45"/>
        <v>0</v>
      </c>
      <c r="D81" s="148">
        <f t="shared" ref="D81:O81" si="61">D21-$C21</f>
        <v>309290126</v>
      </c>
      <c r="E81" s="148">
        <f t="shared" si="61"/>
        <v>349290126</v>
      </c>
      <c r="F81" s="148">
        <f t="shared" si="61"/>
        <v>359420543</v>
      </c>
      <c r="G81" s="148">
        <f t="shared" si="61"/>
        <v>1017154991</v>
      </c>
      <c r="H81" s="148">
        <f t="shared" si="61"/>
        <v>0</v>
      </c>
      <c r="I81" s="148">
        <f t="shared" si="61"/>
        <v>617198880</v>
      </c>
      <c r="J81" s="148">
        <f t="shared" si="61"/>
        <v>1136482333</v>
      </c>
      <c r="K81" s="148">
        <f t="shared" si="61"/>
        <v>1275213</v>
      </c>
      <c r="L81" s="148">
        <f t="shared" si="61"/>
        <v>192101575</v>
      </c>
      <c r="M81" s="148">
        <f t="shared" si="61"/>
        <v>0</v>
      </c>
      <c r="N81" s="148">
        <f t="shared" si="61"/>
        <v>0</v>
      </c>
      <c r="O81" s="148">
        <f t="shared" si="61"/>
        <v>2889296549</v>
      </c>
    </row>
    <row r="82" spans="2:15" hidden="1">
      <c r="B82" s="147" t="s">
        <v>164</v>
      </c>
      <c r="C82" s="148">
        <f t="shared" si="45"/>
        <v>0</v>
      </c>
      <c r="D82" s="148">
        <f t="shared" ref="D82:O82" si="62">D22-$C22</f>
        <v>309290126</v>
      </c>
      <c r="E82" s="148">
        <f t="shared" si="62"/>
        <v>349290126</v>
      </c>
      <c r="F82" s="148">
        <f t="shared" si="62"/>
        <v>359420543</v>
      </c>
      <c r="G82" s="148">
        <f t="shared" si="62"/>
        <v>563198310</v>
      </c>
      <c r="H82" s="148">
        <f t="shared" si="62"/>
        <v>0</v>
      </c>
      <c r="I82" s="148" t="e">
        <f>#REF!-$C22</f>
        <v>#REF!</v>
      </c>
      <c r="J82" s="148" t="e">
        <f>#REF!-$C22</f>
        <v>#REF!</v>
      </c>
      <c r="K82" s="148">
        <f t="shared" si="62"/>
        <v>1275213</v>
      </c>
      <c r="L82" s="148">
        <f t="shared" si="62"/>
        <v>1275213</v>
      </c>
      <c r="M82" s="148">
        <f t="shared" si="62"/>
        <v>0</v>
      </c>
      <c r="N82" s="148">
        <f t="shared" si="62"/>
        <v>0</v>
      </c>
      <c r="O82" s="148">
        <f t="shared" si="62"/>
        <v>353169532</v>
      </c>
    </row>
    <row r="83" spans="2:15">
      <c r="B83" s="147" t="s">
        <v>178</v>
      </c>
      <c r="C83" s="148">
        <f t="shared" si="45"/>
        <v>0</v>
      </c>
      <c r="D83" s="148">
        <f t="shared" ref="D83:O83" si="63">D23-$C23</f>
        <v>0</v>
      </c>
      <c r="E83" s="148">
        <f t="shared" si="63"/>
        <v>0</v>
      </c>
      <c r="F83" s="148">
        <f t="shared" si="63"/>
        <v>0</v>
      </c>
      <c r="G83" s="148">
        <f t="shared" si="63"/>
        <v>453956681</v>
      </c>
      <c r="H83" s="148">
        <f t="shared" si="63"/>
        <v>0</v>
      </c>
      <c r="I83" s="148">
        <f t="shared" si="63"/>
        <v>377956681</v>
      </c>
      <c r="J83" s="148">
        <f t="shared" si="63"/>
        <v>759950047</v>
      </c>
      <c r="K83" s="148">
        <f t="shared" si="63"/>
        <v>0</v>
      </c>
      <c r="L83" s="148">
        <f t="shared" si="63"/>
        <v>190826362</v>
      </c>
      <c r="M83" s="148">
        <f t="shared" si="63"/>
        <v>0</v>
      </c>
      <c r="N83" s="148">
        <f t="shared" si="63"/>
        <v>0</v>
      </c>
      <c r="O83" s="148">
        <f t="shared" si="63"/>
        <v>2536127017</v>
      </c>
    </row>
    <row r="84" spans="2:15">
      <c r="B84" s="147" t="s">
        <v>140</v>
      </c>
      <c r="C84" s="148">
        <f t="shared" si="45"/>
        <v>0</v>
      </c>
      <c r="D84" s="148">
        <f t="shared" ref="D84:O84" si="64">D24-$C24</f>
        <v>0</v>
      </c>
      <c r="E84" s="148">
        <f t="shared" si="64"/>
        <v>0</v>
      </c>
      <c r="F84" s="148">
        <f t="shared" si="64"/>
        <v>0</v>
      </c>
      <c r="G84" s="148">
        <f t="shared" si="64"/>
        <v>453956681</v>
      </c>
      <c r="H84" s="148">
        <f t="shared" si="64"/>
        <v>0</v>
      </c>
      <c r="I84" s="148">
        <f>J14-$C24</f>
        <v>607294108</v>
      </c>
      <c r="J84" s="148" t="e">
        <f>#REF!-$C24</f>
        <v>#REF!</v>
      </c>
      <c r="K84" s="148">
        <f t="shared" si="64"/>
        <v>0</v>
      </c>
      <c r="L84" s="148">
        <f t="shared" si="64"/>
        <v>190826362</v>
      </c>
      <c r="M84" s="148">
        <f t="shared" si="64"/>
        <v>0</v>
      </c>
      <c r="N84" s="148">
        <f t="shared" si="64"/>
        <v>0</v>
      </c>
      <c r="O84" s="148">
        <f t="shared" si="64"/>
        <v>2536127017</v>
      </c>
    </row>
    <row r="85" spans="2:15">
      <c r="B85" s="147" t="s">
        <v>165</v>
      </c>
      <c r="C85" s="148">
        <f t="shared" si="45"/>
        <v>0</v>
      </c>
      <c r="D85" s="148">
        <f t="shared" ref="D85:O85" si="65">D25-$C25</f>
        <v>0</v>
      </c>
      <c r="E85" s="148">
        <f t="shared" si="65"/>
        <v>0</v>
      </c>
      <c r="F85" s="148">
        <f t="shared" si="65"/>
        <v>0</v>
      </c>
      <c r="G85" s="148">
        <f t="shared" si="65"/>
        <v>0</v>
      </c>
      <c r="H85" s="148">
        <f t="shared" si="65"/>
        <v>0</v>
      </c>
      <c r="I85" s="148">
        <f t="shared" si="65"/>
        <v>0</v>
      </c>
      <c r="J85" s="148">
        <f t="shared" si="65"/>
        <v>0</v>
      </c>
      <c r="K85" s="148">
        <f t="shared" si="65"/>
        <v>0</v>
      </c>
      <c r="L85" s="148">
        <f t="shared" si="65"/>
        <v>0</v>
      </c>
      <c r="M85" s="148">
        <f t="shared" si="65"/>
        <v>0</v>
      </c>
      <c r="N85" s="148">
        <f t="shared" si="65"/>
        <v>0</v>
      </c>
      <c r="O85" s="148">
        <f t="shared" si="65"/>
        <v>0</v>
      </c>
    </row>
    <row r="86" spans="2:15">
      <c r="B86" s="147"/>
      <c r="C86" s="148">
        <f t="shared" si="45"/>
        <v>0</v>
      </c>
      <c r="D86" s="148">
        <f t="shared" ref="D86:O86" si="66">D26-C26</f>
        <v>633373</v>
      </c>
      <c r="E86" s="148">
        <f t="shared" si="66"/>
        <v>-322730</v>
      </c>
      <c r="F86" s="148">
        <f t="shared" si="66"/>
        <v>380717</v>
      </c>
      <c r="G86" s="148">
        <f t="shared" si="66"/>
        <v>-619121</v>
      </c>
      <c r="H86" s="148">
        <f t="shared" si="66"/>
        <v>-72239</v>
      </c>
      <c r="I86" s="148">
        <f t="shared" si="66"/>
        <v>0</v>
      </c>
      <c r="J86" s="148">
        <f t="shared" si="66"/>
        <v>0</v>
      </c>
      <c r="K86" s="148">
        <f t="shared" si="66"/>
        <v>1279</v>
      </c>
      <c r="L86" s="148">
        <f t="shared" si="66"/>
        <v>-1279</v>
      </c>
      <c r="M86" s="148">
        <f t="shared" si="66"/>
        <v>0</v>
      </c>
      <c r="N86" s="148">
        <f t="shared" si="66"/>
        <v>11586</v>
      </c>
      <c r="O86" s="148">
        <f t="shared" si="66"/>
        <v>-11586</v>
      </c>
    </row>
    <row r="87" spans="2:15">
      <c r="B87" s="147" t="s">
        <v>174</v>
      </c>
      <c r="C87" s="148">
        <f t="shared" si="45"/>
        <v>0</v>
      </c>
      <c r="D87" s="148">
        <f t="shared" ref="D87:O87" si="67">D27-$C27</f>
        <v>0</v>
      </c>
      <c r="E87" s="148">
        <f t="shared" si="67"/>
        <v>0</v>
      </c>
      <c r="F87" s="148">
        <f t="shared" si="67"/>
        <v>0</v>
      </c>
      <c r="G87" s="148">
        <f t="shared" si="67"/>
        <v>0</v>
      </c>
      <c r="H87" s="148">
        <f t="shared" si="67"/>
        <v>0</v>
      </c>
      <c r="I87" s="148">
        <f t="shared" si="67"/>
        <v>0</v>
      </c>
      <c r="J87" s="148">
        <f t="shared" si="67"/>
        <v>0</v>
      </c>
      <c r="K87" s="148">
        <f t="shared" si="67"/>
        <v>0</v>
      </c>
      <c r="L87" s="148">
        <f t="shared" si="67"/>
        <v>0</v>
      </c>
      <c r="M87" s="148">
        <f t="shared" si="67"/>
        <v>0</v>
      </c>
      <c r="N87" s="148">
        <f t="shared" si="67"/>
        <v>0</v>
      </c>
      <c r="O87" s="148">
        <f t="shared" si="67"/>
        <v>0</v>
      </c>
    </row>
    <row r="88" spans="2:15">
      <c r="B88" s="147" t="s">
        <v>175</v>
      </c>
      <c r="C88" s="148">
        <f>C32</f>
        <v>0</v>
      </c>
      <c r="D88" s="148">
        <f t="shared" ref="D88:O88" si="68">D32-C32</f>
        <v>0</v>
      </c>
      <c r="E88" s="148">
        <f t="shared" si="68"/>
        <v>0</v>
      </c>
      <c r="F88" s="148">
        <f t="shared" si="68"/>
        <v>0</v>
      </c>
      <c r="G88" s="148">
        <f t="shared" si="68"/>
        <v>0</v>
      </c>
      <c r="H88" s="148">
        <f t="shared" si="68"/>
        <v>0</v>
      </c>
      <c r="I88" s="148">
        <f t="shared" si="68"/>
        <v>0</v>
      </c>
      <c r="J88" s="148">
        <f t="shared" si="68"/>
        <v>0</v>
      </c>
      <c r="K88" s="148">
        <f t="shared" si="68"/>
        <v>0</v>
      </c>
      <c r="L88" s="148">
        <f t="shared" si="68"/>
        <v>0</v>
      </c>
      <c r="M88" s="148">
        <f t="shared" si="68"/>
        <v>0</v>
      </c>
      <c r="N88" s="148">
        <f t="shared" si="68"/>
        <v>0</v>
      </c>
      <c r="O88" s="148">
        <f t="shared" si="68"/>
        <v>0</v>
      </c>
    </row>
    <row r="89" spans="2:15">
      <c r="B89" s="152" t="s">
        <v>166</v>
      </c>
      <c r="C89" s="148">
        <f>C36</f>
        <v>0</v>
      </c>
      <c r="D89" s="148">
        <f t="shared" ref="D89:O89" si="69">D26-$C26</f>
        <v>633373</v>
      </c>
      <c r="E89" s="148">
        <f t="shared" si="69"/>
        <v>310643</v>
      </c>
      <c r="F89" s="148">
        <f t="shared" si="69"/>
        <v>691360</v>
      </c>
      <c r="G89" s="148">
        <f t="shared" si="69"/>
        <v>72239</v>
      </c>
      <c r="H89" s="148">
        <f t="shared" si="69"/>
        <v>0</v>
      </c>
      <c r="I89" s="148">
        <f t="shared" si="69"/>
        <v>0</v>
      </c>
      <c r="J89" s="148">
        <f t="shared" si="69"/>
        <v>0</v>
      </c>
      <c r="K89" s="148">
        <f t="shared" si="69"/>
        <v>1279</v>
      </c>
      <c r="L89" s="148">
        <f t="shared" si="69"/>
        <v>0</v>
      </c>
      <c r="M89" s="148">
        <f t="shared" si="69"/>
        <v>0</v>
      </c>
      <c r="N89" s="148">
        <f t="shared" si="69"/>
        <v>11586</v>
      </c>
      <c r="O89" s="148">
        <f t="shared" si="69"/>
        <v>0</v>
      </c>
    </row>
    <row r="90" spans="2:15">
      <c r="B90" s="147"/>
      <c r="C90" s="148">
        <f>C37</f>
        <v>0</v>
      </c>
      <c r="D90" s="148">
        <f t="shared" ref="D90:O90" si="70">D27-$C27</f>
        <v>0</v>
      </c>
      <c r="E90" s="148">
        <f t="shared" si="70"/>
        <v>0</v>
      </c>
      <c r="F90" s="148">
        <f t="shared" si="70"/>
        <v>0</v>
      </c>
      <c r="G90" s="148">
        <f t="shared" si="70"/>
        <v>0</v>
      </c>
      <c r="H90" s="148">
        <f t="shared" si="70"/>
        <v>0</v>
      </c>
      <c r="I90" s="148">
        <f t="shared" si="70"/>
        <v>0</v>
      </c>
      <c r="J90" s="148">
        <f t="shared" si="70"/>
        <v>0</v>
      </c>
      <c r="K90" s="148">
        <f t="shared" si="70"/>
        <v>0</v>
      </c>
      <c r="L90" s="148">
        <f t="shared" si="70"/>
        <v>0</v>
      </c>
      <c r="M90" s="148">
        <f t="shared" si="70"/>
        <v>0</v>
      </c>
      <c r="N90" s="148">
        <f t="shared" si="70"/>
        <v>0</v>
      </c>
      <c r="O90" s="148">
        <f t="shared" si="70"/>
        <v>0</v>
      </c>
    </row>
    <row r="91" spans="2:15">
      <c r="B91" s="147"/>
      <c r="C91" s="148"/>
      <c r="D91" s="148">
        <f t="shared" ref="D91:O91" si="71">D32-$C32</f>
        <v>0</v>
      </c>
      <c r="E91" s="148">
        <f t="shared" si="71"/>
        <v>0</v>
      </c>
      <c r="F91" s="148">
        <f t="shared" si="71"/>
        <v>0</v>
      </c>
      <c r="G91" s="148">
        <f t="shared" si="71"/>
        <v>0</v>
      </c>
      <c r="H91" s="148">
        <f t="shared" si="71"/>
        <v>0</v>
      </c>
      <c r="I91" s="148">
        <f t="shared" si="71"/>
        <v>0</v>
      </c>
      <c r="J91" s="148">
        <f t="shared" si="71"/>
        <v>0</v>
      </c>
      <c r="K91" s="148">
        <f t="shared" si="71"/>
        <v>0</v>
      </c>
      <c r="L91" s="148">
        <f t="shared" si="71"/>
        <v>0</v>
      </c>
      <c r="M91" s="148">
        <f t="shared" si="71"/>
        <v>0</v>
      </c>
      <c r="N91" s="148">
        <f t="shared" si="71"/>
        <v>0</v>
      </c>
      <c r="O91" s="148">
        <f t="shared" si="71"/>
        <v>0</v>
      </c>
    </row>
    <row r="92" spans="2:15">
      <c r="B92" s="142"/>
      <c r="C92" s="143">
        <f t="shared" ref="C92:C101" si="72">C36</f>
        <v>0</v>
      </c>
      <c r="D92" s="143">
        <f t="shared" ref="D92:O92" si="73">D36-$C36</f>
        <v>1313866.4569999999</v>
      </c>
      <c r="E92" s="143">
        <f t="shared" si="73"/>
        <v>528179.19999999995</v>
      </c>
      <c r="F92" s="143">
        <f t="shared" si="73"/>
        <v>795302.07799999998</v>
      </c>
      <c r="G92" s="143">
        <f t="shared" si="73"/>
        <v>175124</v>
      </c>
      <c r="H92" s="143">
        <f t="shared" si="73"/>
        <v>15207.615</v>
      </c>
      <c r="I92" s="143">
        <f t="shared" si="73"/>
        <v>174165.541</v>
      </c>
      <c r="J92" s="143">
        <f t="shared" si="73"/>
        <v>400180.66600000003</v>
      </c>
      <c r="K92" s="143">
        <f t="shared" si="73"/>
        <v>11660.5</v>
      </c>
      <c r="L92" s="143">
        <f t="shared" si="73"/>
        <v>62337.308000000005</v>
      </c>
      <c r="M92" s="143">
        <f t="shared" si="73"/>
        <v>207931.71600000001</v>
      </c>
      <c r="N92" s="143">
        <f t="shared" si="73"/>
        <v>111374.527</v>
      </c>
      <c r="O92" s="143">
        <f t="shared" si="73"/>
        <v>11937249601.240999</v>
      </c>
    </row>
    <row r="93" spans="2:15">
      <c r="B93" s="147"/>
      <c r="C93" s="148">
        <f t="shared" si="72"/>
        <v>0</v>
      </c>
      <c r="D93" s="148">
        <f t="shared" ref="D93:O93" si="74">D37-$C37</f>
        <v>0</v>
      </c>
      <c r="E93" s="148">
        <f t="shared" si="74"/>
        <v>0</v>
      </c>
      <c r="F93" s="148">
        <f t="shared" si="74"/>
        <v>0</v>
      </c>
      <c r="G93" s="148">
        <f t="shared" si="74"/>
        <v>0</v>
      </c>
      <c r="H93" s="148">
        <f t="shared" si="74"/>
        <v>0</v>
      </c>
      <c r="I93" s="148">
        <f t="shared" si="74"/>
        <v>0</v>
      </c>
      <c r="J93" s="148">
        <f t="shared" si="74"/>
        <v>0</v>
      </c>
      <c r="K93" s="148">
        <f t="shared" si="74"/>
        <v>0</v>
      </c>
      <c r="L93" s="148">
        <f t="shared" si="74"/>
        <v>0</v>
      </c>
      <c r="M93" s="148">
        <f t="shared" si="74"/>
        <v>0</v>
      </c>
      <c r="N93" s="148">
        <f t="shared" si="74"/>
        <v>0</v>
      </c>
      <c r="O93" s="148">
        <f t="shared" si="74"/>
        <v>0</v>
      </c>
    </row>
    <row r="94" spans="2:15">
      <c r="B94" s="154"/>
      <c r="C94" s="155">
        <f t="shared" si="72"/>
        <v>0</v>
      </c>
      <c r="D94" s="155">
        <f t="shared" ref="D94:O94" si="75">D38-$C38</f>
        <v>0</v>
      </c>
      <c r="E94" s="155">
        <f t="shared" si="75"/>
        <v>0</v>
      </c>
      <c r="F94" s="155">
        <f t="shared" si="75"/>
        <v>0</v>
      </c>
      <c r="G94" s="155">
        <f t="shared" si="75"/>
        <v>0</v>
      </c>
      <c r="H94" s="155">
        <f t="shared" si="75"/>
        <v>0</v>
      </c>
      <c r="I94" s="155">
        <f t="shared" si="75"/>
        <v>0</v>
      </c>
      <c r="J94" s="155">
        <f t="shared" si="75"/>
        <v>0</v>
      </c>
      <c r="K94" s="155">
        <f t="shared" si="75"/>
        <v>0</v>
      </c>
      <c r="L94" s="155">
        <f t="shared" si="75"/>
        <v>0</v>
      </c>
      <c r="M94" s="155">
        <f t="shared" si="75"/>
        <v>0</v>
      </c>
      <c r="N94" s="155">
        <f t="shared" si="75"/>
        <v>0</v>
      </c>
      <c r="O94" s="155">
        <f t="shared" si="75"/>
        <v>0</v>
      </c>
    </row>
    <row r="95" spans="2:15">
      <c r="B95" s="147"/>
      <c r="C95" s="148">
        <f t="shared" si="72"/>
        <v>0</v>
      </c>
      <c r="D95" s="148">
        <f t="shared" ref="D95:O95" si="76">D39-$C39</f>
        <v>0</v>
      </c>
      <c r="E95" s="148">
        <f t="shared" si="76"/>
        <v>0</v>
      </c>
      <c r="F95" s="148">
        <f t="shared" si="76"/>
        <v>0</v>
      </c>
      <c r="G95" s="148">
        <f t="shared" si="76"/>
        <v>0</v>
      </c>
      <c r="H95" s="148">
        <f t="shared" si="76"/>
        <v>0</v>
      </c>
      <c r="I95" s="148">
        <f t="shared" si="76"/>
        <v>0</v>
      </c>
      <c r="J95" s="148">
        <f t="shared" si="76"/>
        <v>0</v>
      </c>
      <c r="K95" s="148">
        <f t="shared" si="76"/>
        <v>0</v>
      </c>
      <c r="L95" s="148">
        <f t="shared" si="76"/>
        <v>0</v>
      </c>
      <c r="M95" s="148">
        <f t="shared" si="76"/>
        <v>0</v>
      </c>
      <c r="N95" s="148">
        <f t="shared" si="76"/>
        <v>0</v>
      </c>
      <c r="O95" s="148">
        <f t="shared" si="76"/>
        <v>0</v>
      </c>
    </row>
    <row r="96" spans="2:15" hidden="1">
      <c r="B96" s="145"/>
      <c r="C96" s="146">
        <f t="shared" si="72"/>
        <v>0</v>
      </c>
      <c r="D96" s="146">
        <f t="shared" ref="D96:O96" si="77">D40-$C40</f>
        <v>0</v>
      </c>
      <c r="E96" s="146">
        <f t="shared" si="77"/>
        <v>0</v>
      </c>
      <c r="F96" s="146">
        <f t="shared" si="77"/>
        <v>0</v>
      </c>
      <c r="G96" s="146">
        <f t="shared" si="77"/>
        <v>0</v>
      </c>
      <c r="H96" s="146">
        <f t="shared" si="77"/>
        <v>0</v>
      </c>
      <c r="I96" s="146">
        <f t="shared" si="77"/>
        <v>0</v>
      </c>
      <c r="J96" s="146">
        <f t="shared" si="77"/>
        <v>0</v>
      </c>
      <c r="K96" s="146">
        <f t="shared" si="77"/>
        <v>0</v>
      </c>
      <c r="L96" s="146">
        <f t="shared" si="77"/>
        <v>0</v>
      </c>
      <c r="M96" s="146">
        <f t="shared" si="77"/>
        <v>0</v>
      </c>
      <c r="N96" s="146">
        <f t="shared" si="77"/>
        <v>0</v>
      </c>
      <c r="O96" s="146">
        <f t="shared" si="77"/>
        <v>0</v>
      </c>
    </row>
    <row r="97" spans="2:27" hidden="1">
      <c r="B97" s="147"/>
      <c r="C97" s="148">
        <f t="shared" si="72"/>
        <v>0</v>
      </c>
      <c r="D97" s="148">
        <f t="shared" ref="D97:O97" si="78">D41-$C41</f>
        <v>0</v>
      </c>
      <c r="E97" s="148">
        <f t="shared" si="78"/>
        <v>0</v>
      </c>
      <c r="F97" s="148">
        <f t="shared" si="78"/>
        <v>0</v>
      </c>
      <c r="G97" s="148">
        <f t="shared" si="78"/>
        <v>0</v>
      </c>
      <c r="H97" s="148">
        <f t="shared" si="78"/>
        <v>0</v>
      </c>
      <c r="I97" s="148">
        <f t="shared" si="78"/>
        <v>0</v>
      </c>
      <c r="J97" s="148">
        <f t="shared" si="78"/>
        <v>0</v>
      </c>
      <c r="K97" s="148">
        <f t="shared" si="78"/>
        <v>0</v>
      </c>
      <c r="L97" s="148">
        <f t="shared" si="78"/>
        <v>0</v>
      </c>
      <c r="M97" s="148">
        <f t="shared" si="78"/>
        <v>0</v>
      </c>
      <c r="N97" s="148">
        <f t="shared" si="78"/>
        <v>0</v>
      </c>
      <c r="O97" s="148">
        <f t="shared" si="78"/>
        <v>0</v>
      </c>
    </row>
    <row r="98" spans="2:27" hidden="1">
      <c r="B98" s="147"/>
      <c r="C98" s="148">
        <f t="shared" si="72"/>
        <v>0</v>
      </c>
      <c r="D98" s="148">
        <f t="shared" ref="D98:O98" si="79">D42-$C42</f>
        <v>0</v>
      </c>
      <c r="E98" s="148">
        <f t="shared" si="79"/>
        <v>0</v>
      </c>
      <c r="F98" s="148">
        <f t="shared" si="79"/>
        <v>0</v>
      </c>
      <c r="G98" s="148">
        <f t="shared" si="79"/>
        <v>0</v>
      </c>
      <c r="H98" s="148">
        <f t="shared" si="79"/>
        <v>0</v>
      </c>
      <c r="I98" s="148">
        <f t="shared" si="79"/>
        <v>0</v>
      </c>
      <c r="J98" s="148">
        <f t="shared" si="79"/>
        <v>0</v>
      </c>
      <c r="K98" s="148">
        <f t="shared" si="79"/>
        <v>0</v>
      </c>
      <c r="L98" s="148">
        <f t="shared" si="79"/>
        <v>0</v>
      </c>
      <c r="M98" s="148">
        <f t="shared" si="79"/>
        <v>0</v>
      </c>
      <c r="N98" s="148">
        <f t="shared" si="79"/>
        <v>0</v>
      </c>
      <c r="O98" s="148">
        <f t="shared" si="79"/>
        <v>0</v>
      </c>
    </row>
    <row r="99" spans="2:27" hidden="1">
      <c r="B99" s="147"/>
      <c r="C99" s="148">
        <f t="shared" si="72"/>
        <v>0</v>
      </c>
      <c r="D99" s="148">
        <f t="shared" ref="D99:O99" si="80">D43-$C43</f>
        <v>0</v>
      </c>
      <c r="E99" s="148">
        <f t="shared" si="80"/>
        <v>0</v>
      </c>
      <c r="F99" s="148">
        <f t="shared" si="80"/>
        <v>0</v>
      </c>
      <c r="G99" s="148">
        <f t="shared" si="80"/>
        <v>0</v>
      </c>
      <c r="H99" s="148">
        <f t="shared" si="80"/>
        <v>0</v>
      </c>
      <c r="I99" s="148">
        <f t="shared" si="80"/>
        <v>0</v>
      </c>
      <c r="J99" s="148">
        <f t="shared" si="80"/>
        <v>0</v>
      </c>
      <c r="K99" s="148">
        <f t="shared" si="80"/>
        <v>0</v>
      </c>
      <c r="L99" s="148">
        <f t="shared" si="80"/>
        <v>0</v>
      </c>
      <c r="M99" s="148">
        <f t="shared" si="80"/>
        <v>0</v>
      </c>
      <c r="N99" s="148">
        <f t="shared" si="80"/>
        <v>0</v>
      </c>
      <c r="O99" s="148">
        <f t="shared" si="80"/>
        <v>0</v>
      </c>
    </row>
    <row r="100" spans="2:27" hidden="1">
      <c r="B100" s="147"/>
      <c r="C100" s="148">
        <f t="shared" si="72"/>
        <v>0</v>
      </c>
      <c r="D100" s="148">
        <f t="shared" ref="D100:O100" si="81">D44-$C44</f>
        <v>0</v>
      </c>
      <c r="E100" s="148">
        <f t="shared" si="81"/>
        <v>0</v>
      </c>
      <c r="F100" s="148">
        <f t="shared" si="81"/>
        <v>0</v>
      </c>
      <c r="G100" s="148">
        <f t="shared" si="81"/>
        <v>0</v>
      </c>
      <c r="H100" s="148">
        <f t="shared" si="81"/>
        <v>0</v>
      </c>
      <c r="I100" s="148">
        <f t="shared" si="81"/>
        <v>0</v>
      </c>
      <c r="J100" s="148">
        <f t="shared" si="81"/>
        <v>0</v>
      </c>
      <c r="K100" s="148">
        <f t="shared" si="81"/>
        <v>0</v>
      </c>
      <c r="L100" s="148">
        <f t="shared" si="81"/>
        <v>0</v>
      </c>
      <c r="M100" s="148">
        <f t="shared" si="81"/>
        <v>0</v>
      </c>
      <c r="N100" s="148">
        <f t="shared" si="81"/>
        <v>0</v>
      </c>
      <c r="O100" s="148">
        <f t="shared" si="81"/>
        <v>0</v>
      </c>
    </row>
    <row r="101" spans="2:27">
      <c r="B101" s="157"/>
      <c r="C101" s="148">
        <f t="shared" si="72"/>
        <v>0</v>
      </c>
      <c r="D101" s="146">
        <f t="shared" ref="D101:O101" si="82">D45-$C45</f>
        <v>0</v>
      </c>
      <c r="E101" s="146">
        <f t="shared" si="82"/>
        <v>0</v>
      </c>
      <c r="F101" s="146">
        <f t="shared" si="82"/>
        <v>0</v>
      </c>
      <c r="G101" s="146">
        <f t="shared" si="82"/>
        <v>0</v>
      </c>
      <c r="H101" s="146">
        <f t="shared" si="82"/>
        <v>0</v>
      </c>
      <c r="I101" s="146">
        <f t="shared" si="82"/>
        <v>0</v>
      </c>
      <c r="J101" s="146">
        <f t="shared" si="82"/>
        <v>0</v>
      </c>
      <c r="K101" s="146">
        <f t="shared" si="82"/>
        <v>0</v>
      </c>
      <c r="L101" s="146">
        <f t="shared" si="82"/>
        <v>0</v>
      </c>
      <c r="M101" s="146">
        <f t="shared" si="82"/>
        <v>0</v>
      </c>
      <c r="N101" s="146">
        <f t="shared" si="82"/>
        <v>0</v>
      </c>
      <c r="O101" s="146">
        <f t="shared" si="82"/>
        <v>0</v>
      </c>
    </row>
    <row r="102" spans="2:27">
      <c r="B102" s="147"/>
      <c r="C102" s="148"/>
      <c r="D102" s="148">
        <f t="shared" ref="D102:O102" si="83">D46-$C46</f>
        <v>0</v>
      </c>
      <c r="E102" s="148">
        <f t="shared" si="83"/>
        <v>0</v>
      </c>
      <c r="F102" s="148">
        <f t="shared" si="83"/>
        <v>0</v>
      </c>
      <c r="G102" s="148">
        <f t="shared" si="83"/>
        <v>0</v>
      </c>
      <c r="H102" s="148">
        <f t="shared" si="83"/>
        <v>0</v>
      </c>
      <c r="I102" s="148">
        <f t="shared" si="83"/>
        <v>0</v>
      </c>
      <c r="J102" s="148">
        <f t="shared" si="83"/>
        <v>0</v>
      </c>
      <c r="K102" s="148">
        <f t="shared" si="83"/>
        <v>0</v>
      </c>
      <c r="L102" s="148">
        <f t="shared" si="83"/>
        <v>0</v>
      </c>
      <c r="M102" s="148">
        <f t="shared" si="83"/>
        <v>0</v>
      </c>
      <c r="N102" s="148">
        <f t="shared" si="83"/>
        <v>0</v>
      </c>
      <c r="O102" s="148">
        <f t="shared" si="83"/>
        <v>0</v>
      </c>
    </row>
    <row r="103" spans="2:27">
      <c r="B103" s="152"/>
      <c r="C103" s="159">
        <f>C47</f>
        <v>0</v>
      </c>
      <c r="D103" s="159">
        <f t="shared" ref="D103:O103" si="84">D47-$C47</f>
        <v>0</v>
      </c>
      <c r="E103" s="159">
        <f t="shared" si="84"/>
        <v>0</v>
      </c>
      <c r="F103" s="159">
        <f t="shared" si="84"/>
        <v>0</v>
      </c>
      <c r="G103" s="159">
        <f t="shared" si="84"/>
        <v>0</v>
      </c>
      <c r="H103" s="159">
        <f t="shared" si="84"/>
        <v>0</v>
      </c>
      <c r="I103" s="159"/>
      <c r="J103" s="159">
        <f t="shared" si="84"/>
        <v>0</v>
      </c>
      <c r="K103" s="159">
        <f t="shared" si="84"/>
        <v>0</v>
      </c>
      <c r="L103" s="159">
        <f t="shared" si="84"/>
        <v>0</v>
      </c>
      <c r="M103" s="159">
        <f t="shared" si="84"/>
        <v>0</v>
      </c>
      <c r="N103" s="159">
        <f t="shared" si="84"/>
        <v>0</v>
      </c>
      <c r="O103" s="159">
        <f t="shared" si="84"/>
        <v>0</v>
      </c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</row>
    <row r="104" spans="2:27">
      <c r="B104" s="154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</row>
    <row r="107" spans="2:27">
      <c r="O107" s="134"/>
    </row>
    <row r="108" spans="2:27">
      <c r="I108" s="134"/>
    </row>
    <row r="109" spans="2:27">
      <c r="I109" s="134"/>
    </row>
    <row r="110" spans="2:27">
      <c r="I110" s="134"/>
    </row>
    <row r="111" spans="2:27">
      <c r="I111" s="134"/>
    </row>
    <row r="112" spans="2:27">
      <c r="H112" s="134"/>
    </row>
    <row r="116" spans="2:5">
      <c r="B116" s="714"/>
    </row>
    <row r="121" spans="2:5">
      <c r="E121" s="877"/>
    </row>
    <row r="122" spans="2:5">
      <c r="E122" s="877"/>
    </row>
    <row r="123" spans="2:5">
      <c r="E123" s="877"/>
    </row>
    <row r="124" spans="2:5">
      <c r="E124" s="877"/>
    </row>
    <row r="125" spans="2:5">
      <c r="E125" s="877"/>
    </row>
    <row r="126" spans="2:5">
      <c r="E126" s="877"/>
    </row>
    <row r="127" spans="2:5">
      <c r="E127" s="877"/>
    </row>
    <row r="131" spans="5:5">
      <c r="E131" s="714">
        <v>224571374</v>
      </c>
    </row>
    <row r="132" spans="5:5">
      <c r="E132" s="714">
        <v>78066000</v>
      </c>
    </row>
  </sheetData>
  <phoneticPr fontId="6" type="noConversion"/>
  <printOptions horizontalCentered="1"/>
  <pageMargins left="0.17" right="0.21" top="0.53" bottom="0.18" header="0.3" footer="0.43"/>
  <pageSetup paperSize="9" scale="65" firstPageNumber="16" fitToHeight="0" orientation="landscape" useFirstPageNumber="1" horizontalDpi="4294967292" verticalDpi="300" r:id="rId1"/>
  <headerFooter alignWithMargins="0">
    <oddHeader xml:space="preserve">&amp;LMinistère de l'Economie et des Finances &amp;CTableau N°&amp;REn millions de F/CFA  </oddHeader>
    <oddFooter>&amp;L&amp;F&amp;CPage &amp;P&amp;R&amp;D</oddFooter>
  </headerFooter>
  <rowBreaks count="1" manualBreakCount="1">
    <brk id="49" max="16383" man="1"/>
  </rowBreaks>
  <cellWatches>
    <cellWatch r="B22"/>
  </cellWatch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6"/>
  <dimension ref="A2:Z36"/>
  <sheetViews>
    <sheetView zoomScale="110" zoomScaleNormal="110" workbookViewId="0">
      <selection activeCell="O3" sqref="O3:Z3"/>
    </sheetView>
  </sheetViews>
  <sheetFormatPr defaultRowHeight="12.75"/>
  <cols>
    <col min="1" max="1" width="24.5703125" customWidth="1"/>
    <col min="2" max="2" width="12.5703125" customWidth="1"/>
    <col min="3" max="3" width="13.28515625" customWidth="1"/>
    <col min="4" max="4" width="12.5703125" customWidth="1"/>
    <col min="5" max="14" width="11.42578125" customWidth="1"/>
    <col min="15" max="15" width="14.28515625" customWidth="1"/>
    <col min="16" max="16" width="14.140625" customWidth="1"/>
    <col min="17" max="17" width="13.28515625" customWidth="1"/>
    <col min="18" max="18" width="11.85546875" customWidth="1"/>
    <col min="19" max="19" width="12.140625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43435</v>
      </c>
      <c r="C3" s="569">
        <v>43466</v>
      </c>
      <c r="D3" s="569">
        <v>43497</v>
      </c>
      <c r="E3" s="569">
        <v>43525</v>
      </c>
      <c r="F3" s="569">
        <v>43556</v>
      </c>
      <c r="G3" s="569">
        <v>43586</v>
      </c>
      <c r="H3" s="569">
        <v>43617</v>
      </c>
      <c r="I3" s="569">
        <v>43647</v>
      </c>
      <c r="J3" s="569">
        <v>43678</v>
      </c>
      <c r="K3" s="569">
        <v>43709</v>
      </c>
      <c r="L3" s="569">
        <v>43739</v>
      </c>
      <c r="M3" s="569">
        <v>43770</v>
      </c>
      <c r="N3" s="569">
        <v>43800</v>
      </c>
      <c r="O3" s="569">
        <v>43466</v>
      </c>
      <c r="P3" s="569">
        <v>43497</v>
      </c>
      <c r="Q3" s="569">
        <v>43525</v>
      </c>
      <c r="R3" s="569">
        <v>43556</v>
      </c>
      <c r="S3" s="569">
        <v>43586</v>
      </c>
      <c r="T3" s="569">
        <v>43617</v>
      </c>
      <c r="U3" s="569">
        <v>43647</v>
      </c>
      <c r="V3" s="569">
        <v>43678</v>
      </c>
      <c r="W3" s="569">
        <v>43709</v>
      </c>
      <c r="X3" s="569">
        <v>43739</v>
      </c>
      <c r="Y3" s="569">
        <v>43770</v>
      </c>
      <c r="Z3" s="569">
        <v>43800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1575</v>
      </c>
      <c r="B5" s="625">
        <f>+B6+B13</f>
        <v>0</v>
      </c>
      <c r="C5" s="625">
        <f>C6+C7+C8+C9+C10+C11</f>
        <v>0</v>
      </c>
      <c r="D5" s="625">
        <f t="shared" ref="D5:N5" si="0">D6+D7+D8+D9+D10+D11</f>
        <v>0</v>
      </c>
      <c r="E5" s="625">
        <f t="shared" si="0"/>
        <v>0</v>
      </c>
      <c r="F5" s="625">
        <f t="shared" si="0"/>
        <v>0</v>
      </c>
      <c r="G5" s="625">
        <f t="shared" si="0"/>
        <v>0</v>
      </c>
      <c r="H5" s="625">
        <f t="shared" si="0"/>
        <v>0</v>
      </c>
      <c r="I5" s="625">
        <f t="shared" si="0"/>
        <v>0</v>
      </c>
      <c r="J5" s="625">
        <f t="shared" si="0"/>
        <v>0</v>
      </c>
      <c r="K5" s="625">
        <f t="shared" si="0"/>
        <v>0</v>
      </c>
      <c r="L5" s="625">
        <f t="shared" si="0"/>
        <v>0</v>
      </c>
      <c r="M5" s="625">
        <f t="shared" si="0"/>
        <v>0</v>
      </c>
      <c r="N5" s="625">
        <f t="shared" si="0"/>
        <v>0</v>
      </c>
      <c r="O5" s="570">
        <f t="shared" ref="O5:O16" si="1">C5-B5</f>
        <v>0</v>
      </c>
      <c r="P5" s="570">
        <f t="shared" ref="P5:P16" si="2">D5-C5</f>
        <v>0</v>
      </c>
      <c r="Q5" s="570">
        <f t="shared" ref="Q5:Q16" si="3">E5-D5</f>
        <v>0</v>
      </c>
      <c r="R5" s="570">
        <f t="shared" ref="R5:R16" si="4">F5-E5</f>
        <v>0</v>
      </c>
      <c r="S5" s="570">
        <f t="shared" ref="S5:S16" si="5">G5-F5</f>
        <v>0</v>
      </c>
      <c r="T5" s="570">
        <f t="shared" ref="T5:T16" si="6">H5-G5</f>
        <v>0</v>
      </c>
      <c r="U5" s="570">
        <f t="shared" ref="U5:U16" si="7">I5-H5</f>
        <v>0</v>
      </c>
      <c r="V5" s="570">
        <f t="shared" ref="V5:V16" si="8">J5-I5</f>
        <v>0</v>
      </c>
      <c r="W5" s="570">
        <f t="shared" ref="W5:W16" si="9">K5-J5</f>
        <v>0</v>
      </c>
      <c r="X5" s="570">
        <f t="shared" ref="X5:X16" si="10">L5-K5</f>
        <v>0</v>
      </c>
      <c r="Y5" s="570">
        <f t="shared" ref="Y5:Y16" si="11">M5-L5</f>
        <v>0</v>
      </c>
      <c r="Z5" s="570">
        <f t="shared" ref="Z5:Z16" si="12">N5-M5</f>
        <v>0</v>
      </c>
    </row>
    <row r="6" spans="1:26" ht="15.6" customHeight="1">
      <c r="A6" s="435" t="s">
        <v>1576</v>
      </c>
      <c r="B6" s="570"/>
      <c r="C6" s="570"/>
      <c r="D6" s="570"/>
      <c r="E6" s="570"/>
      <c r="F6" s="570"/>
      <c r="G6" s="570"/>
      <c r="H6" s="570"/>
      <c r="I6" s="570"/>
      <c r="J6" s="570"/>
      <c r="K6" s="570"/>
      <c r="L6" s="570"/>
      <c r="M6" s="570"/>
      <c r="N6" s="570"/>
      <c r="O6" s="570">
        <f t="shared" si="1"/>
        <v>0</v>
      </c>
      <c r="P6" s="570">
        <f t="shared" si="2"/>
        <v>0</v>
      </c>
      <c r="Q6" s="570">
        <f t="shared" si="3"/>
        <v>0</v>
      </c>
      <c r="R6" s="570">
        <f t="shared" si="4"/>
        <v>0</v>
      </c>
      <c r="S6" s="570">
        <f t="shared" si="5"/>
        <v>0</v>
      </c>
      <c r="T6" s="570">
        <f t="shared" si="6"/>
        <v>0</v>
      </c>
      <c r="U6" s="570">
        <f t="shared" si="7"/>
        <v>0</v>
      </c>
      <c r="V6" s="570">
        <f t="shared" si="8"/>
        <v>0</v>
      </c>
      <c r="W6" s="570">
        <f t="shared" si="9"/>
        <v>0</v>
      </c>
      <c r="X6" s="570">
        <f t="shared" si="10"/>
        <v>0</v>
      </c>
      <c r="Y6" s="570">
        <f t="shared" si="11"/>
        <v>0</v>
      </c>
      <c r="Z6" s="570">
        <f t="shared" si="12"/>
        <v>0</v>
      </c>
    </row>
    <row r="7" spans="1:26" ht="15.6" customHeight="1">
      <c r="A7" s="449" t="s">
        <v>2847</v>
      </c>
      <c r="B7" s="570"/>
      <c r="C7" s="570"/>
      <c r="D7" s="570"/>
      <c r="E7" s="570"/>
      <c r="F7" s="1418"/>
      <c r="G7" s="570"/>
      <c r="H7" s="570"/>
      <c r="I7" s="570"/>
      <c r="J7" s="570"/>
      <c r="K7" s="570"/>
      <c r="L7" s="570"/>
      <c r="M7" s="570"/>
      <c r="N7" s="570"/>
      <c r="O7" s="570">
        <f t="shared" si="1"/>
        <v>0</v>
      </c>
      <c r="P7" s="570">
        <f t="shared" si="2"/>
        <v>0</v>
      </c>
      <c r="Q7" s="570">
        <f t="shared" si="3"/>
        <v>0</v>
      </c>
      <c r="R7" s="570">
        <f t="shared" si="4"/>
        <v>0</v>
      </c>
      <c r="S7" s="570">
        <f t="shared" si="5"/>
        <v>0</v>
      </c>
      <c r="T7" s="570">
        <f t="shared" si="6"/>
        <v>0</v>
      </c>
      <c r="U7" s="570">
        <f t="shared" si="7"/>
        <v>0</v>
      </c>
      <c r="V7" s="570">
        <f t="shared" si="8"/>
        <v>0</v>
      </c>
      <c r="W7" s="570">
        <f t="shared" si="9"/>
        <v>0</v>
      </c>
      <c r="X7" s="570">
        <f t="shared" si="10"/>
        <v>0</v>
      </c>
      <c r="Y7" s="570">
        <f t="shared" si="11"/>
        <v>0</v>
      </c>
      <c r="Z7" s="570">
        <f t="shared" si="12"/>
        <v>0</v>
      </c>
    </row>
    <row r="8" spans="1:26" ht="15.6" customHeight="1">
      <c r="A8" s="449" t="s">
        <v>2848</v>
      </c>
      <c r="B8" s="570"/>
      <c r="C8" s="120"/>
      <c r="D8" s="570"/>
      <c r="E8" s="570"/>
      <c r="F8" s="1418"/>
      <c r="G8" s="570"/>
      <c r="H8" s="570"/>
      <c r="I8" s="570"/>
      <c r="J8" s="570"/>
      <c r="K8" s="570"/>
      <c r="L8" s="570"/>
      <c r="M8" s="570"/>
      <c r="N8" s="570"/>
      <c r="O8" s="570">
        <f t="shared" si="1"/>
        <v>0</v>
      </c>
      <c r="P8" s="570">
        <f t="shared" si="2"/>
        <v>0</v>
      </c>
      <c r="Q8" s="570">
        <f t="shared" si="3"/>
        <v>0</v>
      </c>
      <c r="R8" s="570">
        <f t="shared" si="4"/>
        <v>0</v>
      </c>
      <c r="S8" s="570">
        <f t="shared" si="5"/>
        <v>0</v>
      </c>
      <c r="T8" s="570">
        <f t="shared" si="6"/>
        <v>0</v>
      </c>
      <c r="U8" s="570">
        <f t="shared" si="7"/>
        <v>0</v>
      </c>
      <c r="V8" s="570">
        <f t="shared" si="8"/>
        <v>0</v>
      </c>
      <c r="W8" s="570">
        <f t="shared" si="9"/>
        <v>0</v>
      </c>
      <c r="X8" s="570">
        <f t="shared" si="10"/>
        <v>0</v>
      </c>
      <c r="Y8" s="570">
        <f t="shared" si="11"/>
        <v>0</v>
      </c>
      <c r="Z8" s="570">
        <f t="shared" si="12"/>
        <v>0</v>
      </c>
    </row>
    <row r="9" spans="1:26" ht="15.6" customHeight="1">
      <c r="A9" s="449" t="s">
        <v>446</v>
      </c>
      <c r="B9" s="570"/>
      <c r="C9" s="12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1"/>
        <v>0</v>
      </c>
      <c r="P9" s="570"/>
      <c r="Q9" s="570"/>
      <c r="R9" s="570"/>
      <c r="S9" s="570"/>
      <c r="T9" s="570"/>
      <c r="U9" s="570"/>
      <c r="V9" s="570"/>
      <c r="W9" s="570"/>
      <c r="X9" s="570"/>
      <c r="Y9" s="570"/>
      <c r="Z9" s="570"/>
    </row>
    <row r="10" spans="1:26" ht="15.6" customHeight="1">
      <c r="A10" s="449" t="s">
        <v>141</v>
      </c>
      <c r="B10" s="570"/>
      <c r="C10" s="570"/>
      <c r="D10" s="570"/>
      <c r="E10" s="570"/>
      <c r="F10" s="570"/>
      <c r="G10" s="570"/>
      <c r="H10" s="1418"/>
      <c r="I10" s="570"/>
      <c r="J10" s="570"/>
      <c r="K10" s="570"/>
      <c r="L10" s="570"/>
      <c r="M10" s="570"/>
      <c r="N10" s="570"/>
      <c r="O10" s="570">
        <f t="shared" si="1"/>
        <v>0</v>
      </c>
      <c r="P10" s="570">
        <f t="shared" si="2"/>
        <v>0</v>
      </c>
      <c r="Q10" s="570">
        <f t="shared" si="3"/>
        <v>0</v>
      </c>
      <c r="R10" s="570">
        <f t="shared" si="4"/>
        <v>0</v>
      </c>
      <c r="S10" s="570">
        <f t="shared" si="5"/>
        <v>0</v>
      </c>
      <c r="T10" s="570">
        <f t="shared" si="6"/>
        <v>0</v>
      </c>
      <c r="U10" s="570">
        <f t="shared" si="7"/>
        <v>0</v>
      </c>
      <c r="V10" s="570">
        <f t="shared" si="8"/>
        <v>0</v>
      </c>
      <c r="W10" s="570">
        <f t="shared" si="9"/>
        <v>0</v>
      </c>
      <c r="X10" s="570">
        <f t="shared" si="10"/>
        <v>0</v>
      </c>
      <c r="Y10" s="570">
        <f t="shared" si="11"/>
        <v>0</v>
      </c>
      <c r="Z10" s="570">
        <f t="shared" si="12"/>
        <v>0</v>
      </c>
    </row>
    <row r="11" spans="1:26" ht="15.6" customHeight="1">
      <c r="A11" s="449" t="s">
        <v>1288</v>
      </c>
      <c r="B11" s="570"/>
      <c r="C11" s="570"/>
      <c r="D11" s="570"/>
      <c r="E11" s="570"/>
      <c r="F11" s="570"/>
      <c r="G11" s="570"/>
      <c r="H11" s="570"/>
      <c r="I11" s="1418"/>
      <c r="J11" s="570"/>
      <c r="K11" s="570"/>
      <c r="L11" s="570"/>
      <c r="M11" s="570"/>
      <c r="N11" s="570"/>
      <c r="O11" s="570">
        <f t="shared" si="1"/>
        <v>0</v>
      </c>
      <c r="P11" s="570">
        <f t="shared" si="2"/>
        <v>0</v>
      </c>
      <c r="Q11" s="570">
        <f t="shared" si="3"/>
        <v>0</v>
      </c>
      <c r="R11" s="570">
        <f t="shared" si="4"/>
        <v>0</v>
      </c>
      <c r="S11" s="570">
        <f t="shared" si="5"/>
        <v>0</v>
      </c>
      <c r="T11" s="570">
        <f t="shared" si="6"/>
        <v>0</v>
      </c>
      <c r="U11" s="570">
        <f t="shared" si="7"/>
        <v>0</v>
      </c>
      <c r="V11" s="570">
        <f t="shared" si="8"/>
        <v>0</v>
      </c>
      <c r="W11" s="570">
        <f t="shared" si="9"/>
        <v>0</v>
      </c>
      <c r="X11" s="570">
        <f t="shared" si="10"/>
        <v>0</v>
      </c>
      <c r="Y11" s="570">
        <f t="shared" si="11"/>
        <v>0</v>
      </c>
      <c r="Z11" s="570">
        <f t="shared" si="12"/>
        <v>0</v>
      </c>
    </row>
    <row r="12" spans="1:26" ht="15.6" customHeight="1">
      <c r="A12" s="572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1"/>
        <v>0</v>
      </c>
      <c r="P12" s="570">
        <f t="shared" si="2"/>
        <v>0</v>
      </c>
      <c r="Q12" s="570">
        <f t="shared" si="3"/>
        <v>0</v>
      </c>
      <c r="R12" s="570">
        <f t="shared" si="4"/>
        <v>0</v>
      </c>
      <c r="S12" s="570">
        <f t="shared" si="5"/>
        <v>0</v>
      </c>
      <c r="T12" s="570">
        <f t="shared" si="6"/>
        <v>0</v>
      </c>
      <c r="U12" s="570">
        <f t="shared" si="7"/>
        <v>0</v>
      </c>
      <c r="V12" s="570">
        <f t="shared" si="8"/>
        <v>0</v>
      </c>
      <c r="W12" s="570">
        <f t="shared" si="9"/>
        <v>0</v>
      </c>
      <c r="X12" s="570">
        <f t="shared" si="10"/>
        <v>0</v>
      </c>
      <c r="Y12" s="570">
        <f t="shared" si="11"/>
        <v>0</v>
      </c>
      <c r="Z12" s="570">
        <f t="shared" si="12"/>
        <v>0</v>
      </c>
    </row>
    <row r="13" spans="1:26" ht="15.6" customHeight="1">
      <c r="A13" s="57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1"/>
        <v>0</v>
      </c>
      <c r="P13" s="570">
        <f t="shared" si="2"/>
        <v>0</v>
      </c>
      <c r="Q13" s="570">
        <f t="shared" si="3"/>
        <v>0</v>
      </c>
      <c r="R13" s="570">
        <f t="shared" si="4"/>
        <v>0</v>
      </c>
      <c r="S13" s="570">
        <f t="shared" si="5"/>
        <v>0</v>
      </c>
      <c r="T13" s="570">
        <f t="shared" si="6"/>
        <v>0</v>
      </c>
      <c r="U13" s="570">
        <f t="shared" si="7"/>
        <v>0</v>
      </c>
      <c r="V13" s="570">
        <f t="shared" si="8"/>
        <v>0</v>
      </c>
      <c r="W13" s="570">
        <f t="shared" si="9"/>
        <v>0</v>
      </c>
      <c r="X13" s="570">
        <f t="shared" si="10"/>
        <v>0</v>
      </c>
      <c r="Y13" s="570">
        <f t="shared" si="11"/>
        <v>0</v>
      </c>
      <c r="Z13" s="570">
        <f t="shared" si="12"/>
        <v>0</v>
      </c>
    </row>
    <row r="14" spans="1:26" ht="15.6" customHeight="1">
      <c r="A14" s="3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1"/>
        <v>0</v>
      </c>
      <c r="P14" s="570">
        <f t="shared" si="2"/>
        <v>0</v>
      </c>
      <c r="Q14" s="570">
        <f t="shared" si="3"/>
        <v>0</v>
      </c>
      <c r="R14" s="570">
        <f t="shared" si="4"/>
        <v>0</v>
      </c>
      <c r="S14" s="570">
        <f t="shared" si="5"/>
        <v>0</v>
      </c>
      <c r="T14" s="570">
        <f t="shared" si="6"/>
        <v>0</v>
      </c>
      <c r="U14" s="570">
        <f t="shared" si="7"/>
        <v>0</v>
      </c>
      <c r="V14" s="570">
        <f t="shared" si="8"/>
        <v>0</v>
      </c>
      <c r="W14" s="570">
        <f t="shared" si="9"/>
        <v>0</v>
      </c>
      <c r="X14" s="570">
        <f t="shared" si="10"/>
        <v>0</v>
      </c>
      <c r="Y14" s="570">
        <f t="shared" si="11"/>
        <v>0</v>
      </c>
      <c r="Z14" s="570">
        <f t="shared" si="12"/>
        <v>0</v>
      </c>
    </row>
    <row r="15" spans="1:26" ht="15.6" customHeight="1">
      <c r="A15" s="57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1"/>
        <v>0</v>
      </c>
      <c r="P15" s="570">
        <f t="shared" si="2"/>
        <v>0</v>
      </c>
      <c r="Q15" s="570">
        <f t="shared" si="3"/>
        <v>0</v>
      </c>
      <c r="R15" s="570">
        <f t="shared" si="4"/>
        <v>0</v>
      </c>
      <c r="S15" s="570">
        <f t="shared" si="5"/>
        <v>0</v>
      </c>
      <c r="T15" s="570">
        <f t="shared" si="6"/>
        <v>0</v>
      </c>
      <c r="U15" s="570">
        <f t="shared" si="7"/>
        <v>0</v>
      </c>
      <c r="V15" s="570">
        <f t="shared" si="8"/>
        <v>0</v>
      </c>
      <c r="W15" s="570">
        <f t="shared" si="9"/>
        <v>0</v>
      </c>
      <c r="X15" s="570">
        <f t="shared" si="10"/>
        <v>0</v>
      </c>
      <c r="Y15" s="570">
        <f t="shared" si="11"/>
        <v>0</v>
      </c>
      <c r="Z15" s="570">
        <f t="shared" si="12"/>
        <v>0</v>
      </c>
    </row>
    <row r="16" spans="1:26" ht="15.6" customHeight="1">
      <c r="A16" s="57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>
        <f t="shared" si="1"/>
        <v>0</v>
      </c>
      <c r="P16" s="570">
        <f t="shared" si="2"/>
        <v>0</v>
      </c>
      <c r="Q16" s="570">
        <f t="shared" si="3"/>
        <v>0</v>
      </c>
      <c r="R16" s="570">
        <f t="shared" si="4"/>
        <v>0</v>
      </c>
      <c r="S16" s="570">
        <f t="shared" si="5"/>
        <v>0</v>
      </c>
      <c r="T16" s="570">
        <f t="shared" si="6"/>
        <v>0</v>
      </c>
      <c r="U16" s="570">
        <f t="shared" si="7"/>
        <v>0</v>
      </c>
      <c r="V16" s="570">
        <f t="shared" si="8"/>
        <v>0</v>
      </c>
      <c r="W16" s="570">
        <f t="shared" si="9"/>
        <v>0</v>
      </c>
      <c r="X16" s="570">
        <f t="shared" si="10"/>
        <v>0</v>
      </c>
      <c r="Y16" s="570">
        <f t="shared" si="11"/>
        <v>0</v>
      </c>
      <c r="Z16" s="570">
        <f t="shared" si="12"/>
        <v>0</v>
      </c>
    </row>
    <row r="17" spans="1:26" ht="15.6" customHeight="1">
      <c r="A17" s="3"/>
      <c r="B17" s="570"/>
      <c r="C17" s="570"/>
      <c r="D17" s="570"/>
      <c r="E17" s="570"/>
      <c r="F17" s="570"/>
      <c r="G17" s="570"/>
      <c r="H17" s="570"/>
      <c r="I17" s="570"/>
      <c r="J17" s="570"/>
      <c r="K17" s="570"/>
      <c r="L17" s="570"/>
      <c r="M17" s="570"/>
      <c r="N17" s="570"/>
      <c r="O17" s="570"/>
      <c r="P17" s="570"/>
      <c r="Q17" s="570"/>
      <c r="R17" s="570"/>
      <c r="S17" s="570"/>
      <c r="T17" s="570"/>
      <c r="U17" s="570"/>
      <c r="V17" s="570"/>
      <c r="W17" s="570"/>
      <c r="X17" s="570"/>
      <c r="Y17" s="570"/>
      <c r="Z17" s="570"/>
    </row>
    <row r="18" spans="1:26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>
      <c r="A19" s="565" t="s">
        <v>142</v>
      </c>
      <c r="B19" s="573">
        <f>B5</f>
        <v>0</v>
      </c>
      <c r="C19" s="573">
        <f t="shared" ref="C19:N19" si="13">C5</f>
        <v>0</v>
      </c>
      <c r="D19" s="573">
        <f t="shared" si="13"/>
        <v>0</v>
      </c>
      <c r="E19" s="573">
        <f t="shared" si="13"/>
        <v>0</v>
      </c>
      <c r="F19" s="573">
        <f t="shared" si="13"/>
        <v>0</v>
      </c>
      <c r="G19" s="573">
        <f t="shared" si="13"/>
        <v>0</v>
      </c>
      <c r="H19" s="573">
        <f t="shared" si="13"/>
        <v>0</v>
      </c>
      <c r="I19" s="573">
        <f t="shared" si="13"/>
        <v>0</v>
      </c>
      <c r="J19" s="573">
        <f t="shared" si="13"/>
        <v>0</v>
      </c>
      <c r="K19" s="573">
        <f t="shared" si="13"/>
        <v>0</v>
      </c>
      <c r="L19" s="573">
        <f t="shared" si="13"/>
        <v>0</v>
      </c>
      <c r="M19" s="573">
        <f t="shared" si="13"/>
        <v>0</v>
      </c>
      <c r="N19" s="573">
        <f t="shared" si="13"/>
        <v>0</v>
      </c>
      <c r="O19" s="573">
        <f t="shared" ref="O19:Z19" si="14">O5+O14</f>
        <v>0</v>
      </c>
      <c r="P19" s="573">
        <f t="shared" si="14"/>
        <v>0</v>
      </c>
      <c r="Q19" s="573">
        <f t="shared" si="14"/>
        <v>0</v>
      </c>
      <c r="R19" s="573">
        <f t="shared" si="14"/>
        <v>0</v>
      </c>
      <c r="S19" s="573">
        <f t="shared" si="14"/>
        <v>0</v>
      </c>
      <c r="T19" s="573">
        <f t="shared" si="14"/>
        <v>0</v>
      </c>
      <c r="U19" s="573">
        <f t="shared" si="14"/>
        <v>0</v>
      </c>
      <c r="V19" s="573">
        <f t="shared" si="14"/>
        <v>0</v>
      </c>
      <c r="W19" s="573">
        <f t="shared" si="14"/>
        <v>0</v>
      </c>
      <c r="X19" s="573">
        <f t="shared" si="14"/>
        <v>0</v>
      </c>
      <c r="Y19" s="573">
        <f t="shared" si="14"/>
        <v>0</v>
      </c>
      <c r="Z19" s="573">
        <f t="shared" si="14"/>
        <v>0</v>
      </c>
    </row>
    <row r="20" spans="1:26">
      <c r="B20" s="574"/>
      <c r="C20" s="574"/>
      <c r="D20" s="574"/>
      <c r="E20" s="574"/>
      <c r="F20" s="574"/>
      <c r="G20" s="574"/>
      <c r="H20" s="574"/>
      <c r="I20" s="574"/>
      <c r="J20" s="574"/>
      <c r="K20" s="574"/>
      <c r="L20" s="574"/>
      <c r="M20" s="574"/>
      <c r="N20" s="574"/>
      <c r="O20" s="574"/>
      <c r="P20" s="574"/>
      <c r="Q20" s="574"/>
      <c r="R20" s="574"/>
      <c r="S20" s="574"/>
      <c r="T20" s="574"/>
      <c r="U20" s="574"/>
      <c r="V20" s="574"/>
      <c r="W20" s="574"/>
      <c r="X20" s="574"/>
      <c r="Y20" s="574"/>
      <c r="Z20" s="574"/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ref="O21:O29" si="15">C21-B21</f>
        <v>0</v>
      </c>
      <c r="P21" s="570">
        <f t="shared" ref="P21:P29" si="16">D21-C21</f>
        <v>0</v>
      </c>
      <c r="Q21" s="570">
        <f t="shared" ref="Q21:Q29" si="17">E21-D21</f>
        <v>0</v>
      </c>
      <c r="R21" s="570">
        <f t="shared" ref="R21:R29" si="18">F21-E21</f>
        <v>0</v>
      </c>
      <c r="S21" s="570">
        <f t="shared" ref="S21:S29" si="19">G21-F21</f>
        <v>0</v>
      </c>
      <c r="T21" s="570">
        <f t="shared" ref="T21:T29" si="20">H21-G21</f>
        <v>0</v>
      </c>
      <c r="U21" s="570">
        <f t="shared" ref="U21:U29" si="21">I21-H21</f>
        <v>0</v>
      </c>
      <c r="V21" s="570">
        <f t="shared" ref="V21:V29" si="22">J21-I21</f>
        <v>0</v>
      </c>
      <c r="W21" s="570">
        <f t="shared" ref="W21:W29" si="23">K21-J21</f>
        <v>0</v>
      </c>
      <c r="X21" s="570">
        <f t="shared" ref="X21:X29" si="24">L21-K21</f>
        <v>0</v>
      </c>
      <c r="Y21" s="570">
        <f t="shared" ref="Y21:Y29" si="25">M21-L21</f>
        <v>0</v>
      </c>
      <c r="Z21" s="570">
        <f t="shared" ref="Z21:Z29" si="26">N21-M21</f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5"/>
        <v>0</v>
      </c>
      <c r="P22" s="570">
        <f t="shared" si="16"/>
        <v>0</v>
      </c>
      <c r="Q22" s="570">
        <f t="shared" si="17"/>
        <v>0</v>
      </c>
      <c r="R22" s="570">
        <f t="shared" si="18"/>
        <v>0</v>
      </c>
      <c r="S22" s="570">
        <f t="shared" si="19"/>
        <v>0</v>
      </c>
      <c r="T22" s="570">
        <f t="shared" si="20"/>
        <v>0</v>
      </c>
      <c r="U22" s="570">
        <f t="shared" si="21"/>
        <v>0</v>
      </c>
      <c r="V22" s="570">
        <f t="shared" si="22"/>
        <v>0</v>
      </c>
      <c r="W22" s="570">
        <f t="shared" si="23"/>
        <v>0</v>
      </c>
      <c r="X22" s="570">
        <f t="shared" si="24"/>
        <v>0</v>
      </c>
      <c r="Y22" s="570">
        <f t="shared" si="25"/>
        <v>0</v>
      </c>
      <c r="Z22" s="570">
        <f t="shared" si="26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5"/>
        <v>0</v>
      </c>
      <c r="P23" s="570">
        <f t="shared" si="16"/>
        <v>0</v>
      </c>
      <c r="Q23" s="570">
        <f t="shared" si="17"/>
        <v>0</v>
      </c>
      <c r="R23" s="570">
        <f t="shared" si="18"/>
        <v>0</v>
      </c>
      <c r="S23" s="570">
        <f t="shared" si="19"/>
        <v>0</v>
      </c>
      <c r="T23" s="570">
        <f t="shared" si="20"/>
        <v>0</v>
      </c>
      <c r="U23" s="570">
        <f t="shared" si="21"/>
        <v>0</v>
      </c>
      <c r="V23" s="570">
        <f t="shared" si="22"/>
        <v>0</v>
      </c>
      <c r="W23" s="570">
        <f t="shared" si="23"/>
        <v>0</v>
      </c>
      <c r="X23" s="570">
        <f t="shared" si="24"/>
        <v>0</v>
      </c>
      <c r="Y23" s="570">
        <f t="shared" si="25"/>
        <v>0</v>
      </c>
      <c r="Z23" s="570">
        <f t="shared" si="26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5"/>
        <v>0</v>
      </c>
      <c r="P24" s="570">
        <f t="shared" si="16"/>
        <v>0</v>
      </c>
      <c r="Q24" s="570">
        <f t="shared" si="17"/>
        <v>0</v>
      </c>
      <c r="R24" s="570">
        <f t="shared" si="18"/>
        <v>0</v>
      </c>
      <c r="S24" s="570">
        <f t="shared" si="19"/>
        <v>0</v>
      </c>
      <c r="T24" s="570">
        <f t="shared" si="20"/>
        <v>0</v>
      </c>
      <c r="U24" s="570">
        <f t="shared" si="21"/>
        <v>0</v>
      </c>
      <c r="V24" s="570">
        <f t="shared" si="22"/>
        <v>0</v>
      </c>
      <c r="W24" s="570">
        <f t="shared" si="23"/>
        <v>0</v>
      </c>
      <c r="X24" s="570">
        <f t="shared" si="24"/>
        <v>0</v>
      </c>
      <c r="Y24" s="570">
        <f t="shared" si="25"/>
        <v>0</v>
      </c>
      <c r="Z24" s="570">
        <f t="shared" si="26"/>
        <v>0</v>
      </c>
    </row>
    <row r="25" spans="1:26">
      <c r="B25" s="570"/>
      <c r="C25" s="570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5"/>
        <v>0</v>
      </c>
      <c r="P25" s="570">
        <f t="shared" si="16"/>
        <v>0</v>
      </c>
      <c r="Q25" s="570">
        <f t="shared" si="17"/>
        <v>0</v>
      </c>
      <c r="R25" s="570">
        <f t="shared" si="18"/>
        <v>0</v>
      </c>
      <c r="S25" s="570">
        <f t="shared" si="19"/>
        <v>0</v>
      </c>
      <c r="T25" s="570">
        <f t="shared" si="20"/>
        <v>0</v>
      </c>
      <c r="U25" s="570">
        <f t="shared" si="21"/>
        <v>0</v>
      </c>
      <c r="V25" s="570">
        <f t="shared" si="22"/>
        <v>0</v>
      </c>
      <c r="W25" s="570">
        <f t="shared" si="23"/>
        <v>0</v>
      </c>
      <c r="X25" s="570">
        <f t="shared" si="24"/>
        <v>0</v>
      </c>
      <c r="Y25" s="570">
        <f t="shared" si="25"/>
        <v>0</v>
      </c>
      <c r="Z25" s="570">
        <f t="shared" si="26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5"/>
        <v>0</v>
      </c>
      <c r="P26" s="570">
        <f t="shared" si="16"/>
        <v>0</v>
      </c>
      <c r="Q26" s="570">
        <f t="shared" si="17"/>
        <v>0</v>
      </c>
      <c r="R26" s="570">
        <f t="shared" si="18"/>
        <v>0</v>
      </c>
      <c r="S26" s="570">
        <f t="shared" si="19"/>
        <v>0</v>
      </c>
      <c r="T26" s="570">
        <f t="shared" si="20"/>
        <v>0</v>
      </c>
      <c r="U26" s="570">
        <f t="shared" si="21"/>
        <v>0</v>
      </c>
      <c r="V26" s="570">
        <f t="shared" si="22"/>
        <v>0</v>
      </c>
      <c r="W26" s="570">
        <f t="shared" si="23"/>
        <v>0</v>
      </c>
      <c r="X26" s="570">
        <f t="shared" si="24"/>
        <v>0</v>
      </c>
      <c r="Y26" s="570">
        <f t="shared" si="25"/>
        <v>0</v>
      </c>
      <c r="Z26" s="570">
        <f t="shared" si="26"/>
        <v>0</v>
      </c>
    </row>
    <row r="27" spans="1:26">
      <c r="B27" s="570"/>
      <c r="C27" s="575"/>
      <c r="D27" s="570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5"/>
        <v>0</v>
      </c>
      <c r="P27" s="570">
        <f t="shared" si="16"/>
        <v>0</v>
      </c>
      <c r="Q27" s="570">
        <f t="shared" si="17"/>
        <v>0</v>
      </c>
      <c r="R27" s="570">
        <f t="shared" si="18"/>
        <v>0</v>
      </c>
      <c r="S27" s="570">
        <f t="shared" si="19"/>
        <v>0</v>
      </c>
      <c r="T27" s="570">
        <f t="shared" si="20"/>
        <v>0</v>
      </c>
      <c r="U27" s="570">
        <f t="shared" si="21"/>
        <v>0</v>
      </c>
      <c r="V27" s="570">
        <f t="shared" si="22"/>
        <v>0</v>
      </c>
      <c r="W27" s="570">
        <f t="shared" si="23"/>
        <v>0</v>
      </c>
      <c r="X27" s="570">
        <f t="shared" si="24"/>
        <v>0</v>
      </c>
      <c r="Y27" s="570">
        <f t="shared" si="25"/>
        <v>0</v>
      </c>
      <c r="Z27" s="570">
        <f t="shared" si="26"/>
        <v>0</v>
      </c>
    </row>
    <row r="28" spans="1:26">
      <c r="B28" s="570"/>
      <c r="C28" s="575"/>
      <c r="D28" s="575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5"/>
        <v>0</v>
      </c>
      <c r="P28" s="570">
        <f t="shared" si="16"/>
        <v>0</v>
      </c>
      <c r="Q28" s="570">
        <f t="shared" si="17"/>
        <v>0</v>
      </c>
      <c r="R28" s="570">
        <f t="shared" si="18"/>
        <v>0</v>
      </c>
      <c r="S28" s="570">
        <f t="shared" si="19"/>
        <v>0</v>
      </c>
      <c r="T28" s="570">
        <f t="shared" si="20"/>
        <v>0</v>
      </c>
      <c r="U28" s="570">
        <f t="shared" si="21"/>
        <v>0</v>
      </c>
      <c r="V28" s="570">
        <f t="shared" si="22"/>
        <v>0</v>
      </c>
      <c r="W28" s="570">
        <f t="shared" si="23"/>
        <v>0</v>
      </c>
      <c r="X28" s="570">
        <f t="shared" si="24"/>
        <v>0</v>
      </c>
      <c r="Y28" s="570">
        <f t="shared" si="25"/>
        <v>0</v>
      </c>
      <c r="Z28" s="570">
        <f t="shared" si="26"/>
        <v>0</v>
      </c>
    </row>
    <row r="29" spans="1:26">
      <c r="B29" s="570"/>
      <c r="C29" s="570"/>
      <c r="D29" s="570"/>
      <c r="E29" s="570"/>
      <c r="F29" s="570"/>
      <c r="G29" s="570"/>
      <c r="H29" s="570"/>
      <c r="I29" s="570"/>
      <c r="J29" s="570"/>
      <c r="K29" s="570"/>
      <c r="L29" s="570"/>
      <c r="M29" s="570"/>
      <c r="N29" s="570"/>
      <c r="O29" s="570">
        <f t="shared" si="15"/>
        <v>0</v>
      </c>
      <c r="P29" s="570">
        <f t="shared" si="16"/>
        <v>0</v>
      </c>
      <c r="Q29" s="570">
        <f t="shared" si="17"/>
        <v>0</v>
      </c>
      <c r="R29" s="570">
        <f t="shared" si="18"/>
        <v>0</v>
      </c>
      <c r="S29" s="570">
        <f t="shared" si="19"/>
        <v>0</v>
      </c>
      <c r="T29" s="570">
        <f t="shared" si="20"/>
        <v>0</v>
      </c>
      <c r="U29" s="570">
        <f t="shared" si="21"/>
        <v>0</v>
      </c>
      <c r="V29" s="570">
        <f t="shared" si="22"/>
        <v>0</v>
      </c>
      <c r="W29" s="570">
        <f t="shared" si="23"/>
        <v>0</v>
      </c>
      <c r="X29" s="570">
        <f t="shared" si="24"/>
        <v>0</v>
      </c>
      <c r="Y29" s="570">
        <f t="shared" si="25"/>
        <v>0</v>
      </c>
      <c r="Z29" s="570">
        <f t="shared" si="26"/>
        <v>0</v>
      </c>
    </row>
    <row r="30" spans="1:26">
      <c r="B30" s="576"/>
      <c r="C30" s="576"/>
      <c r="D30" s="576"/>
      <c r="E30" s="576"/>
      <c r="F30" s="576"/>
      <c r="G30" s="576"/>
      <c r="H30" s="576"/>
      <c r="I30" s="576"/>
      <c r="J30" s="576"/>
      <c r="K30" s="576"/>
      <c r="L30" s="576"/>
      <c r="M30" s="576"/>
      <c r="N30" s="576"/>
      <c r="O30" s="576"/>
      <c r="P30" s="576"/>
      <c r="Q30" s="576"/>
      <c r="R30" s="576"/>
      <c r="S30" s="576"/>
      <c r="T30" s="576"/>
      <c r="U30" s="576"/>
      <c r="V30" s="576"/>
      <c r="W30" s="576"/>
      <c r="X30" s="576"/>
      <c r="Y30" s="576"/>
      <c r="Z30" s="576"/>
    </row>
    <row r="31" spans="1:26">
      <c r="A31" s="565"/>
      <c r="B31" s="573"/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SUM(O24:O29)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2" spans="1:26">
      <c r="A32" s="565"/>
      <c r="B32" s="573"/>
      <c r="C32" s="573"/>
      <c r="D32" s="573"/>
      <c r="E32" s="573"/>
      <c r="F32" s="573"/>
      <c r="G32" s="573"/>
      <c r="H32" s="573"/>
      <c r="I32" s="573"/>
      <c r="J32" s="573"/>
      <c r="K32" s="573"/>
      <c r="L32" s="573"/>
      <c r="M32" s="573"/>
      <c r="N32" s="573"/>
      <c r="O32" s="573">
        <f t="shared" ref="O32:Z32" si="28">+O31-O19</f>
        <v>0</v>
      </c>
      <c r="P32" s="573">
        <f t="shared" si="28"/>
        <v>0</v>
      </c>
      <c r="Q32" s="573">
        <f t="shared" si="28"/>
        <v>0</v>
      </c>
      <c r="R32" s="573">
        <f t="shared" si="28"/>
        <v>0</v>
      </c>
      <c r="S32" s="573">
        <f t="shared" si="28"/>
        <v>0</v>
      </c>
      <c r="T32" s="573">
        <f t="shared" si="28"/>
        <v>0</v>
      </c>
      <c r="U32" s="573">
        <f t="shared" si="28"/>
        <v>0</v>
      </c>
      <c r="V32" s="573">
        <f t="shared" si="28"/>
        <v>0</v>
      </c>
      <c r="W32" s="573">
        <f t="shared" si="28"/>
        <v>0</v>
      </c>
      <c r="X32" s="573">
        <f t="shared" si="28"/>
        <v>0</v>
      </c>
      <c r="Y32" s="573">
        <f t="shared" si="28"/>
        <v>0</v>
      </c>
      <c r="Z32" s="573">
        <f t="shared" si="28"/>
        <v>0</v>
      </c>
    </row>
    <row r="36" spans="4:5">
      <c r="D36" s="575"/>
      <c r="E36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"/>
  <dimension ref="A1:AC408"/>
  <sheetViews>
    <sheetView showGridLines="0" zoomScale="120" zoomScaleNormal="120" workbookViewId="0">
      <pane xSplit="3" ySplit="7" topLeftCell="D8" activePane="bottomRight" state="frozen"/>
      <selection pane="topRight" activeCell="D1" sqref="D1"/>
      <selection pane="bottomLeft" activeCell="A8" sqref="A8"/>
      <selection pane="bottomRight"/>
    </sheetView>
  </sheetViews>
  <sheetFormatPr defaultColWidth="8" defaultRowHeight="12.75"/>
  <cols>
    <col min="1" max="1" width="10.85546875" style="919" customWidth="1"/>
    <col min="2" max="2" width="53.5703125" style="893" customWidth="1"/>
    <col min="3" max="3" width="12" style="892" customWidth="1"/>
    <col min="4" max="4" width="16.85546875" style="892" hidden="1" customWidth="1"/>
    <col min="5" max="5" width="12.140625" style="892" customWidth="1"/>
    <col min="6" max="8" width="10.85546875" style="892" customWidth="1"/>
    <col min="9" max="9" width="12.42578125" style="892" customWidth="1"/>
    <col min="10" max="13" width="10.85546875" style="892" customWidth="1"/>
    <col min="14" max="15" width="10.85546875" style="892" hidden="1" customWidth="1"/>
    <col min="16" max="16" width="11.85546875" style="892" customWidth="1"/>
    <col min="17" max="17" width="11.7109375" style="920" customWidth="1"/>
    <col min="18" max="20" width="10.85546875" style="892" customWidth="1"/>
    <col min="21" max="21" width="12.85546875" style="892" customWidth="1"/>
    <col min="22" max="24" width="10.85546875" style="893" customWidth="1"/>
    <col min="25" max="25" width="12.28515625" style="893" customWidth="1"/>
    <col min="26" max="26" width="11.7109375" style="893" customWidth="1"/>
    <col min="27" max="27" width="10.85546875" style="893" customWidth="1"/>
    <col min="28" max="28" width="23.42578125" style="893" bestFit="1" customWidth="1"/>
    <col min="29" max="16384" width="8" style="893"/>
  </cols>
  <sheetData>
    <row r="1" spans="1:29">
      <c r="L1" s="892">
        <f>+H100+H103</f>
        <v>2003661</v>
      </c>
      <c r="M1" s="892">
        <f>4583955-H26</f>
        <v>0</v>
      </c>
      <c r="N1" s="892">
        <f>18850921-C26</f>
        <v>550281</v>
      </c>
      <c r="O1" s="892">
        <f>4427000-128000</f>
        <v>4299000</v>
      </c>
      <c r="P1" s="892">
        <f>6454000-C15</f>
        <v>4427000</v>
      </c>
      <c r="Q1" s="920">
        <f>1988+9+30</f>
        <v>2027</v>
      </c>
    </row>
    <row r="2" spans="1:29" ht="14.25">
      <c r="A2" s="2213" t="s">
        <v>1736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</row>
    <row r="3" spans="1:29" ht="14.25">
      <c r="A3" s="2213" t="s">
        <v>1737</v>
      </c>
      <c r="B3" s="2213"/>
      <c r="C3" s="2213"/>
      <c r="D3" s="2213"/>
      <c r="E3" s="2213"/>
      <c r="F3" s="2213"/>
      <c r="G3" s="2213"/>
      <c r="H3" s="2213"/>
      <c r="I3" s="2213"/>
      <c r="J3" s="2213"/>
      <c r="K3" s="2213"/>
      <c r="L3" s="2213"/>
      <c r="M3" s="2213"/>
      <c r="N3" s="2213"/>
      <c r="O3" s="2213"/>
      <c r="P3" s="2213"/>
      <c r="Q3" s="2213"/>
      <c r="U3" s="892">
        <f>26975240580-U4</f>
        <v>26933826639</v>
      </c>
    </row>
    <row r="4" spans="1:29" ht="14.25">
      <c r="A4" s="2213" t="s">
        <v>1738</v>
      </c>
      <c r="B4" s="2213"/>
      <c r="C4" s="2213"/>
      <c r="D4" s="2213"/>
      <c r="E4" s="2213"/>
      <c r="F4" s="2213"/>
      <c r="G4" s="2213"/>
      <c r="H4" s="2213"/>
      <c r="I4" s="2213"/>
      <c r="J4" s="2213"/>
      <c r="K4" s="2213"/>
      <c r="L4" s="2213"/>
      <c r="M4" s="2213"/>
      <c r="N4" s="2213"/>
      <c r="O4" s="2213"/>
      <c r="P4" s="2213"/>
      <c r="Q4" s="2213"/>
      <c r="U4" s="892">
        <f>8654559+290418+6506855+25962109</f>
        <v>41413941</v>
      </c>
    </row>
    <row r="5" spans="1:29" ht="16.5" thickBot="1">
      <c r="A5" s="2214" t="s">
        <v>1739</v>
      </c>
      <c r="B5" s="2214"/>
      <c r="C5" s="2214"/>
      <c r="D5" s="2214"/>
      <c r="E5" s="2214"/>
      <c r="F5" s="2214"/>
      <c r="G5" s="2214"/>
      <c r="H5" s="2214"/>
      <c r="I5" s="2214"/>
      <c r="J5" s="2214"/>
      <c r="K5" s="2214"/>
      <c r="L5" s="2214"/>
      <c r="M5" s="2214"/>
      <c r="N5" s="2214"/>
      <c r="O5" s="2214"/>
      <c r="P5" s="2214"/>
      <c r="Q5" s="2214"/>
    </row>
    <row r="6" spans="1:29" ht="13.5" customHeight="1">
      <c r="A6" s="2218" t="s">
        <v>1740</v>
      </c>
      <c r="B6" s="2220" t="s">
        <v>1741</v>
      </c>
      <c r="C6" s="2222" t="s">
        <v>2263</v>
      </c>
      <c r="D6" s="1169"/>
      <c r="E6" s="2224" t="s">
        <v>2264</v>
      </c>
      <c r="F6" s="2224"/>
      <c r="G6" s="2224"/>
      <c r="H6" s="1170" t="s">
        <v>2265</v>
      </c>
      <c r="I6" s="1171"/>
      <c r="J6" s="1171"/>
      <c r="K6" s="2226" t="s">
        <v>2266</v>
      </c>
      <c r="L6" s="2224"/>
      <c r="M6" s="2224"/>
      <c r="N6" s="1170" t="s">
        <v>2267</v>
      </c>
      <c r="O6" s="1171"/>
      <c r="P6" s="1171"/>
      <c r="Q6" s="1172"/>
      <c r="R6" s="1145"/>
      <c r="S6" s="2225" t="s">
        <v>1742</v>
      </c>
      <c r="T6" s="2216"/>
      <c r="U6" s="2217"/>
      <c r="V6" s="2215" t="s">
        <v>1743</v>
      </c>
      <c r="W6" s="2216"/>
      <c r="X6" s="2217"/>
    </row>
    <row r="7" spans="1:29" ht="25.5">
      <c r="A7" s="2219"/>
      <c r="B7" s="2221"/>
      <c r="C7" s="2223"/>
      <c r="D7" s="1073"/>
      <c r="E7" s="1074" t="s">
        <v>1744</v>
      </c>
      <c r="F7" s="1069" t="s">
        <v>1745</v>
      </c>
      <c r="G7" s="1069" t="s">
        <v>1746</v>
      </c>
      <c r="H7" s="1069" t="s">
        <v>1091</v>
      </c>
      <c r="I7" s="1069" t="s">
        <v>1747</v>
      </c>
      <c r="J7" s="1075" t="s">
        <v>1749</v>
      </c>
      <c r="K7" s="1076" t="s">
        <v>1750</v>
      </c>
      <c r="L7" s="1076" t="s">
        <v>1751</v>
      </c>
      <c r="M7" s="1076" t="s">
        <v>1752</v>
      </c>
      <c r="N7" s="1076" t="s">
        <v>1753</v>
      </c>
      <c r="O7" s="1076" t="s">
        <v>1754</v>
      </c>
      <c r="P7" s="1069" t="s">
        <v>2201</v>
      </c>
      <c r="Q7" s="1068" t="s">
        <v>1748</v>
      </c>
      <c r="R7" s="1033" t="s">
        <v>1749</v>
      </c>
      <c r="S7" s="1032" t="s">
        <v>1750</v>
      </c>
      <c r="T7" s="1032" t="s">
        <v>1751</v>
      </c>
      <c r="U7" s="1031" t="s">
        <v>1752</v>
      </c>
      <c r="V7" s="1031" t="s">
        <v>1753</v>
      </c>
      <c r="W7" s="1031" t="s">
        <v>1754</v>
      </c>
      <c r="X7" s="1031" t="s">
        <v>1755</v>
      </c>
      <c r="Y7" s="1067" t="s">
        <v>1756</v>
      </c>
      <c r="Z7" s="1066" t="s">
        <v>1757</v>
      </c>
    </row>
    <row r="8" spans="1:29" ht="13.5" thickBot="1">
      <c r="A8" s="1161"/>
      <c r="B8" s="1162"/>
      <c r="C8" s="1163"/>
      <c r="D8" s="1164"/>
      <c r="E8" s="1166" t="s">
        <v>1758</v>
      </c>
      <c r="F8" s="1182" t="s">
        <v>1758</v>
      </c>
      <c r="G8" s="1182" t="s">
        <v>1758</v>
      </c>
      <c r="H8" s="1182" t="s">
        <v>1758</v>
      </c>
      <c r="I8" s="1165" t="s">
        <v>1758</v>
      </c>
      <c r="J8" s="1166" t="s">
        <v>1758</v>
      </c>
      <c r="K8" s="1166" t="s">
        <v>1758</v>
      </c>
      <c r="L8" s="1167" t="s">
        <v>2209</v>
      </c>
      <c r="M8" s="1167" t="s">
        <v>2209</v>
      </c>
      <c r="N8" s="1167" t="s">
        <v>2209</v>
      </c>
      <c r="O8" s="1167" t="s">
        <v>2209</v>
      </c>
      <c r="P8" s="1167"/>
      <c r="Q8" s="1168"/>
      <c r="R8" s="937"/>
      <c r="S8" s="937"/>
      <c r="T8" s="937"/>
      <c r="U8" s="1043"/>
      <c r="V8" s="1043"/>
      <c r="W8" s="1043"/>
      <c r="X8" s="1043"/>
      <c r="Y8" s="1065"/>
      <c r="Z8" s="1064"/>
    </row>
    <row r="9" spans="1:29">
      <c r="A9" s="949"/>
      <c r="B9" s="948" t="s">
        <v>1759</v>
      </c>
      <c r="C9" s="894">
        <f>+C10+C22</f>
        <v>65705995.5</v>
      </c>
      <c r="D9" s="947"/>
      <c r="E9" s="1082">
        <f t="shared" ref="E9:L9" si="0">+E10+E22</f>
        <v>3960512.9109999998</v>
      </c>
      <c r="F9" s="894">
        <f t="shared" si="0"/>
        <v>3392601.95</v>
      </c>
      <c r="G9" s="894">
        <f t="shared" si="0"/>
        <v>3989135.76</v>
      </c>
      <c r="H9" s="894">
        <f t="shared" si="0"/>
        <v>2855267.0999999996</v>
      </c>
      <c r="I9" s="894">
        <f t="shared" si="0"/>
        <v>4373064.9849999994</v>
      </c>
      <c r="J9" s="894">
        <f t="shared" si="0"/>
        <v>5109789.2340000002</v>
      </c>
      <c r="K9" s="894">
        <f t="shared" si="0"/>
        <v>5045092.2479999997</v>
      </c>
      <c r="L9" s="894">
        <f t="shared" si="0"/>
        <v>0</v>
      </c>
      <c r="M9" s="894">
        <f>+M10+M22</f>
        <v>0</v>
      </c>
      <c r="N9" s="894">
        <f>+N10+N22</f>
        <v>2998443.591</v>
      </c>
      <c r="O9" s="894">
        <f>+O10+O22</f>
        <v>2366802.0269999998</v>
      </c>
      <c r="P9" s="894">
        <f t="shared" ref="P9:P31" si="1">SUM(E9:N9)</f>
        <v>31723907.778999999</v>
      </c>
      <c r="Q9" s="895">
        <f>C9-P9</f>
        <v>33982087.721000001</v>
      </c>
      <c r="R9" s="1063">
        <f t="shared" ref="R9:X9" si="2">R10</f>
        <v>0</v>
      </c>
      <c r="S9" s="1062">
        <f t="shared" si="2"/>
        <v>0</v>
      </c>
      <c r="T9" s="1062">
        <f t="shared" si="2"/>
        <v>0</v>
      </c>
      <c r="U9" s="1062">
        <f t="shared" si="2"/>
        <v>0</v>
      </c>
      <c r="V9" s="1062">
        <f t="shared" si="2"/>
        <v>0</v>
      </c>
      <c r="W9" s="1062">
        <f t="shared" si="2"/>
        <v>0</v>
      </c>
      <c r="X9" s="1062">
        <f t="shared" si="2"/>
        <v>0</v>
      </c>
      <c r="Y9" s="1061">
        <f>SUM(R9:X9)</f>
        <v>0</v>
      </c>
      <c r="Z9" s="1061">
        <f>Q9-Y9</f>
        <v>33982087.721000001</v>
      </c>
      <c r="AA9" s="892"/>
      <c r="AC9" s="892"/>
    </row>
    <row r="10" spans="1:29">
      <c r="A10" s="1052"/>
      <c r="B10" s="1060" t="s">
        <v>1760</v>
      </c>
      <c r="C10" s="896">
        <f>+C11+C12</f>
        <v>53705995.5</v>
      </c>
      <c r="D10" s="1059"/>
      <c r="E10" s="1108">
        <f t="shared" ref="E10:L10" si="3">+E11+E12</f>
        <v>2463512.9109999998</v>
      </c>
      <c r="F10" s="896">
        <f t="shared" si="3"/>
        <v>3392601.95</v>
      </c>
      <c r="G10" s="896">
        <f t="shared" si="3"/>
        <v>2998135.76</v>
      </c>
      <c r="H10" s="896">
        <f t="shared" si="3"/>
        <v>2855267.0999999996</v>
      </c>
      <c r="I10" s="896">
        <f t="shared" si="3"/>
        <v>4373064.9849999994</v>
      </c>
      <c r="J10" s="896">
        <f t="shared" si="3"/>
        <v>5109789.2340000002</v>
      </c>
      <c r="K10" s="896">
        <f t="shared" si="3"/>
        <v>5045092.2479999997</v>
      </c>
      <c r="L10" s="896">
        <f t="shared" si="3"/>
        <v>0</v>
      </c>
      <c r="M10" s="896">
        <f>+M11+M12</f>
        <v>0</v>
      </c>
      <c r="N10" s="896">
        <f>+N11+N12</f>
        <v>2998443.591</v>
      </c>
      <c r="O10" s="896">
        <f>+O11+O12</f>
        <v>2366802.0269999998</v>
      </c>
      <c r="P10" s="896">
        <f t="shared" si="1"/>
        <v>29235907.778999999</v>
      </c>
      <c r="Q10" s="1058">
        <f>C10-P10</f>
        <v>24470087.721000001</v>
      </c>
      <c r="R10" s="1043">
        <f t="shared" ref="R10:X10" si="4">R14+R17</f>
        <v>0</v>
      </c>
      <c r="S10" s="897">
        <f t="shared" si="4"/>
        <v>0</v>
      </c>
      <c r="T10" s="897">
        <f t="shared" si="4"/>
        <v>0</v>
      </c>
      <c r="U10" s="897">
        <f t="shared" si="4"/>
        <v>0</v>
      </c>
      <c r="V10" s="897">
        <f t="shared" si="4"/>
        <v>0</v>
      </c>
      <c r="W10" s="897">
        <f t="shared" si="4"/>
        <v>0</v>
      </c>
      <c r="X10" s="897">
        <f t="shared" si="4"/>
        <v>0</v>
      </c>
      <c r="Y10" s="897">
        <f>SUM(R10:X10)</f>
        <v>0</v>
      </c>
      <c r="Z10" s="897">
        <f>Q10-Y10</f>
        <v>24470087.721000001</v>
      </c>
    </row>
    <row r="11" spans="1:29">
      <c r="A11" s="1052">
        <v>71</v>
      </c>
      <c r="B11" s="1051" t="s">
        <v>1761</v>
      </c>
      <c r="C11" s="897">
        <f>+C14+C17</f>
        <v>47175000</v>
      </c>
      <c r="D11" s="937"/>
      <c r="E11" s="1109">
        <f t="shared" ref="E11:K11" si="5">+E14+E17</f>
        <v>2002639.7239999999</v>
      </c>
      <c r="F11" s="897">
        <f t="shared" si="5"/>
        <v>2846493.105</v>
      </c>
      <c r="G11" s="897">
        <f t="shared" si="5"/>
        <v>2525356.409</v>
      </c>
      <c r="H11" s="897">
        <f t="shared" si="5"/>
        <v>2552418.8259999999</v>
      </c>
      <c r="I11" s="897">
        <f t="shared" si="5"/>
        <v>3841560.0839999998</v>
      </c>
      <c r="J11" s="897">
        <f t="shared" si="5"/>
        <v>4554177.926</v>
      </c>
      <c r="K11" s="897">
        <f t="shared" si="5"/>
        <v>4541095</v>
      </c>
      <c r="L11" s="897">
        <f>L14+L17</f>
        <v>0</v>
      </c>
      <c r="M11" s="897">
        <f>+M14+M17</f>
        <v>0</v>
      </c>
      <c r="N11" s="897">
        <f>+N14+N17</f>
        <v>2794099.659</v>
      </c>
      <c r="O11" s="897">
        <f>+O14+O17</f>
        <v>2210839.0159999998</v>
      </c>
      <c r="P11" s="897">
        <f t="shared" si="1"/>
        <v>25657840.732999995</v>
      </c>
      <c r="Q11" s="898">
        <f>C11-P11</f>
        <v>21517159.267000005</v>
      </c>
      <c r="R11" s="1043"/>
      <c r="S11" s="897"/>
      <c r="T11" s="897"/>
      <c r="U11" s="897"/>
      <c r="V11" s="897"/>
      <c r="W11" s="897"/>
      <c r="X11" s="897"/>
      <c r="Y11" s="897"/>
      <c r="Z11" s="897"/>
      <c r="AA11" s="892"/>
      <c r="AB11" s="892"/>
    </row>
    <row r="12" spans="1:29">
      <c r="A12" s="1052">
        <v>72</v>
      </c>
      <c r="B12" s="1051" t="s">
        <v>1762</v>
      </c>
      <c r="C12" s="897">
        <f>+C15+C18+C20</f>
        <v>6530995.5</v>
      </c>
      <c r="D12" s="937"/>
      <c r="E12" s="1109">
        <f t="shared" ref="E12:K12" si="6">+E15+E18+E19</f>
        <v>460873.18699999998</v>
      </c>
      <c r="F12" s="897">
        <f t="shared" si="6"/>
        <v>546108.84499999997</v>
      </c>
      <c r="G12" s="897">
        <f t="shared" si="6"/>
        <v>472779.35100000002</v>
      </c>
      <c r="H12" s="897">
        <f t="shared" si="6"/>
        <v>302848.27399999998</v>
      </c>
      <c r="I12" s="897">
        <f t="shared" si="6"/>
        <v>531504.90099999995</v>
      </c>
      <c r="J12" s="897">
        <f t="shared" si="6"/>
        <v>555611.30799999996</v>
      </c>
      <c r="K12" s="897">
        <f t="shared" si="6"/>
        <v>503997.24800000002</v>
      </c>
      <c r="L12" s="897">
        <f>L15+L18+L19</f>
        <v>0</v>
      </c>
      <c r="M12" s="897">
        <f>+M15+M18+M20</f>
        <v>0</v>
      </c>
      <c r="N12" s="897">
        <f>+N15+N18+N20</f>
        <v>204343.932</v>
      </c>
      <c r="O12" s="897">
        <f>+O15+O18+O20</f>
        <v>155963.011</v>
      </c>
      <c r="P12" s="897">
        <f t="shared" si="1"/>
        <v>3578067.0459999996</v>
      </c>
      <c r="Q12" s="898">
        <f>C12-P12</f>
        <v>2952928.4540000004</v>
      </c>
      <c r="R12" s="1043"/>
      <c r="S12" s="897"/>
      <c r="T12" s="897"/>
      <c r="U12" s="897"/>
      <c r="V12" s="897"/>
      <c r="W12" s="897"/>
      <c r="X12" s="897"/>
      <c r="Y12" s="897"/>
      <c r="Z12" s="897"/>
    </row>
    <row r="13" spans="1:29">
      <c r="A13" s="949"/>
      <c r="B13" s="948" t="s">
        <v>1727</v>
      </c>
      <c r="C13" s="894">
        <f>+C14+C15</f>
        <v>28535000</v>
      </c>
      <c r="D13" s="947"/>
      <c r="E13" s="1082">
        <f t="shared" ref="E13:Q13" si="7">+E14+E15</f>
        <v>1266188.4169999999</v>
      </c>
      <c r="F13" s="894">
        <f t="shared" si="7"/>
        <v>1494624.537</v>
      </c>
      <c r="G13" s="894">
        <f t="shared" si="7"/>
        <v>1441189.838</v>
      </c>
      <c r="H13" s="894">
        <f t="shared" si="7"/>
        <v>1739626.9139999999</v>
      </c>
      <c r="I13" s="894">
        <f t="shared" si="7"/>
        <v>2228716.4330000002</v>
      </c>
      <c r="J13" s="894">
        <f t="shared" si="7"/>
        <v>2888851.8769999999</v>
      </c>
      <c r="K13" s="894">
        <f t="shared" si="7"/>
        <v>2861388.7280000001</v>
      </c>
      <c r="L13" s="894">
        <f>L14+L15</f>
        <v>0</v>
      </c>
      <c r="M13" s="894">
        <f>+M14+M15</f>
        <v>0</v>
      </c>
      <c r="N13" s="894">
        <f>+N14+N15</f>
        <v>0</v>
      </c>
      <c r="O13" s="894">
        <f>+O14+O15</f>
        <v>0</v>
      </c>
      <c r="P13" s="894">
        <f t="shared" si="1"/>
        <v>13920586.743999999</v>
      </c>
      <c r="Q13" s="899">
        <f t="shared" si="7"/>
        <v>14614413.256000001</v>
      </c>
      <c r="R13" s="1043"/>
      <c r="S13" s="897"/>
      <c r="T13" s="897"/>
      <c r="U13" s="897"/>
      <c r="V13" s="897"/>
      <c r="W13" s="897"/>
      <c r="X13" s="897"/>
      <c r="Y13" s="897"/>
      <c r="Z13" s="897"/>
      <c r="AB13" s="892"/>
    </row>
    <row r="14" spans="1:29">
      <c r="A14" s="1052"/>
      <c r="B14" s="1056" t="s">
        <v>1763</v>
      </c>
      <c r="C14" s="900">
        <f>26508000</f>
        <v>26508000</v>
      </c>
      <c r="D14" s="956"/>
      <c r="E14" s="1110">
        <v>1123369.7239999999</v>
      </c>
      <c r="F14" s="901">
        <v>1324832.105</v>
      </c>
      <c r="G14" s="901">
        <v>1232671.409</v>
      </c>
      <c r="H14" s="901">
        <v>1676764.8259999999</v>
      </c>
      <c r="I14" s="901">
        <v>2048294.084</v>
      </c>
      <c r="J14" s="901">
        <v>2554988.926</v>
      </c>
      <c r="K14" s="901">
        <v>2579687</v>
      </c>
      <c r="L14" s="901"/>
      <c r="M14" s="901"/>
      <c r="N14" s="901"/>
      <c r="O14" s="901"/>
      <c r="P14" s="901">
        <f>SUM(E14:O14)</f>
        <v>12540608.073999999</v>
      </c>
      <c r="Q14" s="898">
        <f>C14-P14</f>
        <v>13967391.926000001</v>
      </c>
      <c r="R14" s="1054"/>
      <c r="S14" s="902"/>
      <c r="T14" s="902"/>
      <c r="U14" s="902"/>
      <c r="V14" s="902"/>
      <c r="W14" s="902"/>
      <c r="X14" s="902"/>
      <c r="Y14" s="897"/>
      <c r="Z14" s="897"/>
      <c r="AB14" s="892"/>
    </row>
    <row r="15" spans="1:29">
      <c r="A15" s="1052"/>
      <c r="B15" s="1056" t="s">
        <v>1764</v>
      </c>
      <c r="C15" s="900">
        <v>2027000</v>
      </c>
      <c r="D15" s="956"/>
      <c r="E15" s="1110">
        <v>142818.693</v>
      </c>
      <c r="F15" s="901">
        <v>169792.432</v>
      </c>
      <c r="G15" s="901">
        <v>208518.429</v>
      </c>
      <c r="H15" s="901">
        <v>62862.088000000003</v>
      </c>
      <c r="I15" s="901">
        <v>180422.34899999999</v>
      </c>
      <c r="J15" s="901">
        <v>333862.951</v>
      </c>
      <c r="K15" s="901">
        <v>281701.728</v>
      </c>
      <c r="L15" s="901"/>
      <c r="M15" s="901"/>
      <c r="N15" s="901"/>
      <c r="O15" s="901"/>
      <c r="P15" s="901">
        <f>SUM(E15:O15)</f>
        <v>1379978.67</v>
      </c>
      <c r="Q15" s="898">
        <f>C15-P15</f>
        <v>647021.33000000007</v>
      </c>
      <c r="R15" s="1054"/>
      <c r="S15" s="902"/>
      <c r="T15" s="902"/>
      <c r="U15" s="902"/>
      <c r="V15" s="902"/>
      <c r="W15" s="902"/>
      <c r="X15" s="902"/>
      <c r="Y15" s="897"/>
      <c r="Z15" s="897"/>
    </row>
    <row r="16" spans="1:29">
      <c r="A16" s="949"/>
      <c r="B16" s="948" t="s">
        <v>1726</v>
      </c>
      <c r="C16" s="894">
        <f>+C17+C18</f>
        <v>20787000</v>
      </c>
      <c r="D16" s="947"/>
      <c r="E16" s="1082">
        <f t="shared" ref="E16:J16" si="8">+E17+E18</f>
        <v>1003241</v>
      </c>
      <c r="F16" s="894">
        <f t="shared" si="8"/>
        <v>1768876</v>
      </c>
      <c r="G16" s="894">
        <f t="shared" si="8"/>
        <v>1438256</v>
      </c>
      <c r="H16" s="894">
        <f t="shared" si="8"/>
        <v>1054758</v>
      </c>
      <c r="I16" s="894">
        <f t="shared" si="8"/>
        <v>1998798</v>
      </c>
      <c r="J16" s="894">
        <f t="shared" si="8"/>
        <v>2147819</v>
      </c>
      <c r="K16" s="894">
        <f>K17+K18</f>
        <v>2102677</v>
      </c>
      <c r="L16" s="894">
        <f>L17+L18</f>
        <v>0</v>
      </c>
      <c r="M16" s="894">
        <f>+M17+M18</f>
        <v>0</v>
      </c>
      <c r="N16" s="894">
        <f>+N17+N18</f>
        <v>2998443.591</v>
      </c>
      <c r="O16" s="894">
        <f>+O17+O18</f>
        <v>2366802.0269999998</v>
      </c>
      <c r="P16" s="894">
        <f t="shared" si="1"/>
        <v>14512868.591</v>
      </c>
      <c r="Q16" s="899">
        <f t="shared" ref="Q16:Z16" si="9">+Q17+Q18</f>
        <v>6274131.409</v>
      </c>
      <c r="R16" s="947">
        <f t="shared" si="9"/>
        <v>0</v>
      </c>
      <c r="S16" s="1057">
        <f t="shared" si="9"/>
        <v>0</v>
      </c>
      <c r="T16" s="1057">
        <f t="shared" si="9"/>
        <v>0</v>
      </c>
      <c r="U16" s="1057">
        <f t="shared" si="9"/>
        <v>0</v>
      </c>
      <c r="V16" s="1057">
        <f t="shared" si="9"/>
        <v>0</v>
      </c>
      <c r="W16" s="1057">
        <f t="shared" si="9"/>
        <v>0</v>
      </c>
      <c r="X16" s="1057">
        <f t="shared" si="9"/>
        <v>0</v>
      </c>
      <c r="Y16" s="1057">
        <f t="shared" si="9"/>
        <v>0</v>
      </c>
      <c r="Z16" s="1057">
        <f t="shared" si="9"/>
        <v>7549767.341</v>
      </c>
      <c r="AB16" s="892"/>
    </row>
    <row r="17" spans="1:28">
      <c r="A17" s="1052"/>
      <c r="B17" s="1056" t="s">
        <v>1763</v>
      </c>
      <c r="C17" s="900">
        <v>20667000</v>
      </c>
      <c r="D17" s="956"/>
      <c r="E17" s="1110">
        <v>879270</v>
      </c>
      <c r="F17" s="901">
        <v>1521661</v>
      </c>
      <c r="G17" s="901">
        <v>1292685</v>
      </c>
      <c r="H17" s="901">
        <v>875654</v>
      </c>
      <c r="I17" s="901">
        <v>1793266</v>
      </c>
      <c r="J17" s="901">
        <v>1999189</v>
      </c>
      <c r="K17" s="901">
        <v>1961408</v>
      </c>
      <c r="L17" s="901"/>
      <c r="M17" s="901"/>
      <c r="N17" s="901">
        <f>'DGCI '!M58</f>
        <v>2794099.659</v>
      </c>
      <c r="O17" s="901">
        <f>+'DGCI '!N58</f>
        <v>2210839.0159999998</v>
      </c>
      <c r="P17" s="901">
        <f t="shared" si="1"/>
        <v>13117232.659</v>
      </c>
      <c r="Q17" s="898">
        <f t="shared" ref="Q17:Q24" si="10">C17-P17</f>
        <v>7549767.341</v>
      </c>
      <c r="R17" s="1054"/>
      <c r="S17" s="902"/>
      <c r="T17" s="902"/>
      <c r="U17" s="902"/>
      <c r="V17" s="902"/>
      <c r="W17" s="902"/>
      <c r="X17" s="902"/>
      <c r="Y17" s="897"/>
      <c r="Z17" s="897">
        <f>Q17-Y17</f>
        <v>7549767.341</v>
      </c>
    </row>
    <row r="18" spans="1:28">
      <c r="A18" s="1052"/>
      <c r="B18" s="1056" t="s">
        <v>1764</v>
      </c>
      <c r="C18" s="900">
        <v>120000</v>
      </c>
      <c r="D18" s="956"/>
      <c r="E18" s="1110">
        <v>123971</v>
      </c>
      <c r="F18" s="901">
        <v>247215</v>
      </c>
      <c r="G18" s="901">
        <v>145571</v>
      </c>
      <c r="H18" s="901">
        <v>179104</v>
      </c>
      <c r="I18" s="901">
        <v>205532</v>
      </c>
      <c r="J18" s="901">
        <v>148630</v>
      </c>
      <c r="K18" s="901">
        <v>141269</v>
      </c>
      <c r="L18" s="901"/>
      <c r="M18" s="901"/>
      <c r="N18" s="901">
        <f>'DGCI '!M109</f>
        <v>204343.932</v>
      </c>
      <c r="O18" s="901">
        <f>+'DGCI '!N109</f>
        <v>155963.011</v>
      </c>
      <c r="P18" s="901">
        <f t="shared" si="1"/>
        <v>1395635.932</v>
      </c>
      <c r="Q18" s="898">
        <f t="shared" si="10"/>
        <v>-1275635.932</v>
      </c>
      <c r="R18" s="1054"/>
      <c r="S18" s="902"/>
      <c r="T18" s="902"/>
      <c r="U18" s="902"/>
      <c r="V18" s="902"/>
      <c r="W18" s="902"/>
      <c r="X18" s="902"/>
      <c r="Y18" s="897"/>
      <c r="Z18" s="897"/>
      <c r="AA18" s="892">
        <v>48136652</v>
      </c>
      <c r="AB18" s="892"/>
    </row>
    <row r="19" spans="1:28">
      <c r="A19" s="1052"/>
      <c r="B19" s="948" t="s">
        <v>1765</v>
      </c>
      <c r="C19" s="894">
        <f>+C20+C21</f>
        <v>4383995.5</v>
      </c>
      <c r="D19" s="947"/>
      <c r="E19" s="1082">
        <f t="shared" ref="E19:K19" si="11">+E20+E21</f>
        <v>194083.49400000001</v>
      </c>
      <c r="F19" s="894">
        <f t="shared" si="11"/>
        <v>129101.413</v>
      </c>
      <c r="G19" s="894">
        <f t="shared" si="11"/>
        <v>118689.92200000001</v>
      </c>
      <c r="H19" s="894">
        <f t="shared" si="11"/>
        <v>60882.186000000002</v>
      </c>
      <c r="I19" s="894">
        <f t="shared" si="11"/>
        <v>145550.552</v>
      </c>
      <c r="J19" s="894">
        <f t="shared" si="11"/>
        <v>73118.357000000004</v>
      </c>
      <c r="K19" s="894">
        <f t="shared" si="11"/>
        <v>81026.52</v>
      </c>
      <c r="L19" s="894">
        <f>L20</f>
        <v>0</v>
      </c>
      <c r="M19" s="894">
        <f>+M20</f>
        <v>0</v>
      </c>
      <c r="N19" s="894">
        <f>+N20</f>
        <v>0</v>
      </c>
      <c r="O19" s="894">
        <f>+O20</f>
        <v>0</v>
      </c>
      <c r="P19" s="894">
        <f t="shared" si="1"/>
        <v>802452.44400000002</v>
      </c>
      <c r="Q19" s="894">
        <f t="shared" si="10"/>
        <v>3581543.0559999999</v>
      </c>
      <c r="R19" s="1054"/>
      <c r="S19" s="902"/>
      <c r="T19" s="902"/>
      <c r="U19" s="902"/>
      <c r="V19" s="902"/>
      <c r="W19" s="902"/>
      <c r="X19" s="902"/>
      <c r="Y19" s="897"/>
      <c r="Z19" s="897"/>
      <c r="AA19" s="893">
        <v>41927299</v>
      </c>
      <c r="AB19" s="892"/>
    </row>
    <row r="20" spans="1:28">
      <c r="A20" s="1052"/>
      <c r="B20" s="1051" t="s">
        <v>2200</v>
      </c>
      <c r="C20" s="900">
        <v>4383995.5</v>
      </c>
      <c r="D20" s="956"/>
      <c r="E20" s="1111">
        <v>194083.49400000001</v>
      </c>
      <c r="F20" s="901">
        <v>129101.413</v>
      </c>
      <c r="G20" s="901">
        <v>118689.92200000001</v>
      </c>
      <c r="H20" s="901">
        <v>60882.186000000002</v>
      </c>
      <c r="I20" s="901">
        <v>145550.552</v>
      </c>
      <c r="J20" s="901">
        <v>73118.357000000004</v>
      </c>
      <c r="K20" s="901">
        <v>81026.52</v>
      </c>
      <c r="L20" s="901"/>
      <c r="M20" s="901"/>
      <c r="N20" s="901"/>
      <c r="O20" s="901"/>
      <c r="P20" s="901">
        <f>SUM(E20:O20)</f>
        <v>802452.44400000002</v>
      </c>
      <c r="Q20" s="898">
        <f t="shared" si="10"/>
        <v>3581543.0559999999</v>
      </c>
      <c r="R20" s="1055">
        <f>E20-Q20</f>
        <v>-3387459.5619999999</v>
      </c>
      <c r="S20" s="903">
        <f>F20-R20</f>
        <v>3516560.9750000001</v>
      </c>
      <c r="T20" s="903">
        <f>G20-S20</f>
        <v>-3397871.0530000003</v>
      </c>
      <c r="U20" s="903">
        <f>H20-T20</f>
        <v>3458753.2390000005</v>
      </c>
      <c r="V20" s="903">
        <f>I20-U20</f>
        <v>-3313202.6870000004</v>
      </c>
      <c r="W20" s="903">
        <f>P20-V20</f>
        <v>4115655.1310000005</v>
      </c>
      <c r="X20" s="903">
        <f>Q20-W20</f>
        <v>-534112.07500000065</v>
      </c>
      <c r="Y20" s="903">
        <f>R20-X20</f>
        <v>-2853347.4869999993</v>
      </c>
      <c r="Z20" s="903">
        <f>S20-Y20</f>
        <v>6369908.4619999994</v>
      </c>
    </row>
    <row r="21" spans="1:28">
      <c r="A21" s="1052"/>
      <c r="B21" s="1051" t="s">
        <v>1766</v>
      </c>
      <c r="C21" s="900">
        <v>0</v>
      </c>
      <c r="D21" s="956"/>
      <c r="E21" s="1110"/>
      <c r="F21" s="901"/>
      <c r="G21" s="901"/>
      <c r="H21" s="901"/>
      <c r="I21" s="901"/>
      <c r="J21" s="901"/>
      <c r="K21" s="901"/>
      <c r="L21" s="901"/>
      <c r="M21" s="901"/>
      <c r="N21" s="901"/>
      <c r="O21" s="901"/>
      <c r="P21" s="901">
        <f t="shared" si="1"/>
        <v>0</v>
      </c>
      <c r="Q21" s="898">
        <f t="shared" si="10"/>
        <v>0</v>
      </c>
      <c r="R21" s="1054"/>
      <c r="S21" s="902"/>
      <c r="T21" s="902"/>
      <c r="U21" s="902"/>
      <c r="V21" s="902"/>
      <c r="W21" s="902"/>
      <c r="X21" s="902"/>
      <c r="Y21" s="897"/>
      <c r="Z21" s="897"/>
      <c r="AA21" s="892">
        <f>+AA18-AA19</f>
        <v>6209353</v>
      </c>
    </row>
    <row r="22" spans="1:28">
      <c r="A22" s="1052"/>
      <c r="B22" s="948" t="s">
        <v>1767</v>
      </c>
      <c r="C22" s="894">
        <f>+C23+C24</f>
        <v>12000000</v>
      </c>
      <c r="D22" s="947"/>
      <c r="E22" s="1082">
        <f t="shared" ref="E22:L22" si="12">+E23+E24</f>
        <v>1497000</v>
      </c>
      <c r="F22" s="894">
        <f t="shared" si="12"/>
        <v>0</v>
      </c>
      <c r="G22" s="894">
        <f t="shared" si="12"/>
        <v>991000</v>
      </c>
      <c r="H22" s="894">
        <f t="shared" si="12"/>
        <v>0</v>
      </c>
      <c r="I22" s="894">
        <f t="shared" si="12"/>
        <v>0</v>
      </c>
      <c r="J22" s="894">
        <f t="shared" si="12"/>
        <v>0</v>
      </c>
      <c r="K22" s="894">
        <f t="shared" si="12"/>
        <v>0</v>
      </c>
      <c r="L22" s="894">
        <f t="shared" si="12"/>
        <v>0</v>
      </c>
      <c r="M22" s="894">
        <f>+M23+M24</f>
        <v>0</v>
      </c>
      <c r="N22" s="894">
        <f>+N23+N24</f>
        <v>0</v>
      </c>
      <c r="O22" s="894">
        <f>+O23+O24</f>
        <v>0</v>
      </c>
      <c r="P22" s="904">
        <f t="shared" si="1"/>
        <v>2488000</v>
      </c>
      <c r="Q22" s="899">
        <f t="shared" si="10"/>
        <v>9512000</v>
      </c>
      <c r="R22" s="1054"/>
      <c r="S22" s="902"/>
      <c r="T22" s="902"/>
      <c r="U22" s="902"/>
      <c r="V22" s="902"/>
      <c r="W22" s="902"/>
      <c r="X22" s="902"/>
      <c r="Y22" s="897"/>
      <c r="Z22" s="897"/>
    </row>
    <row r="23" spans="1:28">
      <c r="A23" s="1052"/>
      <c r="B23" s="1053" t="s">
        <v>1768</v>
      </c>
      <c r="C23" s="900">
        <v>12000000</v>
      </c>
      <c r="D23" s="956"/>
      <c r="E23" s="1111">
        <v>1497000</v>
      </c>
      <c r="F23" s="900">
        <v>0</v>
      </c>
      <c r="G23" s="900">
        <v>991000</v>
      </c>
      <c r="H23" s="900">
        <v>0</v>
      </c>
      <c r="I23" s="897">
        <v>0</v>
      </c>
      <c r="J23" s="897">
        <v>0</v>
      </c>
      <c r="K23" s="897">
        <v>0</v>
      </c>
      <c r="L23" s="897"/>
      <c r="M23" s="897"/>
      <c r="N23" s="897"/>
      <c r="O23" s="897"/>
      <c r="P23" s="897">
        <f t="shared" si="1"/>
        <v>2488000</v>
      </c>
      <c r="Q23" s="898">
        <f t="shared" si="10"/>
        <v>9512000</v>
      </c>
      <c r="R23" s="1043"/>
      <c r="S23" s="897"/>
      <c r="T23" s="897"/>
      <c r="U23" s="897"/>
      <c r="V23" s="905"/>
      <c r="W23" s="905"/>
      <c r="X23" s="906"/>
      <c r="Y23" s="905"/>
      <c r="Z23" s="905"/>
    </row>
    <row r="24" spans="1:28">
      <c r="A24" s="1052"/>
      <c r="B24" s="1051" t="s">
        <v>1769</v>
      </c>
      <c r="C24" s="897">
        <v>0</v>
      </c>
      <c r="D24" s="937"/>
      <c r="E24" s="1109">
        <v>0</v>
      </c>
      <c r="F24" s="897">
        <v>0</v>
      </c>
      <c r="G24" s="897">
        <v>0</v>
      </c>
      <c r="H24" s="897">
        <v>0</v>
      </c>
      <c r="I24" s="897">
        <v>0</v>
      </c>
      <c r="J24" s="897">
        <v>0</v>
      </c>
      <c r="K24" s="897">
        <v>0</v>
      </c>
      <c r="L24" s="897"/>
      <c r="M24" s="897"/>
      <c r="N24" s="897">
        <v>0</v>
      </c>
      <c r="O24" s="897"/>
      <c r="P24" s="897">
        <f t="shared" si="1"/>
        <v>0</v>
      </c>
      <c r="Q24" s="898">
        <f t="shared" si="10"/>
        <v>0</v>
      </c>
      <c r="R24" s="1043"/>
      <c r="S24" s="897"/>
      <c r="T24" s="897"/>
      <c r="U24" s="897"/>
      <c r="V24" s="905"/>
      <c r="W24" s="905"/>
      <c r="X24" s="905"/>
      <c r="Y24" s="905"/>
      <c r="Z24" s="905"/>
    </row>
    <row r="25" spans="1:28">
      <c r="A25" s="1052"/>
      <c r="B25" s="1077" t="s">
        <v>2203</v>
      </c>
      <c r="C25" s="897"/>
      <c r="D25" s="937"/>
      <c r="E25" s="1109"/>
      <c r="F25" s="897"/>
      <c r="G25" s="897"/>
      <c r="H25" s="897"/>
      <c r="I25" s="897"/>
      <c r="J25" s="897"/>
      <c r="K25" s="897"/>
      <c r="L25" s="897"/>
      <c r="M25" s="897"/>
      <c r="N25" s="897"/>
      <c r="O25" s="897"/>
      <c r="P25" s="897">
        <f t="shared" si="1"/>
        <v>0</v>
      </c>
      <c r="Q25" s="898"/>
      <c r="R25" s="1043"/>
      <c r="S25" s="897"/>
      <c r="T25" s="897"/>
      <c r="U25" s="897"/>
      <c r="V25" s="905"/>
      <c r="W25" s="905"/>
      <c r="X25" s="905"/>
      <c r="Y25" s="905"/>
      <c r="Z25" s="905"/>
      <c r="AB25" s="892"/>
    </row>
    <row r="26" spans="1:28" s="907" customFormat="1" ht="15.75">
      <c r="A26" s="1050"/>
      <c r="B26" s="1049" t="s">
        <v>1771</v>
      </c>
      <c r="C26" s="1112">
        <f>C29+C99+C129+C176+C322+C351+C386+C400</f>
        <v>18300640</v>
      </c>
      <c r="D26" s="1112">
        <f>D29+D99+D129+D176+D322+D400</f>
        <v>0</v>
      </c>
      <c r="E26" s="1112">
        <f>E29+E99+E129+E176+E322+E400</f>
        <v>2933767</v>
      </c>
      <c r="F26" s="1112">
        <f>F29+F99+F129+F176+F322+F400</f>
        <v>3663835</v>
      </c>
      <c r="G26" s="1112">
        <f t="shared" ref="G26:O26" si="13">+G27+G29+G99+G129+G176+G322+G351+G386+G399+G400</f>
        <v>3854700</v>
      </c>
      <c r="H26" s="1112">
        <f t="shared" si="13"/>
        <v>4583955</v>
      </c>
      <c r="I26" s="1112">
        <f t="shared" si="13"/>
        <v>3770647</v>
      </c>
      <c r="J26" s="1112">
        <f t="shared" si="13"/>
        <v>3450243</v>
      </c>
      <c r="K26" s="1112">
        <f t="shared" si="13"/>
        <v>0</v>
      </c>
      <c r="L26" s="1112">
        <f t="shared" si="13"/>
        <v>0</v>
      </c>
      <c r="M26" s="1112">
        <f t="shared" si="13"/>
        <v>0</v>
      </c>
      <c r="N26" s="1112">
        <f t="shared" si="13"/>
        <v>0</v>
      </c>
      <c r="O26" s="1112">
        <f t="shared" si="13"/>
        <v>1</v>
      </c>
      <c r="P26" s="1046">
        <f t="shared" si="1"/>
        <v>22257147</v>
      </c>
      <c r="Q26" s="1048">
        <f>C26-P26</f>
        <v>-3956507</v>
      </c>
      <c r="R26" s="1047">
        <f t="shared" ref="R26:Z26" si="14">R400+R386+R322+R176+R129+R99+R29+R352</f>
        <v>1144598.8285714285</v>
      </c>
      <c r="S26" s="1046">
        <f t="shared" si="14"/>
        <v>1144598.8285714285</v>
      </c>
      <c r="T26" s="1046">
        <f t="shared" si="14"/>
        <v>1144598.8285714285</v>
      </c>
      <c r="U26" s="1046">
        <f t="shared" si="14"/>
        <v>1144598.8285714285</v>
      </c>
      <c r="V26" s="1046">
        <f t="shared" si="14"/>
        <v>1144598.8285714285</v>
      </c>
      <c r="W26" s="1046">
        <f t="shared" si="14"/>
        <v>1144598.8285714285</v>
      </c>
      <c r="X26" s="1046">
        <f t="shared" si="14"/>
        <v>1144598.8285714285</v>
      </c>
      <c r="Y26" s="1046">
        <f t="shared" si="14"/>
        <v>8012191.7999999989</v>
      </c>
      <c r="Z26" s="1046">
        <f t="shared" si="14"/>
        <v>-12083263.799999997</v>
      </c>
      <c r="AB26" s="1154" t="e">
        <f>+P26-#REF!</f>
        <v>#REF!</v>
      </c>
    </row>
    <row r="27" spans="1:28" s="907" customFormat="1" ht="15.75">
      <c r="A27" s="948"/>
      <c r="B27" s="948" t="s">
        <v>2205</v>
      </c>
      <c r="C27" s="1137"/>
      <c r="D27" s="948"/>
      <c r="E27" s="1070"/>
      <c r="F27" s="1070"/>
      <c r="G27" s="1070"/>
      <c r="H27" s="1070"/>
      <c r="I27" s="1070"/>
      <c r="J27" s="1070"/>
      <c r="K27" s="1070"/>
      <c r="L27" s="1070">
        <f>L28</f>
        <v>0</v>
      </c>
      <c r="M27" s="1070">
        <f>M28</f>
        <v>0</v>
      </c>
      <c r="N27" s="1070">
        <f>N28</f>
        <v>0</v>
      </c>
      <c r="O27" s="1070">
        <f>O28</f>
        <v>0</v>
      </c>
      <c r="P27" s="1070">
        <f t="shared" si="1"/>
        <v>0</v>
      </c>
      <c r="Q27" s="1113">
        <f>+C27-P27</f>
        <v>0</v>
      </c>
      <c r="R27" s="1080"/>
      <c r="S27" s="1081"/>
      <c r="T27" s="1081"/>
      <c r="U27" s="1081"/>
      <c r="V27" s="1081"/>
      <c r="W27" s="1081"/>
      <c r="X27" s="1081"/>
      <c r="Y27" s="1081"/>
      <c r="Z27" s="1081"/>
    </row>
    <row r="28" spans="1:28" s="907" customFormat="1" ht="15.75">
      <c r="A28" s="945"/>
      <c r="B28" s="1083" t="s">
        <v>2206</v>
      </c>
      <c r="C28" s="908"/>
      <c r="D28" s="908"/>
      <c r="E28" s="653">
        <v>58596.042000000001</v>
      </c>
      <c r="F28" s="652">
        <v>54760.925999999999</v>
      </c>
      <c r="G28" s="652">
        <v>50262.728000000003</v>
      </c>
      <c r="H28" s="1044">
        <v>682842.14399999997</v>
      </c>
      <c r="I28" s="908">
        <v>943319.13300000003</v>
      </c>
      <c r="J28" s="908">
        <v>203729.736</v>
      </c>
      <c r="K28" s="908"/>
      <c r="L28" s="908"/>
      <c r="M28" s="908"/>
      <c r="N28" s="908"/>
      <c r="O28" s="908"/>
      <c r="P28" s="908">
        <f t="shared" si="1"/>
        <v>1993510.709</v>
      </c>
      <c r="Q28" s="1114">
        <f>+C28-P28</f>
        <v>-1993510.709</v>
      </c>
      <c r="R28" s="1080"/>
      <c r="S28" s="1081"/>
      <c r="T28" s="1081"/>
      <c r="U28" s="1081"/>
      <c r="V28" s="1081"/>
      <c r="W28" s="1081"/>
      <c r="X28" s="1081"/>
      <c r="Y28" s="1081"/>
      <c r="Z28" s="1081"/>
      <c r="AB28" s="1154"/>
    </row>
    <row r="29" spans="1:28">
      <c r="A29" s="949">
        <v>15</v>
      </c>
      <c r="B29" s="1078" t="s">
        <v>1772</v>
      </c>
      <c r="C29" s="1082">
        <f>C30</f>
        <v>114565</v>
      </c>
      <c r="D29" s="1099"/>
      <c r="E29" s="1079">
        <f t="shared" ref="E29:N29" si="15">E30</f>
        <v>0</v>
      </c>
      <c r="F29" s="1099">
        <f t="shared" si="15"/>
        <v>0</v>
      </c>
      <c r="G29" s="1070">
        <f t="shared" si="15"/>
        <v>0</v>
      </c>
      <c r="H29" s="894">
        <f t="shared" si="15"/>
        <v>0</v>
      </c>
      <c r="I29" s="894">
        <f t="shared" si="15"/>
        <v>0</v>
      </c>
      <c r="J29" s="894">
        <f t="shared" si="15"/>
        <v>0</v>
      </c>
      <c r="K29" s="894">
        <f t="shared" si="15"/>
        <v>0</v>
      </c>
      <c r="L29" s="894">
        <f t="shared" si="15"/>
        <v>0</v>
      </c>
      <c r="M29" s="894">
        <f t="shared" si="15"/>
        <v>0</v>
      </c>
      <c r="N29" s="894">
        <f t="shared" si="15"/>
        <v>0</v>
      </c>
      <c r="O29" s="894"/>
      <c r="P29" s="894">
        <f t="shared" si="1"/>
        <v>0</v>
      </c>
      <c r="Q29" s="899">
        <f t="shared" ref="Q29:Q92" si="16">C29-P29</f>
        <v>114565</v>
      </c>
      <c r="R29" s="1045"/>
      <c r="S29" s="966"/>
      <c r="T29" s="966"/>
      <c r="U29" s="966"/>
      <c r="V29" s="966"/>
      <c r="W29" s="966"/>
      <c r="X29" s="966"/>
      <c r="Y29" s="966"/>
      <c r="Z29" s="966"/>
      <c r="AB29" s="892"/>
    </row>
    <row r="30" spans="1:28" ht="13.5" hidden="1">
      <c r="A30" s="945">
        <v>151</v>
      </c>
      <c r="B30" s="944" t="s">
        <v>1773</v>
      </c>
      <c r="C30" s="1083">
        <f>SUM(C31:C39)</f>
        <v>114565</v>
      </c>
      <c r="D30" s="1100"/>
      <c r="E30" s="1091">
        <f t="shared" ref="E30:N30" si="17">SUM(E31:E39)</f>
        <v>0</v>
      </c>
      <c r="F30" s="1100">
        <f t="shared" si="17"/>
        <v>0</v>
      </c>
      <c r="G30" s="1091">
        <f t="shared" si="17"/>
        <v>0</v>
      </c>
      <c r="H30" s="944">
        <f t="shared" si="17"/>
        <v>0</v>
      </c>
      <c r="I30" s="944">
        <f t="shared" si="17"/>
        <v>0</v>
      </c>
      <c r="J30" s="944">
        <f t="shared" si="17"/>
        <v>0</v>
      </c>
      <c r="K30" s="944">
        <f t="shared" si="17"/>
        <v>0</v>
      </c>
      <c r="L30" s="944">
        <f t="shared" si="17"/>
        <v>0</v>
      </c>
      <c r="M30" s="944">
        <f t="shared" si="17"/>
        <v>0</v>
      </c>
      <c r="N30" s="944">
        <f t="shared" si="17"/>
        <v>0</v>
      </c>
      <c r="O30" s="944"/>
      <c r="P30" s="944">
        <f t="shared" si="1"/>
        <v>0</v>
      </c>
      <c r="Q30" s="1115">
        <f t="shared" si="16"/>
        <v>114565</v>
      </c>
      <c r="R30" s="1044"/>
      <c r="S30" s="908"/>
      <c r="T30" s="908"/>
      <c r="U30" s="908"/>
      <c r="V30" s="905"/>
      <c r="W30" s="905"/>
      <c r="X30" s="905"/>
      <c r="Y30" s="905"/>
      <c r="Z30" s="905"/>
      <c r="AA30" s="893">
        <f>18000+1276000+5000</f>
        <v>1299000</v>
      </c>
    </row>
    <row r="31" spans="1:28" ht="15" hidden="1" customHeight="1">
      <c r="A31" s="939">
        <v>1511</v>
      </c>
      <c r="B31" s="952" t="s">
        <v>1774</v>
      </c>
      <c r="C31" s="1084">
        <v>4950</v>
      </c>
      <c r="D31" s="1101"/>
      <c r="E31" s="1092">
        <v>0</v>
      </c>
      <c r="F31" s="1101"/>
      <c r="G31" s="1092"/>
      <c r="H31" s="952"/>
      <c r="I31" s="952"/>
      <c r="J31" s="952"/>
      <c r="K31" s="952"/>
      <c r="L31" s="952"/>
      <c r="M31" s="952"/>
      <c r="N31" s="952"/>
      <c r="O31" s="952"/>
      <c r="P31" s="944">
        <f t="shared" si="1"/>
        <v>0</v>
      </c>
      <c r="Q31" s="1116">
        <f t="shared" si="16"/>
        <v>4950</v>
      </c>
      <c r="R31" s="1043"/>
      <c r="S31" s="897"/>
      <c r="T31" s="897"/>
      <c r="U31" s="897"/>
      <c r="V31" s="905"/>
      <c r="W31" s="905"/>
      <c r="X31" s="905"/>
      <c r="Y31" s="905"/>
      <c r="Z31" s="905"/>
    </row>
    <row r="32" spans="1:28" hidden="1">
      <c r="A32" s="939">
        <v>1512</v>
      </c>
      <c r="B32" s="952" t="s">
        <v>1775</v>
      </c>
      <c r="C32" s="1084"/>
      <c r="D32" s="1101"/>
      <c r="E32" s="1092"/>
      <c r="F32" s="1101"/>
      <c r="G32" s="1092"/>
      <c r="H32" s="952"/>
      <c r="I32" s="952"/>
      <c r="J32" s="952"/>
      <c r="K32" s="952"/>
      <c r="L32" s="952"/>
      <c r="M32" s="952"/>
      <c r="N32" s="952"/>
      <c r="O32" s="952"/>
      <c r="P32" s="944">
        <f t="shared" ref="P32:P48" si="18">SUM(E32:N32)</f>
        <v>0</v>
      </c>
      <c r="Q32" s="1116">
        <f t="shared" si="16"/>
        <v>0</v>
      </c>
      <c r="R32" s="1043"/>
      <c r="S32" s="897"/>
      <c r="T32" s="897"/>
      <c r="U32" s="897"/>
      <c r="V32" s="905"/>
      <c r="W32" s="905"/>
      <c r="X32" s="905"/>
      <c r="Y32" s="905"/>
      <c r="Z32" s="905"/>
    </row>
    <row r="33" spans="1:26" hidden="1">
      <c r="A33" s="939">
        <v>1513</v>
      </c>
      <c r="B33" s="952" t="s">
        <v>1776</v>
      </c>
      <c r="C33" s="1084"/>
      <c r="D33" s="1101"/>
      <c r="E33" s="1092"/>
      <c r="F33" s="1101"/>
      <c r="G33" s="1092"/>
      <c r="H33" s="952"/>
      <c r="I33" s="952"/>
      <c r="J33" s="952"/>
      <c r="K33" s="952"/>
      <c r="L33" s="952"/>
      <c r="M33" s="952"/>
      <c r="N33" s="952"/>
      <c r="O33" s="952"/>
      <c r="P33" s="944">
        <f t="shared" si="18"/>
        <v>0</v>
      </c>
      <c r="Q33" s="1116">
        <f t="shared" si="16"/>
        <v>0</v>
      </c>
      <c r="R33" s="1043"/>
      <c r="S33" s="897"/>
      <c r="T33" s="897"/>
      <c r="U33" s="897"/>
      <c r="V33" s="905"/>
      <c r="W33" s="905"/>
      <c r="X33" s="905"/>
      <c r="Y33" s="905"/>
      <c r="Z33" s="905"/>
    </row>
    <row r="34" spans="1:26" hidden="1">
      <c r="A34" s="939">
        <v>1514</v>
      </c>
      <c r="B34" s="952" t="s">
        <v>1777</v>
      </c>
      <c r="C34" s="1084">
        <v>5075</v>
      </c>
      <c r="D34" s="1101"/>
      <c r="E34" s="1092"/>
      <c r="F34" s="1101"/>
      <c r="G34" s="1092"/>
      <c r="H34" s="952"/>
      <c r="I34" s="952"/>
      <c r="J34" s="952"/>
      <c r="K34" s="952"/>
      <c r="L34" s="952"/>
      <c r="M34" s="952"/>
      <c r="N34" s="952"/>
      <c r="O34" s="952"/>
      <c r="P34" s="944">
        <f t="shared" si="18"/>
        <v>0</v>
      </c>
      <c r="Q34" s="1116">
        <f t="shared" si="16"/>
        <v>5075</v>
      </c>
      <c r="R34" s="1043"/>
      <c r="S34" s="897"/>
      <c r="T34" s="897"/>
      <c r="U34" s="897"/>
      <c r="V34" s="905"/>
      <c r="W34" s="905"/>
      <c r="X34" s="905"/>
      <c r="Y34" s="905"/>
      <c r="Z34" s="905"/>
    </row>
    <row r="35" spans="1:26" hidden="1">
      <c r="A35" s="939">
        <v>1515</v>
      </c>
      <c r="B35" s="952" t="s">
        <v>1778</v>
      </c>
      <c r="C35" s="1084">
        <v>72050</v>
      </c>
      <c r="D35" s="1101"/>
      <c r="E35" s="1092"/>
      <c r="F35" s="1101"/>
      <c r="G35" s="1092"/>
      <c r="H35" s="952"/>
      <c r="I35" s="952"/>
      <c r="J35" s="952"/>
      <c r="K35" s="952"/>
      <c r="L35" s="952"/>
      <c r="M35" s="952"/>
      <c r="N35" s="952"/>
      <c r="O35" s="952"/>
      <c r="P35" s="944">
        <f t="shared" si="18"/>
        <v>0</v>
      </c>
      <c r="Q35" s="1116">
        <f t="shared" si="16"/>
        <v>72050</v>
      </c>
      <c r="R35" s="1043"/>
      <c r="S35" s="897"/>
      <c r="T35" s="897"/>
      <c r="U35" s="897"/>
      <c r="V35" s="905"/>
      <c r="W35" s="905"/>
      <c r="X35" s="905"/>
      <c r="Y35" s="905"/>
      <c r="Z35" s="905"/>
    </row>
    <row r="36" spans="1:26" hidden="1">
      <c r="A36" s="939">
        <v>1516</v>
      </c>
      <c r="B36" s="952" t="s">
        <v>1779</v>
      </c>
      <c r="C36" s="1084"/>
      <c r="D36" s="1101"/>
      <c r="E36" s="1092"/>
      <c r="F36" s="1101"/>
      <c r="G36" s="1092"/>
      <c r="H36" s="952"/>
      <c r="I36" s="952"/>
      <c r="J36" s="952"/>
      <c r="K36" s="952"/>
      <c r="L36" s="952"/>
      <c r="M36" s="952"/>
      <c r="N36" s="952"/>
      <c r="O36" s="952"/>
      <c r="P36" s="944">
        <f t="shared" si="18"/>
        <v>0</v>
      </c>
      <c r="Q36" s="1116">
        <f t="shared" si="16"/>
        <v>0</v>
      </c>
      <c r="R36" s="1043"/>
      <c r="S36" s="897"/>
      <c r="T36" s="897"/>
      <c r="U36" s="897"/>
      <c r="V36" s="905"/>
      <c r="W36" s="905"/>
      <c r="X36" s="905"/>
      <c r="Y36" s="905"/>
      <c r="Z36" s="905"/>
    </row>
    <row r="37" spans="1:26" hidden="1">
      <c r="A37" s="939">
        <v>1517</v>
      </c>
      <c r="B37" s="952" t="s">
        <v>1780</v>
      </c>
      <c r="C37" s="1084">
        <v>29000</v>
      </c>
      <c r="D37" s="1101"/>
      <c r="E37" s="1092"/>
      <c r="F37" s="1101"/>
      <c r="G37" s="1092"/>
      <c r="H37" s="952"/>
      <c r="I37" s="952"/>
      <c r="J37" s="952"/>
      <c r="K37" s="952"/>
      <c r="L37" s="952"/>
      <c r="M37" s="952"/>
      <c r="N37" s="952"/>
      <c r="O37" s="952"/>
      <c r="P37" s="944">
        <f t="shared" si="18"/>
        <v>0</v>
      </c>
      <c r="Q37" s="1116">
        <f t="shared" si="16"/>
        <v>29000</v>
      </c>
      <c r="R37" s="1043"/>
      <c r="S37" s="897"/>
      <c r="T37" s="897"/>
      <c r="U37" s="897"/>
      <c r="V37" s="905"/>
      <c r="W37" s="905"/>
      <c r="X37" s="905"/>
      <c r="Y37" s="905"/>
      <c r="Z37" s="905"/>
    </row>
    <row r="38" spans="1:26" hidden="1">
      <c r="A38" s="939">
        <v>1518</v>
      </c>
      <c r="B38" s="952" t="s">
        <v>1781</v>
      </c>
      <c r="C38" s="1084">
        <v>3490</v>
      </c>
      <c r="D38" s="1101"/>
      <c r="E38" s="1092"/>
      <c r="F38" s="1101"/>
      <c r="G38" s="1092"/>
      <c r="H38" s="952"/>
      <c r="I38" s="952"/>
      <c r="J38" s="952"/>
      <c r="K38" s="952"/>
      <c r="L38" s="952"/>
      <c r="M38" s="952"/>
      <c r="N38" s="952"/>
      <c r="O38" s="952"/>
      <c r="P38" s="944">
        <f t="shared" si="18"/>
        <v>0</v>
      </c>
      <c r="Q38" s="1116">
        <f t="shared" si="16"/>
        <v>3490</v>
      </c>
      <c r="R38" s="1043"/>
      <c r="S38" s="897"/>
      <c r="T38" s="897"/>
      <c r="U38" s="897"/>
      <c r="V38" s="905"/>
      <c r="W38" s="905"/>
      <c r="X38" s="905"/>
      <c r="Y38" s="905"/>
      <c r="Z38" s="905"/>
    </row>
    <row r="39" spans="1:26" hidden="1">
      <c r="A39" s="939">
        <v>1519</v>
      </c>
      <c r="B39" s="952" t="s">
        <v>1782</v>
      </c>
      <c r="C39" s="1084"/>
      <c r="D39" s="1101"/>
      <c r="E39" s="1092"/>
      <c r="F39" s="1101"/>
      <c r="G39" s="1092"/>
      <c r="H39" s="952"/>
      <c r="I39" s="952"/>
      <c r="J39" s="952"/>
      <c r="K39" s="952"/>
      <c r="L39" s="952"/>
      <c r="M39" s="952"/>
      <c r="N39" s="952"/>
      <c r="O39" s="952"/>
      <c r="P39" s="944">
        <f t="shared" si="18"/>
        <v>0</v>
      </c>
      <c r="Q39" s="1116">
        <f t="shared" si="16"/>
        <v>0</v>
      </c>
      <c r="R39" s="1043"/>
      <c r="S39" s="897"/>
      <c r="T39" s="897"/>
      <c r="U39" s="897"/>
      <c r="V39" s="905"/>
      <c r="W39" s="905"/>
      <c r="X39" s="905"/>
      <c r="Y39" s="905"/>
      <c r="Z39" s="905"/>
    </row>
    <row r="40" spans="1:26" hidden="1">
      <c r="A40" s="951">
        <v>152</v>
      </c>
      <c r="B40" s="950" t="s">
        <v>1783</v>
      </c>
      <c r="C40" s="1085"/>
      <c r="D40" s="1102"/>
      <c r="E40" s="1093"/>
      <c r="F40" s="1102"/>
      <c r="G40" s="1093"/>
      <c r="H40" s="950"/>
      <c r="I40" s="950"/>
      <c r="J40" s="950"/>
      <c r="K40" s="950"/>
      <c r="L40" s="950"/>
      <c r="M40" s="950"/>
      <c r="N40" s="950"/>
      <c r="O40" s="950"/>
      <c r="P40" s="944">
        <f t="shared" si="18"/>
        <v>0</v>
      </c>
      <c r="Q40" s="1117">
        <f t="shared" si="16"/>
        <v>0</v>
      </c>
      <c r="R40" s="1033"/>
      <c r="S40" s="1032"/>
      <c r="T40" s="1032"/>
      <c r="U40" s="1031"/>
    </row>
    <row r="41" spans="1:26" hidden="1">
      <c r="A41" s="939">
        <v>1521</v>
      </c>
      <c r="B41" s="952" t="s">
        <v>1784</v>
      </c>
      <c r="C41" s="1084"/>
      <c r="D41" s="1101"/>
      <c r="E41" s="1092"/>
      <c r="F41" s="1101"/>
      <c r="G41" s="1092"/>
      <c r="H41" s="952"/>
      <c r="I41" s="952"/>
      <c r="J41" s="952"/>
      <c r="K41" s="952"/>
      <c r="L41" s="952"/>
      <c r="M41" s="952"/>
      <c r="N41" s="952"/>
      <c r="O41" s="952"/>
      <c r="P41" s="944">
        <f t="shared" si="18"/>
        <v>0</v>
      </c>
      <c r="Q41" s="1116">
        <f t="shared" si="16"/>
        <v>0</v>
      </c>
      <c r="R41" s="1033"/>
      <c r="S41" s="1032"/>
      <c r="T41" s="1032"/>
      <c r="U41" s="1031"/>
    </row>
    <row r="42" spans="1:26" hidden="1">
      <c r="A42" s="939">
        <v>1522</v>
      </c>
      <c r="B42" s="952" t="s">
        <v>1785</v>
      </c>
      <c r="C42" s="1084"/>
      <c r="D42" s="1101"/>
      <c r="E42" s="1092"/>
      <c r="F42" s="1101"/>
      <c r="G42" s="1092"/>
      <c r="H42" s="952"/>
      <c r="I42" s="952"/>
      <c r="J42" s="952"/>
      <c r="K42" s="952"/>
      <c r="L42" s="952"/>
      <c r="M42" s="952"/>
      <c r="N42" s="952"/>
      <c r="O42" s="952"/>
      <c r="P42" s="944">
        <f t="shared" si="18"/>
        <v>0</v>
      </c>
      <c r="Q42" s="1116">
        <f t="shared" si="16"/>
        <v>0</v>
      </c>
      <c r="R42" s="1033"/>
      <c r="S42" s="1032"/>
      <c r="T42" s="1032"/>
      <c r="U42" s="1031"/>
    </row>
    <row r="43" spans="1:26" hidden="1">
      <c r="A43" s="939">
        <v>1523</v>
      </c>
      <c r="B43" s="952" t="s">
        <v>1786</v>
      </c>
      <c r="C43" s="1084"/>
      <c r="D43" s="1101"/>
      <c r="E43" s="1092"/>
      <c r="F43" s="1101"/>
      <c r="G43" s="1092"/>
      <c r="H43" s="952"/>
      <c r="I43" s="952"/>
      <c r="J43" s="952"/>
      <c r="K43" s="952"/>
      <c r="L43" s="952"/>
      <c r="M43" s="952"/>
      <c r="N43" s="952"/>
      <c r="O43" s="952"/>
      <c r="P43" s="944">
        <f t="shared" si="18"/>
        <v>0</v>
      </c>
      <c r="Q43" s="1116">
        <f t="shared" si="16"/>
        <v>0</v>
      </c>
      <c r="R43" s="1033"/>
      <c r="S43" s="1032"/>
      <c r="T43" s="1032"/>
      <c r="U43" s="1031"/>
    </row>
    <row r="44" spans="1:26" hidden="1">
      <c r="A44" s="939">
        <v>1524</v>
      </c>
      <c r="B44" s="952" t="s">
        <v>1787</v>
      </c>
      <c r="C44" s="1084"/>
      <c r="D44" s="1101"/>
      <c r="E44" s="1092"/>
      <c r="F44" s="1101"/>
      <c r="G44" s="1092"/>
      <c r="H44" s="952"/>
      <c r="I44" s="952"/>
      <c r="J44" s="952"/>
      <c r="K44" s="952"/>
      <c r="L44" s="952"/>
      <c r="M44" s="952"/>
      <c r="N44" s="952"/>
      <c r="O44" s="952"/>
      <c r="P44" s="944">
        <f t="shared" si="18"/>
        <v>0</v>
      </c>
      <c r="Q44" s="1116">
        <f t="shared" si="16"/>
        <v>0</v>
      </c>
      <c r="R44" s="1033"/>
      <c r="S44" s="1032"/>
      <c r="T44" s="1032"/>
      <c r="U44" s="1031"/>
    </row>
    <row r="45" spans="1:26" hidden="1">
      <c r="A45" s="939">
        <v>1525</v>
      </c>
      <c r="B45" s="952" t="s">
        <v>1788</v>
      </c>
      <c r="C45" s="1084"/>
      <c r="D45" s="1101"/>
      <c r="E45" s="1092"/>
      <c r="F45" s="1101"/>
      <c r="G45" s="1092"/>
      <c r="H45" s="952"/>
      <c r="I45" s="952"/>
      <c r="J45" s="952"/>
      <c r="K45" s="952"/>
      <c r="L45" s="952"/>
      <c r="M45" s="952"/>
      <c r="N45" s="952"/>
      <c r="O45" s="952"/>
      <c r="P45" s="944">
        <f t="shared" si="18"/>
        <v>0</v>
      </c>
      <c r="Q45" s="1116">
        <f t="shared" si="16"/>
        <v>0</v>
      </c>
      <c r="R45" s="1033"/>
      <c r="S45" s="1032"/>
      <c r="T45" s="1032"/>
      <c r="U45" s="1031"/>
    </row>
    <row r="46" spans="1:26" hidden="1">
      <c r="A46" s="939">
        <v>1526</v>
      </c>
      <c r="B46" s="952" t="s">
        <v>1789</v>
      </c>
      <c r="C46" s="1084"/>
      <c r="D46" s="1101"/>
      <c r="E46" s="1092"/>
      <c r="F46" s="1101"/>
      <c r="G46" s="1092"/>
      <c r="H46" s="952"/>
      <c r="I46" s="952"/>
      <c r="J46" s="952"/>
      <c r="K46" s="952"/>
      <c r="L46" s="952"/>
      <c r="M46" s="952"/>
      <c r="N46" s="952"/>
      <c r="O46" s="952"/>
      <c r="P46" s="944">
        <f t="shared" si="18"/>
        <v>0</v>
      </c>
      <c r="Q46" s="1116">
        <f t="shared" si="16"/>
        <v>0</v>
      </c>
      <c r="R46" s="1033"/>
      <c r="S46" s="1032"/>
      <c r="T46" s="1032"/>
      <c r="U46" s="1031"/>
    </row>
    <row r="47" spans="1:26" hidden="1">
      <c r="A47" s="939">
        <v>1527</v>
      </c>
      <c r="B47" s="952" t="s">
        <v>1790</v>
      </c>
      <c r="C47" s="1084"/>
      <c r="D47" s="1101"/>
      <c r="E47" s="1092"/>
      <c r="F47" s="1101"/>
      <c r="G47" s="1092"/>
      <c r="H47" s="952"/>
      <c r="I47" s="952"/>
      <c r="J47" s="952"/>
      <c r="K47" s="952"/>
      <c r="L47" s="952"/>
      <c r="M47" s="952"/>
      <c r="N47" s="952"/>
      <c r="O47" s="952"/>
      <c r="P47" s="944">
        <f t="shared" si="18"/>
        <v>0</v>
      </c>
      <c r="Q47" s="1116">
        <f t="shared" si="16"/>
        <v>0</v>
      </c>
      <c r="R47" s="1033"/>
      <c r="S47" s="1032"/>
      <c r="T47" s="1032"/>
      <c r="U47" s="1031"/>
    </row>
    <row r="48" spans="1:26" hidden="1">
      <c r="A48" s="939">
        <v>1529</v>
      </c>
      <c r="B48" s="952" t="s">
        <v>1791</v>
      </c>
      <c r="C48" s="1084"/>
      <c r="D48" s="1101"/>
      <c r="E48" s="1092"/>
      <c r="F48" s="1101"/>
      <c r="G48" s="1092"/>
      <c r="H48" s="952"/>
      <c r="I48" s="952"/>
      <c r="J48" s="952"/>
      <c r="K48" s="952"/>
      <c r="L48" s="952"/>
      <c r="M48" s="952"/>
      <c r="N48" s="952"/>
      <c r="O48" s="952"/>
      <c r="P48" s="944">
        <f t="shared" si="18"/>
        <v>0</v>
      </c>
      <c r="Q48" s="1116">
        <f t="shared" si="16"/>
        <v>0</v>
      </c>
      <c r="R48" s="1033"/>
      <c r="S48" s="1032"/>
      <c r="T48" s="1032"/>
      <c r="U48" s="1031"/>
    </row>
    <row r="49" spans="1:21" hidden="1">
      <c r="A49" s="951">
        <v>153</v>
      </c>
      <c r="B49" s="950" t="s">
        <v>1792</v>
      </c>
      <c r="C49" s="1085"/>
      <c r="D49" s="1102"/>
      <c r="E49" s="1093"/>
      <c r="F49" s="1102"/>
      <c r="G49" s="1093"/>
      <c r="H49" s="950"/>
      <c r="I49" s="950"/>
      <c r="J49" s="950"/>
      <c r="K49" s="950"/>
      <c r="L49" s="950"/>
      <c r="M49" s="950"/>
      <c r="N49" s="950"/>
      <c r="O49" s="950"/>
      <c r="P49" s="950"/>
      <c r="Q49" s="1117">
        <f t="shared" si="16"/>
        <v>0</v>
      </c>
      <c r="R49" s="1033"/>
      <c r="S49" s="1032"/>
      <c r="T49" s="1032"/>
      <c r="U49" s="1031"/>
    </row>
    <row r="50" spans="1:21" hidden="1">
      <c r="A50" s="939">
        <v>1531</v>
      </c>
      <c r="B50" s="952" t="s">
        <v>1793</v>
      </c>
      <c r="C50" s="1084"/>
      <c r="D50" s="1101"/>
      <c r="E50" s="1092"/>
      <c r="F50" s="1101"/>
      <c r="G50" s="1092"/>
      <c r="H50" s="952"/>
      <c r="I50" s="952"/>
      <c r="J50" s="952"/>
      <c r="K50" s="952"/>
      <c r="L50" s="952"/>
      <c r="M50" s="952"/>
      <c r="N50" s="952"/>
      <c r="O50" s="952"/>
      <c r="P50" s="952"/>
      <c r="Q50" s="1116">
        <f t="shared" si="16"/>
        <v>0</v>
      </c>
      <c r="R50" s="1033"/>
      <c r="S50" s="1032"/>
      <c r="T50" s="1032"/>
      <c r="U50" s="1031"/>
    </row>
    <row r="51" spans="1:21" hidden="1">
      <c r="A51" s="939">
        <v>1532</v>
      </c>
      <c r="B51" s="952" t="s">
        <v>1794</v>
      </c>
      <c r="C51" s="1084"/>
      <c r="D51" s="1101"/>
      <c r="E51" s="1092"/>
      <c r="F51" s="1101"/>
      <c r="G51" s="1092"/>
      <c r="H51" s="952"/>
      <c r="I51" s="952"/>
      <c r="J51" s="952"/>
      <c r="K51" s="952"/>
      <c r="L51" s="952"/>
      <c r="M51" s="952"/>
      <c r="N51" s="952"/>
      <c r="O51" s="952"/>
      <c r="P51" s="952"/>
      <c r="Q51" s="1116">
        <f t="shared" si="16"/>
        <v>0</v>
      </c>
      <c r="R51" s="1033"/>
      <c r="S51" s="1032"/>
      <c r="T51" s="1032"/>
      <c r="U51" s="1031"/>
    </row>
    <row r="52" spans="1:21" hidden="1">
      <c r="A52" s="939">
        <v>1533</v>
      </c>
      <c r="B52" s="952" t="s">
        <v>1795</v>
      </c>
      <c r="C52" s="1084"/>
      <c r="D52" s="1101"/>
      <c r="E52" s="1092"/>
      <c r="F52" s="1101"/>
      <c r="G52" s="1092"/>
      <c r="H52" s="952"/>
      <c r="I52" s="952"/>
      <c r="J52" s="952"/>
      <c r="K52" s="952"/>
      <c r="L52" s="952"/>
      <c r="M52" s="952"/>
      <c r="N52" s="952"/>
      <c r="O52" s="952"/>
      <c r="P52" s="952"/>
      <c r="Q52" s="1116">
        <f t="shared" si="16"/>
        <v>0</v>
      </c>
      <c r="R52" s="1033"/>
      <c r="S52" s="1032"/>
      <c r="T52" s="1032"/>
      <c r="U52" s="1031"/>
    </row>
    <row r="53" spans="1:21" hidden="1">
      <c r="A53" s="939">
        <v>1534</v>
      </c>
      <c r="B53" s="952" t="s">
        <v>1796</v>
      </c>
      <c r="C53" s="1084"/>
      <c r="D53" s="1101"/>
      <c r="E53" s="1092"/>
      <c r="F53" s="1101"/>
      <c r="G53" s="1092"/>
      <c r="H53" s="952"/>
      <c r="I53" s="952"/>
      <c r="J53" s="952"/>
      <c r="K53" s="952"/>
      <c r="L53" s="952"/>
      <c r="M53" s="952"/>
      <c r="N53" s="952"/>
      <c r="O53" s="952"/>
      <c r="P53" s="952"/>
      <c r="Q53" s="1116">
        <f t="shared" si="16"/>
        <v>0</v>
      </c>
      <c r="R53" s="1033"/>
      <c r="S53" s="1032"/>
      <c r="T53" s="1032"/>
      <c r="U53" s="1031"/>
    </row>
    <row r="54" spans="1:21" hidden="1">
      <c r="A54" s="939">
        <v>1539</v>
      </c>
      <c r="B54" s="952" t="s">
        <v>1791</v>
      </c>
      <c r="C54" s="1084"/>
      <c r="D54" s="1101"/>
      <c r="E54" s="1092"/>
      <c r="F54" s="1101"/>
      <c r="G54" s="1092"/>
      <c r="H54" s="952"/>
      <c r="I54" s="952"/>
      <c r="J54" s="952"/>
      <c r="K54" s="952"/>
      <c r="L54" s="952"/>
      <c r="M54" s="952"/>
      <c r="N54" s="952"/>
      <c r="O54" s="952"/>
      <c r="P54" s="952"/>
      <c r="Q54" s="1116">
        <f t="shared" si="16"/>
        <v>0</v>
      </c>
      <c r="R54" s="1033"/>
      <c r="S54" s="1032"/>
      <c r="T54" s="1032"/>
      <c r="U54" s="1031"/>
    </row>
    <row r="55" spans="1:21" hidden="1">
      <c r="A55" s="958">
        <v>155</v>
      </c>
      <c r="B55" s="957" t="s">
        <v>1797</v>
      </c>
      <c r="C55" s="1086"/>
      <c r="D55" s="1103"/>
      <c r="E55" s="1094"/>
      <c r="F55" s="1103"/>
      <c r="G55" s="1094"/>
      <c r="H55" s="957"/>
      <c r="I55" s="957"/>
      <c r="J55" s="957"/>
      <c r="K55" s="957"/>
      <c r="L55" s="957"/>
      <c r="M55" s="957"/>
      <c r="N55" s="957"/>
      <c r="O55" s="957"/>
      <c r="P55" s="957"/>
      <c r="Q55" s="1118">
        <f t="shared" si="16"/>
        <v>0</v>
      </c>
      <c r="R55" s="1033"/>
      <c r="S55" s="1032"/>
      <c r="T55" s="1032"/>
      <c r="U55" s="1031"/>
    </row>
    <row r="56" spans="1:21" hidden="1">
      <c r="A56" s="951">
        <v>157</v>
      </c>
      <c r="B56" s="950" t="s">
        <v>1798</v>
      </c>
      <c r="C56" s="1085"/>
      <c r="D56" s="1102"/>
      <c r="E56" s="1093"/>
      <c r="F56" s="1102"/>
      <c r="G56" s="1093"/>
      <c r="H56" s="950"/>
      <c r="I56" s="950"/>
      <c r="J56" s="950"/>
      <c r="K56" s="950"/>
      <c r="L56" s="950"/>
      <c r="M56" s="950"/>
      <c r="N56" s="950"/>
      <c r="O56" s="950"/>
      <c r="P56" s="950"/>
      <c r="Q56" s="1117">
        <f t="shared" si="16"/>
        <v>0</v>
      </c>
      <c r="R56" s="1033"/>
      <c r="S56" s="1032"/>
      <c r="T56" s="1032"/>
      <c r="U56" s="1031"/>
    </row>
    <row r="57" spans="1:21" hidden="1">
      <c r="A57" s="939">
        <v>1571</v>
      </c>
      <c r="B57" s="952" t="s">
        <v>1799</v>
      </c>
      <c r="C57" s="1084"/>
      <c r="D57" s="1101"/>
      <c r="E57" s="1092"/>
      <c r="F57" s="1101"/>
      <c r="G57" s="1092"/>
      <c r="H57" s="952"/>
      <c r="I57" s="952"/>
      <c r="J57" s="952"/>
      <c r="K57" s="952"/>
      <c r="L57" s="952"/>
      <c r="M57" s="952"/>
      <c r="N57" s="952"/>
      <c r="O57" s="952"/>
      <c r="P57" s="952"/>
      <c r="Q57" s="1116">
        <f t="shared" si="16"/>
        <v>0</v>
      </c>
      <c r="R57" s="1033"/>
      <c r="S57" s="1032"/>
      <c r="T57" s="1032"/>
      <c r="U57" s="1031"/>
    </row>
    <row r="58" spans="1:21" hidden="1">
      <c r="A58" s="939">
        <v>1572</v>
      </c>
      <c r="B58" s="1042" t="s">
        <v>1800</v>
      </c>
      <c r="C58" s="1087"/>
      <c r="D58" s="1104"/>
      <c r="E58" s="1095"/>
      <c r="F58" s="1104"/>
      <c r="G58" s="1095"/>
      <c r="H58" s="1042"/>
      <c r="I58" s="1042"/>
      <c r="J58" s="1042"/>
      <c r="K58" s="1042"/>
      <c r="L58" s="1042"/>
      <c r="M58" s="1042"/>
      <c r="N58" s="1042"/>
      <c r="O58" s="1042"/>
      <c r="P58" s="1042"/>
      <c r="Q58" s="1119">
        <f t="shared" si="16"/>
        <v>0</v>
      </c>
      <c r="R58" s="1033"/>
      <c r="S58" s="1032"/>
      <c r="T58" s="1032"/>
      <c r="U58" s="1031"/>
    </row>
    <row r="59" spans="1:21" hidden="1">
      <c r="A59" s="951">
        <v>158</v>
      </c>
      <c r="B59" s="950" t="s">
        <v>1801</v>
      </c>
      <c r="C59" s="1085"/>
      <c r="D59" s="1102"/>
      <c r="E59" s="1093"/>
      <c r="F59" s="1102"/>
      <c r="G59" s="1093"/>
      <c r="H59" s="950"/>
      <c r="I59" s="950"/>
      <c r="J59" s="950"/>
      <c r="K59" s="950"/>
      <c r="L59" s="950"/>
      <c r="M59" s="950"/>
      <c r="N59" s="950"/>
      <c r="O59" s="950"/>
      <c r="P59" s="950"/>
      <c r="Q59" s="1117">
        <f t="shared" si="16"/>
        <v>0</v>
      </c>
      <c r="R59" s="1033"/>
      <c r="S59" s="1032"/>
      <c r="T59" s="1032"/>
      <c r="U59" s="1031"/>
    </row>
    <row r="60" spans="1:21" hidden="1">
      <c r="A60" s="939">
        <v>1581</v>
      </c>
      <c r="B60" s="952" t="s">
        <v>1802</v>
      </c>
      <c r="C60" s="1084"/>
      <c r="D60" s="1101"/>
      <c r="E60" s="1092"/>
      <c r="F60" s="1101"/>
      <c r="G60" s="1092"/>
      <c r="H60" s="952"/>
      <c r="I60" s="952"/>
      <c r="J60" s="952"/>
      <c r="K60" s="952"/>
      <c r="L60" s="952"/>
      <c r="M60" s="952"/>
      <c r="N60" s="952"/>
      <c r="O60" s="952"/>
      <c r="P60" s="952"/>
      <c r="Q60" s="1116">
        <f t="shared" si="16"/>
        <v>0</v>
      </c>
      <c r="R60" s="1033"/>
      <c r="S60" s="1032"/>
      <c r="T60" s="1032"/>
      <c r="U60" s="1031"/>
    </row>
    <row r="61" spans="1:21" hidden="1">
      <c r="A61" s="939">
        <v>1582</v>
      </c>
      <c r="B61" s="952" t="s">
        <v>1803</v>
      </c>
      <c r="C61" s="1084"/>
      <c r="D61" s="1101"/>
      <c r="E61" s="1092"/>
      <c r="F61" s="1101"/>
      <c r="G61" s="1092"/>
      <c r="H61" s="952"/>
      <c r="I61" s="952"/>
      <c r="J61" s="952"/>
      <c r="K61" s="952"/>
      <c r="L61" s="952"/>
      <c r="M61" s="952"/>
      <c r="N61" s="952"/>
      <c r="O61" s="952"/>
      <c r="P61" s="952"/>
      <c r="Q61" s="1116">
        <f t="shared" si="16"/>
        <v>0</v>
      </c>
      <c r="R61" s="1033"/>
      <c r="S61" s="1032"/>
      <c r="T61" s="1032"/>
      <c r="U61" s="1031"/>
    </row>
    <row r="62" spans="1:21" hidden="1">
      <c r="A62" s="945">
        <v>16</v>
      </c>
      <c r="B62" s="1041" t="s">
        <v>1804</v>
      </c>
      <c r="C62" s="1088"/>
      <c r="D62" s="1105"/>
      <c r="E62" s="1096"/>
      <c r="F62" s="1105"/>
      <c r="G62" s="1096"/>
      <c r="H62" s="1041"/>
      <c r="I62" s="1041"/>
      <c r="J62" s="1041"/>
      <c r="K62" s="1041"/>
      <c r="L62" s="1041"/>
      <c r="M62" s="1041"/>
      <c r="N62" s="1041"/>
      <c r="O62" s="1041"/>
      <c r="P62" s="1041"/>
      <c r="Q62" s="1120">
        <f t="shared" si="16"/>
        <v>0</v>
      </c>
      <c r="R62" s="1033"/>
      <c r="S62" s="1032"/>
      <c r="T62" s="1032"/>
      <c r="U62" s="1031"/>
    </row>
    <row r="63" spans="1:21" hidden="1">
      <c r="A63" s="951">
        <v>161</v>
      </c>
      <c r="B63" s="950" t="s">
        <v>1805</v>
      </c>
      <c r="C63" s="1085"/>
      <c r="D63" s="1102"/>
      <c r="E63" s="1093"/>
      <c r="F63" s="1102"/>
      <c r="G63" s="1093"/>
      <c r="H63" s="950"/>
      <c r="I63" s="950"/>
      <c r="J63" s="950"/>
      <c r="K63" s="950"/>
      <c r="L63" s="950"/>
      <c r="M63" s="950"/>
      <c r="N63" s="950"/>
      <c r="O63" s="950"/>
      <c r="P63" s="950"/>
      <c r="Q63" s="1117">
        <f t="shared" si="16"/>
        <v>0</v>
      </c>
      <c r="R63" s="1033"/>
      <c r="S63" s="1032"/>
      <c r="T63" s="1032"/>
      <c r="U63" s="1031"/>
    </row>
    <row r="64" spans="1:21" hidden="1">
      <c r="A64" s="939">
        <v>1611</v>
      </c>
      <c r="B64" s="952" t="s">
        <v>1806</v>
      </c>
      <c r="C64" s="1084"/>
      <c r="D64" s="1101"/>
      <c r="E64" s="1092"/>
      <c r="F64" s="1101"/>
      <c r="G64" s="1092"/>
      <c r="H64" s="952"/>
      <c r="I64" s="952"/>
      <c r="J64" s="952"/>
      <c r="K64" s="952"/>
      <c r="L64" s="952"/>
      <c r="M64" s="952"/>
      <c r="N64" s="952"/>
      <c r="O64" s="952"/>
      <c r="P64" s="952"/>
      <c r="Q64" s="1116">
        <f t="shared" si="16"/>
        <v>0</v>
      </c>
      <c r="R64" s="1033"/>
      <c r="S64" s="1032"/>
      <c r="T64" s="1032"/>
      <c r="U64" s="1031"/>
    </row>
    <row r="65" spans="1:21" hidden="1">
      <c r="A65" s="939">
        <v>1612</v>
      </c>
      <c r="B65" s="952" t="s">
        <v>1807</v>
      </c>
      <c r="C65" s="1084"/>
      <c r="D65" s="1101"/>
      <c r="E65" s="1092"/>
      <c r="F65" s="1101"/>
      <c r="G65" s="1092"/>
      <c r="H65" s="952"/>
      <c r="I65" s="952"/>
      <c r="J65" s="952"/>
      <c r="K65" s="952"/>
      <c r="L65" s="952"/>
      <c r="M65" s="952"/>
      <c r="N65" s="952"/>
      <c r="O65" s="952"/>
      <c r="P65" s="952"/>
      <c r="Q65" s="1116">
        <f t="shared" si="16"/>
        <v>0</v>
      </c>
      <c r="R65" s="1033"/>
      <c r="S65" s="1032"/>
      <c r="T65" s="1032"/>
      <c r="U65" s="1031"/>
    </row>
    <row r="66" spans="1:21" hidden="1">
      <c r="A66" s="939">
        <v>1613</v>
      </c>
      <c r="B66" s="952" t="s">
        <v>1808</v>
      </c>
      <c r="C66" s="1084"/>
      <c r="D66" s="1101"/>
      <c r="E66" s="1092"/>
      <c r="F66" s="1101"/>
      <c r="G66" s="1092"/>
      <c r="H66" s="952"/>
      <c r="I66" s="952"/>
      <c r="J66" s="952"/>
      <c r="K66" s="952"/>
      <c r="L66" s="952"/>
      <c r="M66" s="952"/>
      <c r="N66" s="952"/>
      <c r="O66" s="952"/>
      <c r="P66" s="952"/>
      <c r="Q66" s="1116">
        <f t="shared" si="16"/>
        <v>0</v>
      </c>
      <c r="R66" s="1033"/>
      <c r="S66" s="1032"/>
      <c r="T66" s="1032"/>
      <c r="U66" s="1031"/>
    </row>
    <row r="67" spans="1:21" hidden="1">
      <c r="A67" s="939">
        <v>6114</v>
      </c>
      <c r="B67" s="952" t="s">
        <v>1809</v>
      </c>
      <c r="C67" s="1084"/>
      <c r="D67" s="1101"/>
      <c r="E67" s="1092"/>
      <c r="F67" s="1101"/>
      <c r="G67" s="1092"/>
      <c r="H67" s="952"/>
      <c r="I67" s="952"/>
      <c r="J67" s="952"/>
      <c r="K67" s="952"/>
      <c r="L67" s="952"/>
      <c r="M67" s="952"/>
      <c r="N67" s="952"/>
      <c r="O67" s="952"/>
      <c r="P67" s="952"/>
      <c r="Q67" s="1116">
        <f t="shared" si="16"/>
        <v>0</v>
      </c>
      <c r="R67" s="1033"/>
      <c r="S67" s="1032"/>
      <c r="T67" s="1032"/>
      <c r="U67" s="1031"/>
    </row>
    <row r="68" spans="1:21" hidden="1">
      <c r="A68" s="939">
        <v>6115</v>
      </c>
      <c r="B68" s="952" t="s">
        <v>1810</v>
      </c>
      <c r="C68" s="1084"/>
      <c r="D68" s="1101"/>
      <c r="E68" s="1092"/>
      <c r="F68" s="1101"/>
      <c r="G68" s="1092"/>
      <c r="H68" s="952"/>
      <c r="I68" s="952"/>
      <c r="J68" s="952"/>
      <c r="K68" s="952"/>
      <c r="L68" s="952"/>
      <c r="M68" s="952"/>
      <c r="N68" s="952"/>
      <c r="O68" s="952"/>
      <c r="P68" s="952"/>
      <c r="Q68" s="1116">
        <f t="shared" si="16"/>
        <v>0</v>
      </c>
      <c r="R68" s="1033"/>
      <c r="S68" s="1032"/>
      <c r="T68" s="1032"/>
      <c r="U68" s="1031"/>
    </row>
    <row r="69" spans="1:21" hidden="1">
      <c r="A69" s="939">
        <v>6116</v>
      </c>
      <c r="B69" s="952" t="s">
        <v>1811</v>
      </c>
      <c r="C69" s="1084"/>
      <c r="D69" s="1101"/>
      <c r="E69" s="1092"/>
      <c r="F69" s="1101"/>
      <c r="G69" s="1092"/>
      <c r="H69" s="952"/>
      <c r="I69" s="952"/>
      <c r="J69" s="952"/>
      <c r="K69" s="952"/>
      <c r="L69" s="952"/>
      <c r="M69" s="952"/>
      <c r="N69" s="952"/>
      <c r="O69" s="952"/>
      <c r="P69" s="952"/>
      <c r="Q69" s="1116">
        <f t="shared" si="16"/>
        <v>0</v>
      </c>
      <c r="R69" s="1033"/>
      <c r="S69" s="1032"/>
      <c r="T69" s="1032"/>
      <c r="U69" s="1031"/>
    </row>
    <row r="70" spans="1:21" hidden="1">
      <c r="A70" s="939">
        <v>6117</v>
      </c>
      <c r="B70" s="952" t="s">
        <v>1812</v>
      </c>
      <c r="C70" s="1084"/>
      <c r="D70" s="1101"/>
      <c r="E70" s="1092"/>
      <c r="F70" s="1101"/>
      <c r="G70" s="1092"/>
      <c r="H70" s="952"/>
      <c r="I70" s="952"/>
      <c r="J70" s="952"/>
      <c r="K70" s="952"/>
      <c r="L70" s="952"/>
      <c r="M70" s="952"/>
      <c r="N70" s="952"/>
      <c r="O70" s="952"/>
      <c r="P70" s="952"/>
      <c r="Q70" s="1116">
        <f t="shared" si="16"/>
        <v>0</v>
      </c>
      <c r="R70" s="1033"/>
      <c r="S70" s="1032"/>
      <c r="T70" s="1032"/>
      <c r="U70" s="1031"/>
    </row>
    <row r="71" spans="1:21" hidden="1">
      <c r="A71" s="951">
        <v>162</v>
      </c>
      <c r="B71" s="950" t="s">
        <v>1813</v>
      </c>
      <c r="C71" s="1085"/>
      <c r="D71" s="1102"/>
      <c r="E71" s="1093"/>
      <c r="F71" s="1102"/>
      <c r="G71" s="1093"/>
      <c r="H71" s="950"/>
      <c r="I71" s="950"/>
      <c r="J71" s="950"/>
      <c r="K71" s="950"/>
      <c r="L71" s="950"/>
      <c r="M71" s="950"/>
      <c r="N71" s="950"/>
      <c r="O71" s="950"/>
      <c r="P71" s="950"/>
      <c r="Q71" s="1117">
        <f t="shared" si="16"/>
        <v>0</v>
      </c>
      <c r="R71" s="1033"/>
      <c r="S71" s="1032"/>
      <c r="T71" s="1032"/>
      <c r="U71" s="1031"/>
    </row>
    <row r="72" spans="1:21" hidden="1">
      <c r="A72" s="939">
        <v>1621</v>
      </c>
      <c r="B72" s="952" t="s">
        <v>1814</v>
      </c>
      <c r="C72" s="1084"/>
      <c r="D72" s="1101"/>
      <c r="E72" s="1092"/>
      <c r="F72" s="1101"/>
      <c r="G72" s="1092"/>
      <c r="H72" s="952"/>
      <c r="I72" s="952"/>
      <c r="J72" s="952"/>
      <c r="K72" s="952"/>
      <c r="L72" s="952"/>
      <c r="M72" s="952"/>
      <c r="N72" s="952"/>
      <c r="O72" s="952"/>
      <c r="P72" s="952"/>
      <c r="Q72" s="1116">
        <f t="shared" si="16"/>
        <v>0</v>
      </c>
      <c r="R72" s="1033"/>
      <c r="S72" s="1032"/>
      <c r="T72" s="1032"/>
      <c r="U72" s="1031"/>
    </row>
    <row r="73" spans="1:21" hidden="1">
      <c r="A73" s="939">
        <v>1622</v>
      </c>
      <c r="B73" s="952" t="s">
        <v>1815</v>
      </c>
      <c r="C73" s="1084"/>
      <c r="D73" s="1101"/>
      <c r="E73" s="1092"/>
      <c r="F73" s="1101"/>
      <c r="G73" s="1092"/>
      <c r="H73" s="952"/>
      <c r="I73" s="952"/>
      <c r="J73" s="952"/>
      <c r="K73" s="952"/>
      <c r="L73" s="952"/>
      <c r="M73" s="952"/>
      <c r="N73" s="952"/>
      <c r="O73" s="952"/>
      <c r="P73" s="952"/>
      <c r="Q73" s="1116">
        <f t="shared" si="16"/>
        <v>0</v>
      </c>
      <c r="R73" s="1033"/>
      <c r="S73" s="1032"/>
      <c r="T73" s="1032"/>
      <c r="U73" s="1031"/>
    </row>
    <row r="74" spans="1:21" hidden="1">
      <c r="A74" s="939">
        <v>1623</v>
      </c>
      <c r="B74" s="952" t="s">
        <v>1816</v>
      </c>
      <c r="C74" s="1084"/>
      <c r="D74" s="1101"/>
      <c r="E74" s="1092"/>
      <c r="F74" s="1101"/>
      <c r="G74" s="1092"/>
      <c r="H74" s="952"/>
      <c r="I74" s="952"/>
      <c r="J74" s="952"/>
      <c r="K74" s="952"/>
      <c r="L74" s="952"/>
      <c r="M74" s="952"/>
      <c r="N74" s="952"/>
      <c r="O74" s="952"/>
      <c r="P74" s="952"/>
      <c r="Q74" s="1116">
        <f t="shared" si="16"/>
        <v>0</v>
      </c>
      <c r="R74" s="1033"/>
      <c r="S74" s="1032"/>
      <c r="T74" s="1032"/>
      <c r="U74" s="1031"/>
    </row>
    <row r="75" spans="1:21" hidden="1">
      <c r="A75" s="939">
        <v>1624</v>
      </c>
      <c r="B75" s="952" t="s">
        <v>1817</v>
      </c>
      <c r="C75" s="1084"/>
      <c r="D75" s="1101"/>
      <c r="E75" s="1092"/>
      <c r="F75" s="1101"/>
      <c r="G75" s="1092"/>
      <c r="H75" s="952"/>
      <c r="I75" s="952"/>
      <c r="J75" s="952"/>
      <c r="K75" s="952"/>
      <c r="L75" s="952"/>
      <c r="M75" s="952"/>
      <c r="N75" s="952"/>
      <c r="O75" s="952"/>
      <c r="P75" s="952"/>
      <c r="Q75" s="1116">
        <f t="shared" si="16"/>
        <v>0</v>
      </c>
      <c r="R75" s="1033"/>
      <c r="S75" s="1032"/>
      <c r="T75" s="1032"/>
      <c r="U75" s="1031"/>
    </row>
    <row r="76" spans="1:21" hidden="1">
      <c r="A76" s="939">
        <v>1625</v>
      </c>
      <c r="B76" s="952" t="s">
        <v>1818</v>
      </c>
      <c r="C76" s="1084"/>
      <c r="D76" s="1101"/>
      <c r="E76" s="1092"/>
      <c r="F76" s="1101"/>
      <c r="G76" s="1092"/>
      <c r="H76" s="952"/>
      <c r="I76" s="952"/>
      <c r="J76" s="952"/>
      <c r="K76" s="952"/>
      <c r="L76" s="952"/>
      <c r="M76" s="952"/>
      <c r="N76" s="952"/>
      <c r="O76" s="952"/>
      <c r="P76" s="952"/>
      <c r="Q76" s="1116">
        <f t="shared" si="16"/>
        <v>0</v>
      </c>
      <c r="R76" s="1033"/>
      <c r="S76" s="1032"/>
      <c r="T76" s="1032"/>
      <c r="U76" s="1031"/>
    </row>
    <row r="77" spans="1:21" hidden="1">
      <c r="A77" s="939">
        <v>1626</v>
      </c>
      <c r="B77" s="952" t="s">
        <v>1819</v>
      </c>
      <c r="C77" s="1084"/>
      <c r="D77" s="1101"/>
      <c r="E77" s="1092"/>
      <c r="F77" s="1101"/>
      <c r="G77" s="1092"/>
      <c r="H77" s="952"/>
      <c r="I77" s="952"/>
      <c r="J77" s="952"/>
      <c r="K77" s="952"/>
      <c r="L77" s="952"/>
      <c r="M77" s="952"/>
      <c r="N77" s="952"/>
      <c r="O77" s="952"/>
      <c r="P77" s="952"/>
      <c r="Q77" s="1116">
        <f t="shared" si="16"/>
        <v>0</v>
      </c>
      <c r="R77" s="1033"/>
      <c r="S77" s="1032"/>
      <c r="T77" s="1032"/>
      <c r="U77" s="1031"/>
    </row>
    <row r="78" spans="1:21" hidden="1">
      <c r="A78" s="939">
        <v>1627</v>
      </c>
      <c r="B78" s="952" t="s">
        <v>1820</v>
      </c>
      <c r="C78" s="1084"/>
      <c r="D78" s="1101"/>
      <c r="E78" s="1092"/>
      <c r="F78" s="1101"/>
      <c r="G78" s="1092"/>
      <c r="H78" s="952"/>
      <c r="I78" s="952"/>
      <c r="J78" s="952"/>
      <c r="K78" s="952"/>
      <c r="L78" s="952"/>
      <c r="M78" s="952"/>
      <c r="N78" s="952"/>
      <c r="O78" s="952"/>
      <c r="P78" s="952"/>
      <c r="Q78" s="1116">
        <f t="shared" si="16"/>
        <v>0</v>
      </c>
      <c r="R78" s="1033"/>
      <c r="S78" s="1032"/>
      <c r="T78" s="1032"/>
      <c r="U78" s="1031"/>
    </row>
    <row r="79" spans="1:21" hidden="1">
      <c r="A79" s="939">
        <v>1629</v>
      </c>
      <c r="B79" s="952" t="s">
        <v>1821</v>
      </c>
      <c r="C79" s="1084"/>
      <c r="D79" s="1101"/>
      <c r="E79" s="1092"/>
      <c r="F79" s="1101"/>
      <c r="G79" s="1092"/>
      <c r="H79" s="952"/>
      <c r="I79" s="952"/>
      <c r="J79" s="952"/>
      <c r="K79" s="952"/>
      <c r="L79" s="952"/>
      <c r="M79" s="952"/>
      <c r="N79" s="952"/>
      <c r="O79" s="952"/>
      <c r="P79" s="952"/>
      <c r="Q79" s="1116">
        <f t="shared" si="16"/>
        <v>0</v>
      </c>
      <c r="R79" s="1033"/>
      <c r="S79" s="1032"/>
      <c r="T79" s="1032"/>
      <c r="U79" s="1031"/>
    </row>
    <row r="80" spans="1:21" hidden="1">
      <c r="A80" s="951">
        <v>163</v>
      </c>
      <c r="B80" s="950" t="s">
        <v>1822</v>
      </c>
      <c r="C80" s="1085"/>
      <c r="D80" s="1102"/>
      <c r="E80" s="1093"/>
      <c r="F80" s="1102"/>
      <c r="G80" s="1093"/>
      <c r="H80" s="950"/>
      <c r="I80" s="950"/>
      <c r="J80" s="950"/>
      <c r="K80" s="950"/>
      <c r="L80" s="950"/>
      <c r="M80" s="950"/>
      <c r="N80" s="950"/>
      <c r="O80" s="950"/>
      <c r="P80" s="950"/>
      <c r="Q80" s="1117">
        <f t="shared" si="16"/>
        <v>0</v>
      </c>
      <c r="R80" s="1033"/>
      <c r="S80" s="1032"/>
      <c r="T80" s="1032"/>
      <c r="U80" s="1031"/>
    </row>
    <row r="81" spans="1:21" hidden="1">
      <c r="A81" s="939">
        <v>1631</v>
      </c>
      <c r="B81" s="952" t="s">
        <v>1823</v>
      </c>
      <c r="C81" s="1084"/>
      <c r="D81" s="1101"/>
      <c r="E81" s="1092"/>
      <c r="F81" s="1101"/>
      <c r="G81" s="1092"/>
      <c r="H81" s="952"/>
      <c r="I81" s="952"/>
      <c r="J81" s="952"/>
      <c r="K81" s="952"/>
      <c r="L81" s="952"/>
      <c r="M81" s="952"/>
      <c r="N81" s="952"/>
      <c r="O81" s="952"/>
      <c r="P81" s="952"/>
      <c r="Q81" s="1116">
        <f t="shared" si="16"/>
        <v>0</v>
      </c>
      <c r="R81" s="1033"/>
      <c r="S81" s="1032"/>
      <c r="T81" s="1032"/>
      <c r="U81" s="1031"/>
    </row>
    <row r="82" spans="1:21" hidden="1">
      <c r="A82" s="939">
        <v>1632</v>
      </c>
      <c r="B82" s="952" t="s">
        <v>1824</v>
      </c>
      <c r="C82" s="1084"/>
      <c r="D82" s="1101"/>
      <c r="E82" s="1092"/>
      <c r="F82" s="1101"/>
      <c r="G82" s="1092"/>
      <c r="H82" s="952"/>
      <c r="I82" s="952"/>
      <c r="J82" s="952"/>
      <c r="K82" s="952"/>
      <c r="L82" s="952"/>
      <c r="M82" s="952"/>
      <c r="N82" s="952"/>
      <c r="O82" s="952"/>
      <c r="P82" s="952"/>
      <c r="Q82" s="1116">
        <f t="shared" si="16"/>
        <v>0</v>
      </c>
      <c r="R82" s="1033"/>
      <c r="S82" s="1032"/>
      <c r="T82" s="1032"/>
      <c r="U82" s="1031"/>
    </row>
    <row r="83" spans="1:21" hidden="1">
      <c r="A83" s="939">
        <v>1633</v>
      </c>
      <c r="B83" s="952" t="s">
        <v>1825</v>
      </c>
      <c r="C83" s="1084"/>
      <c r="D83" s="1101"/>
      <c r="E83" s="1092"/>
      <c r="F83" s="1101"/>
      <c r="G83" s="1092"/>
      <c r="H83" s="952"/>
      <c r="I83" s="952"/>
      <c r="J83" s="952"/>
      <c r="K83" s="952"/>
      <c r="L83" s="952"/>
      <c r="M83" s="952"/>
      <c r="N83" s="952"/>
      <c r="O83" s="952"/>
      <c r="P83" s="952"/>
      <c r="Q83" s="1116">
        <f t="shared" si="16"/>
        <v>0</v>
      </c>
      <c r="R83" s="1033"/>
      <c r="S83" s="1032"/>
      <c r="T83" s="1032"/>
      <c r="U83" s="1031"/>
    </row>
    <row r="84" spans="1:21" hidden="1">
      <c r="A84" s="939">
        <v>1634</v>
      </c>
      <c r="B84" s="952" t="s">
        <v>1826</v>
      </c>
      <c r="C84" s="1084"/>
      <c r="D84" s="1101"/>
      <c r="E84" s="1092"/>
      <c r="F84" s="1101"/>
      <c r="G84" s="1092"/>
      <c r="H84" s="952"/>
      <c r="I84" s="952"/>
      <c r="J84" s="952"/>
      <c r="K84" s="952"/>
      <c r="L84" s="952"/>
      <c r="M84" s="952"/>
      <c r="N84" s="952"/>
      <c r="O84" s="952"/>
      <c r="P84" s="952"/>
      <c r="Q84" s="1116">
        <f t="shared" si="16"/>
        <v>0</v>
      </c>
      <c r="R84" s="1033"/>
      <c r="S84" s="1032"/>
      <c r="T84" s="1032"/>
      <c r="U84" s="1031"/>
    </row>
    <row r="85" spans="1:21" hidden="1">
      <c r="A85" s="939">
        <v>1639</v>
      </c>
      <c r="B85" s="952" t="s">
        <v>1821</v>
      </c>
      <c r="C85" s="1084"/>
      <c r="D85" s="1101"/>
      <c r="E85" s="1092"/>
      <c r="F85" s="1101"/>
      <c r="G85" s="1092"/>
      <c r="H85" s="952"/>
      <c r="I85" s="952"/>
      <c r="J85" s="952"/>
      <c r="K85" s="952"/>
      <c r="L85" s="952"/>
      <c r="M85" s="952"/>
      <c r="N85" s="952"/>
      <c r="O85" s="952"/>
      <c r="P85" s="952"/>
      <c r="Q85" s="1116">
        <f t="shared" si="16"/>
        <v>0</v>
      </c>
      <c r="R85" s="1033"/>
      <c r="S85" s="1032"/>
      <c r="T85" s="1032"/>
      <c r="U85" s="1031"/>
    </row>
    <row r="86" spans="1:21" hidden="1">
      <c r="A86" s="945">
        <v>18</v>
      </c>
      <c r="B86" s="944" t="s">
        <v>1827</v>
      </c>
      <c r="C86" s="1083"/>
      <c r="D86" s="1100"/>
      <c r="E86" s="1091"/>
      <c r="F86" s="1100"/>
      <c r="G86" s="1091"/>
      <c r="H86" s="944"/>
      <c r="I86" s="944"/>
      <c r="J86" s="944"/>
      <c r="K86" s="944"/>
      <c r="L86" s="944"/>
      <c r="M86" s="944"/>
      <c r="N86" s="944"/>
      <c r="O86" s="944"/>
      <c r="P86" s="944"/>
      <c r="Q86" s="1115">
        <f t="shared" si="16"/>
        <v>0</v>
      </c>
      <c r="R86" s="1033"/>
      <c r="S86" s="1032"/>
      <c r="T86" s="1032"/>
      <c r="U86" s="1031"/>
    </row>
    <row r="87" spans="1:21" s="911" customFormat="1" hidden="1">
      <c r="A87" s="958">
        <v>181</v>
      </c>
      <c r="B87" s="957" t="s">
        <v>1828</v>
      </c>
      <c r="C87" s="1086"/>
      <c r="D87" s="1103"/>
      <c r="E87" s="1094"/>
      <c r="F87" s="1103"/>
      <c r="G87" s="1094"/>
      <c r="H87" s="957"/>
      <c r="I87" s="957"/>
      <c r="J87" s="957"/>
      <c r="K87" s="957"/>
      <c r="L87" s="957"/>
      <c r="M87" s="957"/>
      <c r="N87" s="957"/>
      <c r="O87" s="957"/>
      <c r="P87" s="957"/>
      <c r="Q87" s="1118">
        <f t="shared" si="16"/>
        <v>0</v>
      </c>
      <c r="R87" s="1040"/>
      <c r="S87" s="1039"/>
      <c r="T87" s="1039"/>
      <c r="U87" s="1038"/>
    </row>
    <row r="88" spans="1:21" hidden="1">
      <c r="A88" s="939">
        <v>1821</v>
      </c>
      <c r="B88" s="952" t="s">
        <v>1829</v>
      </c>
      <c r="C88" s="1084"/>
      <c r="D88" s="1101"/>
      <c r="E88" s="1092"/>
      <c r="F88" s="1101"/>
      <c r="G88" s="1092"/>
      <c r="H88" s="952"/>
      <c r="I88" s="952"/>
      <c r="J88" s="952"/>
      <c r="K88" s="952"/>
      <c r="L88" s="952"/>
      <c r="M88" s="952"/>
      <c r="N88" s="952"/>
      <c r="O88" s="952"/>
      <c r="P88" s="952"/>
      <c r="Q88" s="1116">
        <f t="shared" si="16"/>
        <v>0</v>
      </c>
      <c r="R88" s="1033"/>
      <c r="S88" s="1032"/>
      <c r="T88" s="1032"/>
      <c r="U88" s="1031"/>
    </row>
    <row r="89" spans="1:21" hidden="1">
      <c r="A89" s="939">
        <v>1822</v>
      </c>
      <c r="B89" s="952" t="s">
        <v>1830</v>
      </c>
      <c r="C89" s="1084"/>
      <c r="D89" s="1101"/>
      <c r="E89" s="1092"/>
      <c r="F89" s="1101"/>
      <c r="G89" s="1092"/>
      <c r="H89" s="952"/>
      <c r="I89" s="952"/>
      <c r="J89" s="952"/>
      <c r="K89" s="952"/>
      <c r="L89" s="952"/>
      <c r="M89" s="952"/>
      <c r="N89" s="952"/>
      <c r="O89" s="952"/>
      <c r="P89" s="952"/>
      <c r="Q89" s="1116">
        <f t="shared" si="16"/>
        <v>0</v>
      </c>
      <c r="R89" s="1033"/>
      <c r="S89" s="1032"/>
      <c r="T89" s="1032"/>
      <c r="U89" s="1031"/>
    </row>
    <row r="90" spans="1:21" hidden="1">
      <c r="A90" s="939">
        <v>1823</v>
      </c>
      <c r="B90" s="952" t="s">
        <v>1831</v>
      </c>
      <c r="C90" s="1084"/>
      <c r="D90" s="1101"/>
      <c r="E90" s="1092"/>
      <c r="F90" s="1101"/>
      <c r="G90" s="1092"/>
      <c r="H90" s="952"/>
      <c r="I90" s="952"/>
      <c r="J90" s="952"/>
      <c r="K90" s="952"/>
      <c r="L90" s="952"/>
      <c r="M90" s="952"/>
      <c r="N90" s="952"/>
      <c r="O90" s="952"/>
      <c r="P90" s="952"/>
      <c r="Q90" s="1116">
        <f t="shared" si="16"/>
        <v>0</v>
      </c>
      <c r="R90" s="1033"/>
      <c r="S90" s="1032"/>
      <c r="T90" s="1032"/>
      <c r="U90" s="1031"/>
    </row>
    <row r="91" spans="1:21" hidden="1">
      <c r="A91" s="939">
        <v>1824</v>
      </c>
      <c r="B91" s="952" t="s">
        <v>1832</v>
      </c>
      <c r="C91" s="1084"/>
      <c r="D91" s="1101"/>
      <c r="E91" s="1092"/>
      <c r="F91" s="1101"/>
      <c r="G91" s="1092"/>
      <c r="H91" s="952"/>
      <c r="I91" s="952"/>
      <c r="J91" s="952"/>
      <c r="K91" s="952"/>
      <c r="L91" s="952"/>
      <c r="M91" s="952"/>
      <c r="N91" s="952"/>
      <c r="O91" s="952"/>
      <c r="P91" s="952"/>
      <c r="Q91" s="1116">
        <f t="shared" si="16"/>
        <v>0</v>
      </c>
      <c r="R91" s="1033"/>
      <c r="S91" s="1032"/>
      <c r="T91" s="1032"/>
      <c r="U91" s="1031"/>
    </row>
    <row r="92" spans="1:21" hidden="1">
      <c r="A92" s="945">
        <v>19</v>
      </c>
      <c r="B92" s="944" t="s">
        <v>1833</v>
      </c>
      <c r="C92" s="1083"/>
      <c r="D92" s="1100"/>
      <c r="E92" s="1091"/>
      <c r="F92" s="1100"/>
      <c r="G92" s="1091"/>
      <c r="H92" s="944"/>
      <c r="I92" s="944"/>
      <c r="J92" s="944"/>
      <c r="K92" s="944"/>
      <c r="L92" s="944"/>
      <c r="M92" s="944"/>
      <c r="N92" s="944"/>
      <c r="O92" s="944"/>
      <c r="P92" s="944"/>
      <c r="Q92" s="1115">
        <f t="shared" si="16"/>
        <v>0</v>
      </c>
      <c r="R92" s="1033"/>
      <c r="S92" s="1032"/>
      <c r="T92" s="1032"/>
      <c r="U92" s="1031"/>
    </row>
    <row r="93" spans="1:21" hidden="1">
      <c r="A93" s="939">
        <v>191</v>
      </c>
      <c r="B93" s="952" t="s">
        <v>1834</v>
      </c>
      <c r="C93" s="1084"/>
      <c r="D93" s="1101"/>
      <c r="E93" s="1092"/>
      <c r="F93" s="1101"/>
      <c r="G93" s="1092"/>
      <c r="H93" s="952"/>
      <c r="I93" s="952"/>
      <c r="J93" s="952"/>
      <c r="K93" s="952"/>
      <c r="L93" s="952"/>
      <c r="M93" s="952"/>
      <c r="N93" s="952"/>
      <c r="O93" s="952"/>
      <c r="P93" s="952"/>
      <c r="Q93" s="1116">
        <f t="shared" ref="Q93:Q156" si="19">C93-P93</f>
        <v>0</v>
      </c>
      <c r="R93" s="1033"/>
      <c r="S93" s="1032"/>
      <c r="T93" s="1032"/>
      <c r="U93" s="1031"/>
    </row>
    <row r="94" spans="1:21" hidden="1">
      <c r="A94" s="939">
        <v>192</v>
      </c>
      <c r="B94" s="952" t="s">
        <v>1835</v>
      </c>
      <c r="C94" s="1084"/>
      <c r="D94" s="1101"/>
      <c r="E94" s="1092"/>
      <c r="F94" s="1101"/>
      <c r="G94" s="1092"/>
      <c r="H94" s="952"/>
      <c r="I94" s="952"/>
      <c r="J94" s="952"/>
      <c r="K94" s="952"/>
      <c r="L94" s="952"/>
      <c r="M94" s="952"/>
      <c r="N94" s="952"/>
      <c r="O94" s="952"/>
      <c r="P94" s="952"/>
      <c r="Q94" s="1116">
        <f t="shared" si="19"/>
        <v>0</v>
      </c>
      <c r="R94" s="1033"/>
      <c r="S94" s="1032"/>
      <c r="T94" s="1032"/>
      <c r="U94" s="1031"/>
    </row>
    <row r="95" spans="1:21" hidden="1">
      <c r="A95" s="939">
        <v>193</v>
      </c>
      <c r="B95" s="952" t="s">
        <v>1836</v>
      </c>
      <c r="C95" s="1084"/>
      <c r="D95" s="1101"/>
      <c r="E95" s="1092"/>
      <c r="F95" s="1101"/>
      <c r="G95" s="1092"/>
      <c r="H95" s="952"/>
      <c r="I95" s="952"/>
      <c r="J95" s="952"/>
      <c r="K95" s="952"/>
      <c r="L95" s="952"/>
      <c r="M95" s="952"/>
      <c r="N95" s="952"/>
      <c r="O95" s="952"/>
      <c r="P95" s="952"/>
      <c r="Q95" s="1116">
        <f t="shared" si="19"/>
        <v>0</v>
      </c>
      <c r="R95" s="1033"/>
      <c r="S95" s="1032"/>
      <c r="T95" s="1032"/>
      <c r="U95" s="1031"/>
    </row>
    <row r="96" spans="1:21" hidden="1">
      <c r="A96" s="939">
        <v>195</v>
      </c>
      <c r="B96" s="952" t="s">
        <v>1837</v>
      </c>
      <c r="C96" s="1084"/>
      <c r="D96" s="1101"/>
      <c r="E96" s="1092"/>
      <c r="F96" s="1101"/>
      <c r="G96" s="1092"/>
      <c r="H96" s="952"/>
      <c r="I96" s="952"/>
      <c r="J96" s="952"/>
      <c r="K96" s="952"/>
      <c r="L96" s="952"/>
      <c r="M96" s="952"/>
      <c r="N96" s="952"/>
      <c r="O96" s="952"/>
      <c r="P96" s="952"/>
      <c r="Q96" s="1116">
        <f t="shared" si="19"/>
        <v>0</v>
      </c>
      <c r="R96" s="1033"/>
      <c r="S96" s="1032"/>
      <c r="T96" s="1032"/>
      <c r="U96" s="1031"/>
    </row>
    <row r="97" spans="1:26" hidden="1">
      <c r="A97" s="1037" t="s">
        <v>283</v>
      </c>
      <c r="B97" s="1036" t="s">
        <v>1771</v>
      </c>
      <c r="C97" s="1089"/>
      <c r="D97" s="1106"/>
      <c r="E97" s="1097"/>
      <c r="F97" s="1106"/>
      <c r="G97" s="1097"/>
      <c r="H97" s="1036"/>
      <c r="I97" s="1036"/>
      <c r="J97" s="1036"/>
      <c r="K97" s="1036"/>
      <c r="L97" s="1036"/>
      <c r="M97" s="1036"/>
      <c r="N97" s="1036"/>
      <c r="O97" s="1036"/>
      <c r="P97" s="1036"/>
      <c r="Q97" s="1121">
        <f t="shared" si="19"/>
        <v>0</v>
      </c>
      <c r="R97" s="1033"/>
      <c r="S97" s="1032"/>
      <c r="T97" s="1032"/>
      <c r="U97" s="1031"/>
    </row>
    <row r="98" spans="1:26" hidden="1">
      <c r="A98" s="1035"/>
      <c r="B98" s="1034" t="s">
        <v>1838</v>
      </c>
      <c r="C98" s="1090"/>
      <c r="D98" s="1107"/>
      <c r="E98" s="1098">
        <f>C98/12</f>
        <v>0</v>
      </c>
      <c r="F98" s="1107">
        <f t="shared" ref="F98:O98" si="20">E98/12</f>
        <v>0</v>
      </c>
      <c r="G98" s="1098">
        <f t="shared" si="20"/>
        <v>0</v>
      </c>
      <c r="H98" s="1034">
        <f t="shared" si="20"/>
        <v>0</v>
      </c>
      <c r="I98" s="1034">
        <f t="shared" si="20"/>
        <v>0</v>
      </c>
      <c r="J98" s="1034">
        <f t="shared" si="20"/>
        <v>0</v>
      </c>
      <c r="K98" s="1034">
        <f t="shared" si="20"/>
        <v>0</v>
      </c>
      <c r="L98" s="1034">
        <f t="shared" si="20"/>
        <v>0</v>
      </c>
      <c r="M98" s="1034">
        <f t="shared" si="20"/>
        <v>0</v>
      </c>
      <c r="N98" s="1034">
        <f t="shared" si="20"/>
        <v>0</v>
      </c>
      <c r="O98" s="1034">
        <f t="shared" si="20"/>
        <v>0</v>
      </c>
      <c r="P98" s="1034">
        <f>M98/12</f>
        <v>0</v>
      </c>
      <c r="Q98" s="1122">
        <f t="shared" si="19"/>
        <v>0</v>
      </c>
      <c r="R98" s="1033">
        <f>I98/12</f>
        <v>0</v>
      </c>
      <c r="S98" s="1032"/>
      <c r="T98" s="1032"/>
      <c r="U98" s="1031"/>
    </row>
    <row r="99" spans="1:26">
      <c r="A99" s="949">
        <v>61</v>
      </c>
      <c r="B99" s="948" t="s">
        <v>1839</v>
      </c>
      <c r="C99" s="947">
        <f>C100+C103+C127</f>
        <v>7155566</v>
      </c>
      <c r="D99" s="894"/>
      <c r="E99" s="1070">
        <f>+E100+E103+E127</f>
        <v>1778720</v>
      </c>
      <c r="F99" s="894">
        <f t="shared" ref="F99:O99" si="21">F100+F103+F127</f>
        <v>1999086</v>
      </c>
      <c r="G99" s="1070">
        <f t="shared" si="21"/>
        <v>1841430</v>
      </c>
      <c r="H99" s="894">
        <f t="shared" si="21"/>
        <v>2034173</v>
      </c>
      <c r="I99" s="894">
        <f t="shared" si="21"/>
        <v>2037662</v>
      </c>
      <c r="J99" s="894">
        <f t="shared" si="21"/>
        <v>2055354</v>
      </c>
      <c r="K99" s="894">
        <f t="shared" si="21"/>
        <v>0</v>
      </c>
      <c r="L99" s="894">
        <f t="shared" si="21"/>
        <v>0</v>
      </c>
      <c r="M99" s="894">
        <f t="shared" si="21"/>
        <v>0</v>
      </c>
      <c r="N99" s="894">
        <f t="shared" si="21"/>
        <v>0</v>
      </c>
      <c r="O99" s="894">
        <f t="shared" si="21"/>
        <v>0</v>
      </c>
      <c r="P99" s="894">
        <f>SUM(E99:N99)</f>
        <v>11746425</v>
      </c>
      <c r="Q99" s="899">
        <f t="shared" si="19"/>
        <v>-4590859</v>
      </c>
      <c r="R99" s="1030">
        <f>R100+R103+R127</f>
        <v>-655837</v>
      </c>
      <c r="S99" s="1029">
        <f t="shared" ref="S99:X114" si="22">R99</f>
        <v>-655837</v>
      </c>
      <c r="T99" s="1029">
        <f t="shared" si="22"/>
        <v>-655837</v>
      </c>
      <c r="U99" s="1029">
        <f t="shared" si="22"/>
        <v>-655837</v>
      </c>
      <c r="V99" s="1029">
        <f t="shared" si="22"/>
        <v>-655837</v>
      </c>
      <c r="W99" s="1029">
        <f t="shared" si="22"/>
        <v>-655837</v>
      </c>
      <c r="X99" s="1029">
        <f t="shared" si="22"/>
        <v>-655837</v>
      </c>
      <c r="Y99" s="1029">
        <f t="shared" ref="Y99:Y162" si="23">SUM(R99:X99)</f>
        <v>-4590859</v>
      </c>
      <c r="Z99" s="1029">
        <f t="shared" ref="Z99:Z162" si="24">Q99-Y99</f>
        <v>0</v>
      </c>
    </row>
    <row r="100" spans="1:26" ht="13.5">
      <c r="A100" s="945">
        <v>611</v>
      </c>
      <c r="B100" s="944" t="s">
        <v>1840</v>
      </c>
      <c r="C100" s="908">
        <f>C101+C102</f>
        <v>6012097</v>
      </c>
      <c r="D100" s="908"/>
      <c r="E100" s="943">
        <f>+E101+E102</f>
        <v>1506978</v>
      </c>
      <c r="F100" s="908">
        <f t="shared" ref="F100:O100" si="25">F101+F102</f>
        <v>1737414</v>
      </c>
      <c r="G100" s="908">
        <f t="shared" si="25"/>
        <v>1560371</v>
      </c>
      <c r="H100" s="908">
        <f t="shared" si="25"/>
        <v>1742884</v>
      </c>
      <c r="I100" s="908">
        <f t="shared" si="25"/>
        <v>1727607</v>
      </c>
      <c r="J100" s="908">
        <f t="shared" si="25"/>
        <v>1643515</v>
      </c>
      <c r="K100" s="908">
        <f t="shared" si="25"/>
        <v>0</v>
      </c>
      <c r="L100" s="908">
        <f t="shared" si="25"/>
        <v>0</v>
      </c>
      <c r="M100" s="908">
        <f t="shared" si="25"/>
        <v>0</v>
      </c>
      <c r="N100" s="908">
        <f t="shared" si="25"/>
        <v>0</v>
      </c>
      <c r="O100" s="908">
        <f t="shared" si="25"/>
        <v>0</v>
      </c>
      <c r="P100" s="908">
        <f>SUM(E100:N100)</f>
        <v>9918769</v>
      </c>
      <c r="Q100" s="909">
        <f t="shared" si="19"/>
        <v>-3906672</v>
      </c>
      <c r="R100" s="960">
        <f>R101+R102</f>
        <v>-558096</v>
      </c>
      <c r="S100" s="959">
        <f t="shared" si="22"/>
        <v>-558096</v>
      </c>
      <c r="T100" s="959">
        <f t="shared" si="22"/>
        <v>-558096</v>
      </c>
      <c r="U100" s="959">
        <f t="shared" si="22"/>
        <v>-558096</v>
      </c>
      <c r="V100" s="959">
        <f t="shared" si="22"/>
        <v>-558096</v>
      </c>
      <c r="W100" s="959">
        <f t="shared" si="22"/>
        <v>-558096</v>
      </c>
      <c r="X100" s="959">
        <f t="shared" si="22"/>
        <v>-558096</v>
      </c>
      <c r="Y100" s="959">
        <f t="shared" si="23"/>
        <v>-3906672</v>
      </c>
      <c r="Z100" s="959">
        <f t="shared" si="24"/>
        <v>0</v>
      </c>
    </row>
    <row r="101" spans="1:26">
      <c r="A101" s="984">
        <v>6611</v>
      </c>
      <c r="B101" s="991" t="s">
        <v>1841</v>
      </c>
      <c r="C101" s="897">
        <v>5191237</v>
      </c>
      <c r="D101" s="897"/>
      <c r="E101" s="937">
        <v>1474483</v>
      </c>
      <c r="F101" s="897">
        <v>1490478</v>
      </c>
      <c r="G101" s="897">
        <v>1492862</v>
      </c>
      <c r="H101" s="897">
        <v>1499329</v>
      </c>
      <c r="I101" s="897">
        <v>1508404</v>
      </c>
      <c r="J101" s="897">
        <v>1499637</v>
      </c>
      <c r="K101" s="897"/>
      <c r="L101" s="897"/>
      <c r="M101" s="897"/>
      <c r="N101" s="897"/>
      <c r="O101" s="897"/>
      <c r="P101" s="897">
        <f>SUM(E101:N101)</f>
        <v>8965193</v>
      </c>
      <c r="Q101" s="898">
        <f t="shared" si="19"/>
        <v>-3773956</v>
      </c>
      <c r="R101" s="936">
        <f t="shared" ref="R101:R127" si="26">Q101/7</f>
        <v>-539136.57142857148</v>
      </c>
      <c r="S101" s="935">
        <f t="shared" si="22"/>
        <v>-539136.57142857148</v>
      </c>
      <c r="T101" s="935">
        <f t="shared" si="22"/>
        <v>-539136.57142857148</v>
      </c>
      <c r="U101" s="935">
        <f t="shared" si="22"/>
        <v>-539136.57142857148</v>
      </c>
      <c r="V101" s="935">
        <f t="shared" si="22"/>
        <v>-539136.57142857148</v>
      </c>
      <c r="W101" s="935">
        <f t="shared" si="22"/>
        <v>-539136.57142857148</v>
      </c>
      <c r="X101" s="935">
        <f t="shared" si="22"/>
        <v>-539136.57142857148</v>
      </c>
      <c r="Y101" s="935">
        <f t="shared" si="23"/>
        <v>-3773956</v>
      </c>
      <c r="Z101" s="935">
        <f t="shared" si="24"/>
        <v>0</v>
      </c>
    </row>
    <row r="102" spans="1:26">
      <c r="A102" s="984">
        <v>6112</v>
      </c>
      <c r="B102" s="991" t="s">
        <v>1842</v>
      </c>
      <c r="C102" s="897">
        <v>820860</v>
      </c>
      <c r="D102" s="897"/>
      <c r="E102" s="937">
        <v>32495</v>
      </c>
      <c r="F102" s="897">
        <v>246936</v>
      </c>
      <c r="G102" s="897">
        <v>67509</v>
      </c>
      <c r="H102" s="897">
        <v>243555</v>
      </c>
      <c r="I102" s="897">
        <v>219203</v>
      </c>
      <c r="J102" s="897">
        <v>143878</v>
      </c>
      <c r="K102" s="897"/>
      <c r="L102" s="897"/>
      <c r="M102" s="897"/>
      <c r="N102" s="897"/>
      <c r="O102" s="897"/>
      <c r="P102" s="897">
        <f t="shared" ref="P102:P126" si="27">SUM(E102:N102)</f>
        <v>953576</v>
      </c>
      <c r="Q102" s="898">
        <f t="shared" si="19"/>
        <v>-132716</v>
      </c>
      <c r="R102" s="936">
        <f t="shared" si="26"/>
        <v>-18959.428571428572</v>
      </c>
      <c r="S102" s="935">
        <f t="shared" si="22"/>
        <v>-18959.428571428572</v>
      </c>
      <c r="T102" s="935">
        <f t="shared" si="22"/>
        <v>-18959.428571428572</v>
      </c>
      <c r="U102" s="935">
        <f t="shared" si="22"/>
        <v>-18959.428571428572</v>
      </c>
      <c r="V102" s="935">
        <f t="shared" si="22"/>
        <v>-18959.428571428572</v>
      </c>
      <c r="W102" s="935">
        <f t="shared" si="22"/>
        <v>-18959.428571428572</v>
      </c>
      <c r="X102" s="935">
        <f t="shared" si="22"/>
        <v>-18959.428571428572</v>
      </c>
      <c r="Y102" s="935">
        <f t="shared" si="23"/>
        <v>-132716.00000000003</v>
      </c>
      <c r="Z102" s="935">
        <f t="shared" si="24"/>
        <v>0</v>
      </c>
    </row>
    <row r="103" spans="1:26" ht="13.5">
      <c r="A103" s="945">
        <v>613</v>
      </c>
      <c r="B103" s="944" t="s">
        <v>1843</v>
      </c>
      <c r="C103" s="908">
        <f>SUM(C104:C118)</f>
        <v>1068469</v>
      </c>
      <c r="D103" s="908"/>
      <c r="E103" s="943">
        <f>SUM(E104:E118)</f>
        <v>267242</v>
      </c>
      <c r="F103" s="908">
        <f t="shared" ref="F103:O103" si="28">SUM(F104:F118)</f>
        <v>261672</v>
      </c>
      <c r="G103" s="908">
        <f t="shared" si="28"/>
        <v>261458</v>
      </c>
      <c r="H103" s="908">
        <f t="shared" si="28"/>
        <v>260777</v>
      </c>
      <c r="I103" s="908">
        <f t="shared" si="28"/>
        <v>283404</v>
      </c>
      <c r="J103" s="908">
        <f t="shared" si="28"/>
        <v>394839</v>
      </c>
      <c r="K103" s="908">
        <f t="shared" si="28"/>
        <v>0</v>
      </c>
      <c r="L103" s="908">
        <f t="shared" si="28"/>
        <v>0</v>
      </c>
      <c r="M103" s="908">
        <f t="shared" si="28"/>
        <v>0</v>
      </c>
      <c r="N103" s="908">
        <f t="shared" si="28"/>
        <v>0</v>
      </c>
      <c r="O103" s="908">
        <f t="shared" si="28"/>
        <v>0</v>
      </c>
      <c r="P103" s="897">
        <f t="shared" si="27"/>
        <v>1729392</v>
      </c>
      <c r="Q103" s="909">
        <f t="shared" si="19"/>
        <v>-660923</v>
      </c>
      <c r="R103" s="960">
        <f t="shared" si="26"/>
        <v>-94417.571428571435</v>
      </c>
      <c r="S103" s="959">
        <f t="shared" si="22"/>
        <v>-94417.571428571435</v>
      </c>
      <c r="T103" s="959">
        <f t="shared" si="22"/>
        <v>-94417.571428571435</v>
      </c>
      <c r="U103" s="959">
        <f t="shared" si="22"/>
        <v>-94417.571428571435</v>
      </c>
      <c r="V103" s="959">
        <f t="shared" si="22"/>
        <v>-94417.571428571435</v>
      </c>
      <c r="W103" s="959">
        <f t="shared" si="22"/>
        <v>-94417.571428571435</v>
      </c>
      <c r="X103" s="959">
        <f t="shared" si="22"/>
        <v>-94417.571428571435</v>
      </c>
      <c r="Y103" s="959">
        <f t="shared" si="23"/>
        <v>-660923.00000000012</v>
      </c>
      <c r="Z103" s="959">
        <f t="shared" si="24"/>
        <v>0</v>
      </c>
    </row>
    <row r="104" spans="1:26">
      <c r="A104" s="984">
        <v>6131</v>
      </c>
      <c r="B104" s="991" t="s">
        <v>1844</v>
      </c>
      <c r="C104" s="897">
        <v>23750</v>
      </c>
      <c r="D104" s="897"/>
      <c r="E104" s="937"/>
      <c r="F104" s="897">
        <v>0</v>
      </c>
      <c r="G104" s="897">
        <v>0</v>
      </c>
      <c r="H104" s="897">
        <v>0</v>
      </c>
      <c r="I104" s="897">
        <v>0</v>
      </c>
      <c r="J104" s="897">
        <v>28301</v>
      </c>
      <c r="K104" s="897"/>
      <c r="L104" s="897"/>
      <c r="M104" s="897"/>
      <c r="N104" s="897"/>
      <c r="O104" s="897"/>
      <c r="P104" s="897">
        <f t="shared" si="27"/>
        <v>28301</v>
      </c>
      <c r="Q104" s="898">
        <f t="shared" si="19"/>
        <v>-4551</v>
      </c>
      <c r="R104" s="936">
        <f t="shared" si="26"/>
        <v>-650.14285714285711</v>
      </c>
      <c r="S104" s="935">
        <f t="shared" si="22"/>
        <v>-650.14285714285711</v>
      </c>
      <c r="T104" s="935">
        <f t="shared" si="22"/>
        <v>-650.14285714285711</v>
      </c>
      <c r="U104" s="935">
        <f t="shared" si="22"/>
        <v>-650.14285714285711</v>
      </c>
      <c r="V104" s="935">
        <f t="shared" si="22"/>
        <v>-650.14285714285711</v>
      </c>
      <c r="W104" s="935">
        <f t="shared" si="22"/>
        <v>-650.14285714285711</v>
      </c>
      <c r="X104" s="935">
        <f t="shared" si="22"/>
        <v>-650.14285714285711</v>
      </c>
      <c r="Y104" s="935">
        <f t="shared" si="23"/>
        <v>-4550.9999999999991</v>
      </c>
      <c r="Z104" s="935">
        <f t="shared" si="24"/>
        <v>0</v>
      </c>
    </row>
    <row r="105" spans="1:26" ht="12.75" hidden="1" customHeight="1">
      <c r="A105" s="984">
        <v>6132</v>
      </c>
      <c r="B105" s="991" t="s">
        <v>1845</v>
      </c>
      <c r="C105" s="897"/>
      <c r="D105" s="897"/>
      <c r="E105" s="937"/>
      <c r="F105" s="897"/>
      <c r="G105" s="897"/>
      <c r="H105" s="897"/>
      <c r="I105" s="897"/>
      <c r="J105" s="897"/>
      <c r="K105" s="897"/>
      <c r="L105" s="897"/>
      <c r="M105" s="897"/>
      <c r="N105" s="897"/>
      <c r="O105" s="897"/>
      <c r="P105" s="897">
        <f t="shared" si="27"/>
        <v>0</v>
      </c>
      <c r="Q105" s="898">
        <f t="shared" si="19"/>
        <v>0</v>
      </c>
      <c r="R105" s="936">
        <f t="shared" si="26"/>
        <v>0</v>
      </c>
      <c r="S105" s="935">
        <f t="shared" si="22"/>
        <v>0</v>
      </c>
      <c r="T105" s="935">
        <f t="shared" si="22"/>
        <v>0</v>
      </c>
      <c r="U105" s="935">
        <f t="shared" si="22"/>
        <v>0</v>
      </c>
      <c r="V105" s="935">
        <f t="shared" si="22"/>
        <v>0</v>
      </c>
      <c r="W105" s="935">
        <f t="shared" si="22"/>
        <v>0</v>
      </c>
      <c r="X105" s="935">
        <f t="shared" si="22"/>
        <v>0</v>
      </c>
      <c r="Y105" s="935">
        <f t="shared" si="23"/>
        <v>0</v>
      </c>
      <c r="Z105" s="935">
        <f t="shared" si="24"/>
        <v>0</v>
      </c>
    </row>
    <row r="106" spans="1:26" ht="12.75" hidden="1" customHeight="1">
      <c r="A106" s="984">
        <v>6133</v>
      </c>
      <c r="B106" s="991" t="s">
        <v>1846</v>
      </c>
      <c r="C106" s="897"/>
      <c r="D106" s="897"/>
      <c r="E106" s="937"/>
      <c r="F106" s="897"/>
      <c r="G106" s="897"/>
      <c r="H106" s="897"/>
      <c r="I106" s="897"/>
      <c r="J106" s="897"/>
      <c r="K106" s="897"/>
      <c r="L106" s="897"/>
      <c r="M106" s="897"/>
      <c r="N106" s="897"/>
      <c r="O106" s="897"/>
      <c r="P106" s="897">
        <f t="shared" si="27"/>
        <v>0</v>
      </c>
      <c r="Q106" s="898">
        <f t="shared" si="19"/>
        <v>0</v>
      </c>
      <c r="R106" s="936">
        <f t="shared" si="26"/>
        <v>0</v>
      </c>
      <c r="S106" s="935">
        <f t="shared" si="22"/>
        <v>0</v>
      </c>
      <c r="T106" s="935">
        <f t="shared" si="22"/>
        <v>0</v>
      </c>
      <c r="U106" s="935">
        <f t="shared" si="22"/>
        <v>0</v>
      </c>
      <c r="V106" s="935">
        <f t="shared" si="22"/>
        <v>0</v>
      </c>
      <c r="W106" s="935">
        <f t="shared" si="22"/>
        <v>0</v>
      </c>
      <c r="X106" s="935">
        <f t="shared" si="22"/>
        <v>0</v>
      </c>
      <c r="Y106" s="935">
        <f t="shared" si="23"/>
        <v>0</v>
      </c>
      <c r="Z106" s="935">
        <f t="shared" si="24"/>
        <v>0</v>
      </c>
    </row>
    <row r="107" spans="1:26" hidden="1">
      <c r="A107" s="984">
        <v>6134</v>
      </c>
      <c r="B107" s="991" t="s">
        <v>1847</v>
      </c>
      <c r="C107" s="897"/>
      <c r="D107" s="897"/>
      <c r="E107" s="937"/>
      <c r="F107" s="897"/>
      <c r="G107" s="897"/>
      <c r="H107" s="897"/>
      <c r="I107" s="897"/>
      <c r="J107" s="897"/>
      <c r="K107" s="897"/>
      <c r="L107" s="897"/>
      <c r="M107" s="897"/>
      <c r="N107" s="897"/>
      <c r="O107" s="897"/>
      <c r="P107" s="897">
        <f t="shared" si="27"/>
        <v>0</v>
      </c>
      <c r="Q107" s="898">
        <f t="shared" si="19"/>
        <v>0</v>
      </c>
      <c r="R107" s="936">
        <f t="shared" si="26"/>
        <v>0</v>
      </c>
      <c r="S107" s="935">
        <f t="shared" si="22"/>
        <v>0</v>
      </c>
      <c r="T107" s="935">
        <f t="shared" si="22"/>
        <v>0</v>
      </c>
      <c r="U107" s="935">
        <f t="shared" si="22"/>
        <v>0</v>
      </c>
      <c r="V107" s="935">
        <f t="shared" si="22"/>
        <v>0</v>
      </c>
      <c r="W107" s="935">
        <f t="shared" si="22"/>
        <v>0</v>
      </c>
      <c r="X107" s="935">
        <f t="shared" si="22"/>
        <v>0</v>
      </c>
      <c r="Y107" s="935">
        <f t="shared" si="23"/>
        <v>0</v>
      </c>
      <c r="Z107" s="935">
        <f t="shared" si="24"/>
        <v>0</v>
      </c>
    </row>
    <row r="108" spans="1:26">
      <c r="A108" s="984">
        <v>6135</v>
      </c>
      <c r="B108" s="991" t="s">
        <v>1848</v>
      </c>
      <c r="C108" s="897">
        <v>93250</v>
      </c>
      <c r="D108" s="897"/>
      <c r="E108" s="937"/>
      <c r="F108" s="897">
        <v>0</v>
      </c>
      <c r="G108" s="897">
        <v>0</v>
      </c>
      <c r="H108" s="897">
        <v>0</v>
      </c>
      <c r="I108" s="897">
        <v>7022</v>
      </c>
      <c r="J108" s="897">
        <v>57012</v>
      </c>
      <c r="K108" s="897"/>
      <c r="L108" s="897"/>
      <c r="M108" s="897"/>
      <c r="N108" s="897"/>
      <c r="O108" s="897"/>
      <c r="P108" s="897">
        <f t="shared" si="27"/>
        <v>64034</v>
      </c>
      <c r="Q108" s="898">
        <f t="shared" si="19"/>
        <v>29216</v>
      </c>
      <c r="R108" s="936">
        <f t="shared" si="26"/>
        <v>4173.7142857142853</v>
      </c>
      <c r="S108" s="935">
        <f t="shared" si="22"/>
        <v>4173.7142857142853</v>
      </c>
      <c r="T108" s="935">
        <f t="shared" si="22"/>
        <v>4173.7142857142853</v>
      </c>
      <c r="U108" s="935">
        <f t="shared" si="22"/>
        <v>4173.7142857142853</v>
      </c>
      <c r="V108" s="935">
        <f t="shared" si="22"/>
        <v>4173.7142857142853</v>
      </c>
      <c r="W108" s="935">
        <f t="shared" si="22"/>
        <v>4173.7142857142853</v>
      </c>
      <c r="X108" s="935">
        <f t="shared" si="22"/>
        <v>4173.7142857142853</v>
      </c>
      <c r="Y108" s="935">
        <f t="shared" si="23"/>
        <v>29216</v>
      </c>
      <c r="Z108" s="935">
        <f t="shared" si="24"/>
        <v>0</v>
      </c>
    </row>
    <row r="109" spans="1:26" hidden="1">
      <c r="A109" s="986">
        <v>61351</v>
      </c>
      <c r="B109" s="993" t="s">
        <v>1849</v>
      </c>
      <c r="C109" s="897"/>
      <c r="D109" s="897"/>
      <c r="E109" s="937"/>
      <c r="F109" s="897"/>
      <c r="G109" s="897"/>
      <c r="H109" s="897"/>
      <c r="I109" s="897"/>
      <c r="J109" s="897"/>
      <c r="K109" s="897"/>
      <c r="L109" s="897"/>
      <c r="M109" s="897"/>
      <c r="N109" s="897"/>
      <c r="O109" s="897"/>
      <c r="P109" s="897">
        <f t="shared" si="27"/>
        <v>0</v>
      </c>
      <c r="Q109" s="898">
        <f t="shared" si="19"/>
        <v>0</v>
      </c>
      <c r="R109" s="936">
        <f t="shared" si="26"/>
        <v>0</v>
      </c>
      <c r="S109" s="935">
        <f t="shared" si="22"/>
        <v>0</v>
      </c>
      <c r="T109" s="935">
        <f t="shared" si="22"/>
        <v>0</v>
      </c>
      <c r="U109" s="935">
        <f t="shared" si="22"/>
        <v>0</v>
      </c>
      <c r="V109" s="935">
        <f t="shared" si="22"/>
        <v>0</v>
      </c>
      <c r="W109" s="935">
        <f t="shared" si="22"/>
        <v>0</v>
      </c>
      <c r="X109" s="935">
        <f t="shared" si="22"/>
        <v>0</v>
      </c>
      <c r="Y109" s="935">
        <f t="shared" si="23"/>
        <v>0</v>
      </c>
      <c r="Z109" s="935">
        <f t="shared" si="24"/>
        <v>0</v>
      </c>
    </row>
    <row r="110" spans="1:26" hidden="1">
      <c r="A110" s="986">
        <v>61352</v>
      </c>
      <c r="B110" s="993" t="s">
        <v>1850</v>
      </c>
      <c r="C110" s="897"/>
      <c r="D110" s="897"/>
      <c r="E110" s="937"/>
      <c r="F110" s="897"/>
      <c r="G110" s="897"/>
      <c r="H110" s="897"/>
      <c r="I110" s="897"/>
      <c r="J110" s="897"/>
      <c r="K110" s="897"/>
      <c r="L110" s="897"/>
      <c r="M110" s="897"/>
      <c r="N110" s="897"/>
      <c r="O110" s="897"/>
      <c r="P110" s="897">
        <f t="shared" si="27"/>
        <v>0</v>
      </c>
      <c r="Q110" s="898">
        <f t="shared" si="19"/>
        <v>0</v>
      </c>
      <c r="R110" s="936">
        <f t="shared" si="26"/>
        <v>0</v>
      </c>
      <c r="S110" s="935">
        <f t="shared" si="22"/>
        <v>0</v>
      </c>
      <c r="T110" s="935">
        <f t="shared" si="22"/>
        <v>0</v>
      </c>
      <c r="U110" s="935">
        <f t="shared" si="22"/>
        <v>0</v>
      </c>
      <c r="V110" s="935">
        <f t="shared" si="22"/>
        <v>0</v>
      </c>
      <c r="W110" s="935">
        <f t="shared" si="22"/>
        <v>0</v>
      </c>
      <c r="X110" s="935">
        <f t="shared" si="22"/>
        <v>0</v>
      </c>
      <c r="Y110" s="935">
        <f t="shared" si="23"/>
        <v>0</v>
      </c>
      <c r="Z110" s="935">
        <f t="shared" si="24"/>
        <v>0</v>
      </c>
    </row>
    <row r="111" spans="1:26" hidden="1">
      <c r="A111" s="984">
        <v>6136</v>
      </c>
      <c r="B111" s="991" t="s">
        <v>1851</v>
      </c>
      <c r="C111" s="897"/>
      <c r="D111" s="897"/>
      <c r="E111" s="937"/>
      <c r="F111" s="897"/>
      <c r="G111" s="897"/>
      <c r="H111" s="897"/>
      <c r="I111" s="897"/>
      <c r="J111" s="897"/>
      <c r="K111" s="897"/>
      <c r="L111" s="897"/>
      <c r="M111" s="897"/>
      <c r="N111" s="897"/>
      <c r="O111" s="897"/>
      <c r="P111" s="897">
        <f t="shared" si="27"/>
        <v>0</v>
      </c>
      <c r="Q111" s="898">
        <f t="shared" si="19"/>
        <v>0</v>
      </c>
      <c r="R111" s="936">
        <f t="shared" si="26"/>
        <v>0</v>
      </c>
      <c r="S111" s="935">
        <f t="shared" si="22"/>
        <v>0</v>
      </c>
      <c r="T111" s="935">
        <f t="shared" si="22"/>
        <v>0</v>
      </c>
      <c r="U111" s="935">
        <f t="shared" si="22"/>
        <v>0</v>
      </c>
      <c r="V111" s="935">
        <f t="shared" si="22"/>
        <v>0</v>
      </c>
      <c r="W111" s="935">
        <f t="shared" si="22"/>
        <v>0</v>
      </c>
      <c r="X111" s="935">
        <f t="shared" si="22"/>
        <v>0</v>
      </c>
      <c r="Y111" s="935">
        <f t="shared" si="23"/>
        <v>0</v>
      </c>
      <c r="Z111" s="935">
        <f t="shared" si="24"/>
        <v>0</v>
      </c>
    </row>
    <row r="112" spans="1:26" hidden="1">
      <c r="A112" s="986">
        <v>61361</v>
      </c>
      <c r="B112" s="993" t="s">
        <v>1852</v>
      </c>
      <c r="C112" s="897"/>
      <c r="D112" s="897"/>
      <c r="E112" s="937"/>
      <c r="F112" s="897"/>
      <c r="G112" s="897"/>
      <c r="H112" s="897"/>
      <c r="I112" s="897"/>
      <c r="J112" s="897"/>
      <c r="K112" s="897"/>
      <c r="L112" s="897"/>
      <c r="M112" s="897"/>
      <c r="N112" s="897"/>
      <c r="O112" s="897"/>
      <c r="P112" s="897">
        <f t="shared" si="27"/>
        <v>0</v>
      </c>
      <c r="Q112" s="898">
        <f t="shared" si="19"/>
        <v>0</v>
      </c>
      <c r="R112" s="936">
        <f t="shared" si="26"/>
        <v>0</v>
      </c>
      <c r="S112" s="935">
        <f t="shared" si="22"/>
        <v>0</v>
      </c>
      <c r="T112" s="935">
        <f t="shared" si="22"/>
        <v>0</v>
      </c>
      <c r="U112" s="935">
        <f t="shared" si="22"/>
        <v>0</v>
      </c>
      <c r="V112" s="935">
        <f t="shared" si="22"/>
        <v>0</v>
      </c>
      <c r="W112" s="935">
        <f t="shared" si="22"/>
        <v>0</v>
      </c>
      <c r="X112" s="935">
        <f t="shared" si="22"/>
        <v>0</v>
      </c>
      <c r="Y112" s="935">
        <f t="shared" si="23"/>
        <v>0</v>
      </c>
      <c r="Z112" s="935">
        <f t="shared" si="24"/>
        <v>0</v>
      </c>
    </row>
    <row r="113" spans="1:26" hidden="1">
      <c r="A113" s="986">
        <v>61362</v>
      </c>
      <c r="B113" s="993" t="s">
        <v>1853</v>
      </c>
      <c r="C113" s="897"/>
      <c r="D113" s="897"/>
      <c r="E113" s="937"/>
      <c r="F113" s="897"/>
      <c r="G113" s="897"/>
      <c r="H113" s="897"/>
      <c r="I113" s="897"/>
      <c r="J113" s="897"/>
      <c r="K113" s="897"/>
      <c r="L113" s="897"/>
      <c r="M113" s="897"/>
      <c r="N113" s="897"/>
      <c r="O113" s="897"/>
      <c r="P113" s="897">
        <f t="shared" si="27"/>
        <v>0</v>
      </c>
      <c r="Q113" s="898">
        <f t="shared" si="19"/>
        <v>0</v>
      </c>
      <c r="R113" s="936">
        <f t="shared" si="26"/>
        <v>0</v>
      </c>
      <c r="S113" s="935">
        <f t="shared" si="22"/>
        <v>0</v>
      </c>
      <c r="T113" s="935">
        <f t="shared" si="22"/>
        <v>0</v>
      </c>
      <c r="U113" s="935">
        <f t="shared" si="22"/>
        <v>0</v>
      </c>
      <c r="V113" s="935">
        <f t="shared" si="22"/>
        <v>0</v>
      </c>
      <c r="W113" s="935">
        <f t="shared" si="22"/>
        <v>0</v>
      </c>
      <c r="X113" s="935">
        <f t="shared" si="22"/>
        <v>0</v>
      </c>
      <c r="Y113" s="935">
        <f t="shared" si="23"/>
        <v>0</v>
      </c>
      <c r="Z113" s="935">
        <f t="shared" si="24"/>
        <v>0</v>
      </c>
    </row>
    <row r="114" spans="1:26" hidden="1">
      <c r="A114" s="986">
        <v>61363</v>
      </c>
      <c r="B114" s="993" t="s">
        <v>1854</v>
      </c>
      <c r="C114" s="897"/>
      <c r="D114" s="897"/>
      <c r="E114" s="937"/>
      <c r="F114" s="897"/>
      <c r="G114" s="897"/>
      <c r="H114" s="897"/>
      <c r="I114" s="897"/>
      <c r="J114" s="897"/>
      <c r="K114" s="897"/>
      <c r="L114" s="897"/>
      <c r="M114" s="897"/>
      <c r="N114" s="897"/>
      <c r="O114" s="897"/>
      <c r="P114" s="897">
        <f t="shared" si="27"/>
        <v>0</v>
      </c>
      <c r="Q114" s="898">
        <f t="shared" si="19"/>
        <v>0</v>
      </c>
      <c r="R114" s="936">
        <f t="shared" si="26"/>
        <v>0</v>
      </c>
      <c r="S114" s="935">
        <f t="shared" si="22"/>
        <v>0</v>
      </c>
      <c r="T114" s="935">
        <f t="shared" si="22"/>
        <v>0</v>
      </c>
      <c r="U114" s="935">
        <f t="shared" si="22"/>
        <v>0</v>
      </c>
      <c r="V114" s="935">
        <f t="shared" si="22"/>
        <v>0</v>
      </c>
      <c r="W114" s="935">
        <f t="shared" si="22"/>
        <v>0</v>
      </c>
      <c r="X114" s="935">
        <f t="shared" si="22"/>
        <v>0</v>
      </c>
      <c r="Y114" s="935">
        <f t="shared" si="23"/>
        <v>0</v>
      </c>
      <c r="Z114" s="935">
        <f t="shared" si="24"/>
        <v>0</v>
      </c>
    </row>
    <row r="115" spans="1:26" hidden="1">
      <c r="A115" s="986">
        <v>61364</v>
      </c>
      <c r="B115" s="993" t="s">
        <v>1855</v>
      </c>
      <c r="C115" s="897"/>
      <c r="D115" s="897"/>
      <c r="E115" s="937"/>
      <c r="F115" s="897"/>
      <c r="G115" s="897"/>
      <c r="H115" s="897"/>
      <c r="I115" s="897"/>
      <c r="J115" s="897"/>
      <c r="K115" s="897"/>
      <c r="L115" s="897"/>
      <c r="M115" s="897"/>
      <c r="N115" s="897"/>
      <c r="O115" s="897"/>
      <c r="P115" s="897">
        <f t="shared" si="27"/>
        <v>0</v>
      </c>
      <c r="Q115" s="898">
        <f t="shared" si="19"/>
        <v>0</v>
      </c>
      <c r="R115" s="936">
        <f t="shared" si="26"/>
        <v>0</v>
      </c>
      <c r="S115" s="935">
        <f t="shared" ref="S115:X130" si="29">R115</f>
        <v>0</v>
      </c>
      <c r="T115" s="935">
        <f t="shared" si="29"/>
        <v>0</v>
      </c>
      <c r="U115" s="935">
        <f t="shared" si="29"/>
        <v>0</v>
      </c>
      <c r="V115" s="935">
        <f t="shared" si="29"/>
        <v>0</v>
      </c>
      <c r="W115" s="935">
        <f t="shared" si="29"/>
        <v>0</v>
      </c>
      <c r="X115" s="935">
        <f t="shared" si="29"/>
        <v>0</v>
      </c>
      <c r="Y115" s="935">
        <f t="shared" si="23"/>
        <v>0</v>
      </c>
      <c r="Z115" s="935">
        <f t="shared" si="24"/>
        <v>0</v>
      </c>
    </row>
    <row r="116" spans="1:26" hidden="1">
      <c r="A116" s="986">
        <v>61365</v>
      </c>
      <c r="B116" s="993" t="s">
        <v>1856</v>
      </c>
      <c r="C116" s="897"/>
      <c r="D116" s="897"/>
      <c r="E116" s="937"/>
      <c r="F116" s="897"/>
      <c r="G116" s="897"/>
      <c r="H116" s="897"/>
      <c r="I116" s="897"/>
      <c r="J116" s="897"/>
      <c r="K116" s="897"/>
      <c r="L116" s="897"/>
      <c r="M116" s="897"/>
      <c r="N116" s="897"/>
      <c r="O116" s="897"/>
      <c r="P116" s="897">
        <f t="shared" si="27"/>
        <v>0</v>
      </c>
      <c r="Q116" s="898">
        <f t="shared" si="19"/>
        <v>0</v>
      </c>
      <c r="R116" s="936">
        <f t="shared" si="26"/>
        <v>0</v>
      </c>
      <c r="S116" s="935">
        <f t="shared" si="29"/>
        <v>0</v>
      </c>
      <c r="T116" s="935">
        <f t="shared" si="29"/>
        <v>0</v>
      </c>
      <c r="U116" s="935">
        <f t="shared" si="29"/>
        <v>0</v>
      </c>
      <c r="V116" s="935">
        <f t="shared" si="29"/>
        <v>0</v>
      </c>
      <c r="W116" s="935">
        <f t="shared" si="29"/>
        <v>0</v>
      </c>
      <c r="X116" s="935">
        <f t="shared" si="29"/>
        <v>0</v>
      </c>
      <c r="Y116" s="935">
        <f t="shared" si="23"/>
        <v>0</v>
      </c>
      <c r="Z116" s="935">
        <f t="shared" si="24"/>
        <v>0</v>
      </c>
    </row>
    <row r="117" spans="1:26" hidden="1">
      <c r="A117" s="986">
        <v>61366</v>
      </c>
      <c r="B117" s="993" t="s">
        <v>1857</v>
      </c>
      <c r="C117" s="897"/>
      <c r="D117" s="897"/>
      <c r="E117" s="937"/>
      <c r="F117" s="897"/>
      <c r="G117" s="897"/>
      <c r="H117" s="897"/>
      <c r="I117" s="897"/>
      <c r="J117" s="897"/>
      <c r="K117" s="897"/>
      <c r="L117" s="897"/>
      <c r="M117" s="897"/>
      <c r="N117" s="897"/>
      <c r="O117" s="897"/>
      <c r="P117" s="897">
        <f t="shared" si="27"/>
        <v>0</v>
      </c>
      <c r="Q117" s="898">
        <f t="shared" si="19"/>
        <v>0</v>
      </c>
      <c r="R117" s="936">
        <f t="shared" si="26"/>
        <v>0</v>
      </c>
      <c r="S117" s="935">
        <f t="shared" si="29"/>
        <v>0</v>
      </c>
      <c r="T117" s="935">
        <f t="shared" si="29"/>
        <v>0</v>
      </c>
      <c r="U117" s="935">
        <f t="shared" si="29"/>
        <v>0</v>
      </c>
      <c r="V117" s="935">
        <f t="shared" si="29"/>
        <v>0</v>
      </c>
      <c r="W117" s="935">
        <f t="shared" si="29"/>
        <v>0</v>
      </c>
      <c r="X117" s="935">
        <f t="shared" si="29"/>
        <v>0</v>
      </c>
      <c r="Y117" s="935">
        <f t="shared" si="23"/>
        <v>0</v>
      </c>
      <c r="Z117" s="935">
        <f t="shared" si="24"/>
        <v>0</v>
      </c>
    </row>
    <row r="118" spans="1:26">
      <c r="A118" s="984">
        <v>6139</v>
      </c>
      <c r="B118" s="991" t="s">
        <v>1858</v>
      </c>
      <c r="C118" s="897">
        <v>951469</v>
      </c>
      <c r="D118" s="897"/>
      <c r="E118" s="937">
        <v>267242</v>
      </c>
      <c r="F118" s="897">
        <v>261672</v>
      </c>
      <c r="G118" s="897">
        <v>261458</v>
      </c>
      <c r="H118" s="897">
        <v>260777</v>
      </c>
      <c r="I118" s="897">
        <v>276382</v>
      </c>
      <c r="J118" s="897">
        <v>309526</v>
      </c>
      <c r="K118" s="897"/>
      <c r="L118" s="897"/>
      <c r="M118" s="897"/>
      <c r="N118" s="897"/>
      <c r="O118" s="897"/>
      <c r="P118" s="897">
        <f t="shared" si="27"/>
        <v>1637057</v>
      </c>
      <c r="Q118" s="898">
        <f t="shared" si="19"/>
        <v>-685588</v>
      </c>
      <c r="R118" s="936">
        <f t="shared" si="26"/>
        <v>-97941.142857142855</v>
      </c>
      <c r="S118" s="935">
        <f t="shared" si="29"/>
        <v>-97941.142857142855</v>
      </c>
      <c r="T118" s="935">
        <f t="shared" si="29"/>
        <v>-97941.142857142855</v>
      </c>
      <c r="U118" s="935">
        <f t="shared" si="29"/>
        <v>-97941.142857142855</v>
      </c>
      <c r="V118" s="935">
        <f t="shared" si="29"/>
        <v>-97941.142857142855</v>
      </c>
      <c r="W118" s="935">
        <f t="shared" si="29"/>
        <v>-97941.142857142855</v>
      </c>
      <c r="X118" s="935">
        <f t="shared" si="29"/>
        <v>-97941.142857142855</v>
      </c>
      <c r="Y118" s="935">
        <f t="shared" si="23"/>
        <v>-685588</v>
      </c>
      <c r="Z118" s="935">
        <f t="shared" si="24"/>
        <v>0</v>
      </c>
    </row>
    <row r="119" spans="1:26" hidden="1">
      <c r="A119" s="958">
        <v>614</v>
      </c>
      <c r="B119" s="981" t="s">
        <v>1859</v>
      </c>
      <c r="C119" s="897"/>
      <c r="D119" s="897"/>
      <c r="E119" s="937">
        <f t="shared" ref="E119:E126" si="30">C119/12</f>
        <v>0</v>
      </c>
      <c r="F119" s="897">
        <f t="shared" ref="F119:M126" si="31">E119/12</f>
        <v>0</v>
      </c>
      <c r="G119" s="897">
        <f t="shared" si="31"/>
        <v>0</v>
      </c>
      <c r="H119" s="897">
        <f t="shared" si="31"/>
        <v>0</v>
      </c>
      <c r="I119" s="897">
        <f t="shared" si="31"/>
        <v>0</v>
      </c>
      <c r="J119" s="897">
        <f t="shared" si="31"/>
        <v>0</v>
      </c>
      <c r="K119" s="897">
        <f t="shared" si="31"/>
        <v>0</v>
      </c>
      <c r="L119" s="897">
        <f t="shared" si="31"/>
        <v>0</v>
      </c>
      <c r="M119" s="897">
        <f t="shared" si="31"/>
        <v>0</v>
      </c>
      <c r="N119" s="897"/>
      <c r="O119" s="897"/>
      <c r="P119" s="897">
        <f t="shared" si="27"/>
        <v>0</v>
      </c>
      <c r="Q119" s="898">
        <f t="shared" si="19"/>
        <v>0</v>
      </c>
      <c r="R119" s="936">
        <f t="shared" si="26"/>
        <v>0</v>
      </c>
      <c r="S119" s="935">
        <f t="shared" si="29"/>
        <v>0</v>
      </c>
      <c r="T119" s="935">
        <f t="shared" si="29"/>
        <v>0</v>
      </c>
      <c r="U119" s="935">
        <f t="shared" si="29"/>
        <v>0</v>
      </c>
      <c r="V119" s="935">
        <f t="shared" si="29"/>
        <v>0</v>
      </c>
      <c r="W119" s="935">
        <f t="shared" si="29"/>
        <v>0</v>
      </c>
      <c r="X119" s="935">
        <f t="shared" si="29"/>
        <v>0</v>
      </c>
      <c r="Y119" s="935">
        <f t="shared" si="23"/>
        <v>0</v>
      </c>
      <c r="Z119" s="935">
        <f t="shared" si="24"/>
        <v>0</v>
      </c>
    </row>
    <row r="120" spans="1:26" hidden="1">
      <c r="A120" s="984">
        <v>6141</v>
      </c>
      <c r="B120" s="991" t="s">
        <v>1860</v>
      </c>
      <c r="C120" s="897"/>
      <c r="D120" s="897"/>
      <c r="E120" s="937">
        <f t="shared" si="30"/>
        <v>0</v>
      </c>
      <c r="F120" s="897">
        <f t="shared" si="31"/>
        <v>0</v>
      </c>
      <c r="G120" s="897">
        <f t="shared" si="31"/>
        <v>0</v>
      </c>
      <c r="H120" s="897">
        <f t="shared" si="31"/>
        <v>0</v>
      </c>
      <c r="I120" s="897">
        <f t="shared" si="31"/>
        <v>0</v>
      </c>
      <c r="J120" s="897">
        <f t="shared" si="31"/>
        <v>0</v>
      </c>
      <c r="K120" s="897">
        <f t="shared" si="31"/>
        <v>0</v>
      </c>
      <c r="L120" s="897">
        <f t="shared" si="31"/>
        <v>0</v>
      </c>
      <c r="M120" s="897">
        <f t="shared" si="31"/>
        <v>0</v>
      </c>
      <c r="N120" s="897"/>
      <c r="O120" s="897"/>
      <c r="P120" s="897">
        <f t="shared" si="27"/>
        <v>0</v>
      </c>
      <c r="Q120" s="898">
        <f t="shared" si="19"/>
        <v>0</v>
      </c>
      <c r="R120" s="936">
        <f t="shared" si="26"/>
        <v>0</v>
      </c>
      <c r="S120" s="935">
        <f t="shared" si="29"/>
        <v>0</v>
      </c>
      <c r="T120" s="935">
        <f t="shared" si="29"/>
        <v>0</v>
      </c>
      <c r="U120" s="935">
        <f t="shared" si="29"/>
        <v>0</v>
      </c>
      <c r="V120" s="935">
        <f t="shared" si="29"/>
        <v>0</v>
      </c>
      <c r="W120" s="935">
        <f t="shared" si="29"/>
        <v>0</v>
      </c>
      <c r="X120" s="935">
        <f t="shared" si="29"/>
        <v>0</v>
      </c>
      <c r="Y120" s="935">
        <f t="shared" si="23"/>
        <v>0</v>
      </c>
      <c r="Z120" s="935">
        <f t="shared" si="24"/>
        <v>0</v>
      </c>
    </row>
    <row r="121" spans="1:26" hidden="1">
      <c r="A121" s="984">
        <v>6143</v>
      </c>
      <c r="B121" s="991" t="s">
        <v>1861</v>
      </c>
      <c r="C121" s="897"/>
      <c r="D121" s="897"/>
      <c r="E121" s="937">
        <f t="shared" si="30"/>
        <v>0</v>
      </c>
      <c r="F121" s="897">
        <f t="shared" si="31"/>
        <v>0</v>
      </c>
      <c r="G121" s="897">
        <f t="shared" si="31"/>
        <v>0</v>
      </c>
      <c r="H121" s="897">
        <f t="shared" si="31"/>
        <v>0</v>
      </c>
      <c r="I121" s="897">
        <f t="shared" si="31"/>
        <v>0</v>
      </c>
      <c r="J121" s="897">
        <f t="shared" si="31"/>
        <v>0</v>
      </c>
      <c r="K121" s="897">
        <f t="shared" si="31"/>
        <v>0</v>
      </c>
      <c r="L121" s="897">
        <f t="shared" si="31"/>
        <v>0</v>
      </c>
      <c r="M121" s="897">
        <f t="shared" si="31"/>
        <v>0</v>
      </c>
      <c r="N121" s="897"/>
      <c r="O121" s="897"/>
      <c r="P121" s="897">
        <f t="shared" si="27"/>
        <v>0</v>
      </c>
      <c r="Q121" s="898">
        <f t="shared" si="19"/>
        <v>0</v>
      </c>
      <c r="R121" s="936">
        <f t="shared" si="26"/>
        <v>0</v>
      </c>
      <c r="S121" s="935">
        <f t="shared" si="29"/>
        <v>0</v>
      </c>
      <c r="T121" s="935">
        <f t="shared" si="29"/>
        <v>0</v>
      </c>
      <c r="U121" s="935">
        <f t="shared" si="29"/>
        <v>0</v>
      </c>
      <c r="V121" s="935">
        <f t="shared" si="29"/>
        <v>0</v>
      </c>
      <c r="W121" s="935">
        <f t="shared" si="29"/>
        <v>0</v>
      </c>
      <c r="X121" s="935">
        <f t="shared" si="29"/>
        <v>0</v>
      </c>
      <c r="Y121" s="935">
        <f t="shared" si="23"/>
        <v>0</v>
      </c>
      <c r="Z121" s="935">
        <f t="shared" si="24"/>
        <v>0</v>
      </c>
    </row>
    <row r="122" spans="1:26" hidden="1">
      <c r="A122" s="984">
        <v>6149</v>
      </c>
      <c r="B122" s="991" t="s">
        <v>1862</v>
      </c>
      <c r="C122" s="897"/>
      <c r="D122" s="897"/>
      <c r="E122" s="937">
        <f t="shared" si="30"/>
        <v>0</v>
      </c>
      <c r="F122" s="897">
        <f t="shared" si="31"/>
        <v>0</v>
      </c>
      <c r="G122" s="897">
        <f t="shared" si="31"/>
        <v>0</v>
      </c>
      <c r="H122" s="897">
        <f t="shared" si="31"/>
        <v>0</v>
      </c>
      <c r="I122" s="897">
        <f t="shared" si="31"/>
        <v>0</v>
      </c>
      <c r="J122" s="897">
        <f t="shared" si="31"/>
        <v>0</v>
      </c>
      <c r="K122" s="897">
        <f t="shared" si="31"/>
        <v>0</v>
      </c>
      <c r="L122" s="897">
        <f t="shared" si="31"/>
        <v>0</v>
      </c>
      <c r="M122" s="897">
        <f t="shared" si="31"/>
        <v>0</v>
      </c>
      <c r="N122" s="897"/>
      <c r="O122" s="897"/>
      <c r="P122" s="897">
        <f t="shared" si="27"/>
        <v>0</v>
      </c>
      <c r="Q122" s="898">
        <f t="shared" si="19"/>
        <v>0</v>
      </c>
      <c r="R122" s="936">
        <f t="shared" si="26"/>
        <v>0</v>
      </c>
      <c r="S122" s="935">
        <f t="shared" si="29"/>
        <v>0</v>
      </c>
      <c r="T122" s="935">
        <f t="shared" si="29"/>
        <v>0</v>
      </c>
      <c r="U122" s="935">
        <f t="shared" si="29"/>
        <v>0</v>
      </c>
      <c r="V122" s="935">
        <f t="shared" si="29"/>
        <v>0</v>
      </c>
      <c r="W122" s="935">
        <f t="shared" si="29"/>
        <v>0</v>
      </c>
      <c r="X122" s="935">
        <f t="shared" si="29"/>
        <v>0</v>
      </c>
      <c r="Y122" s="935">
        <f t="shared" si="23"/>
        <v>0</v>
      </c>
      <c r="Z122" s="935">
        <f t="shared" si="24"/>
        <v>0</v>
      </c>
    </row>
    <row r="123" spans="1:26" hidden="1">
      <c r="A123" s="958">
        <v>615</v>
      </c>
      <c r="B123" s="981" t="s">
        <v>1863</v>
      </c>
      <c r="C123" s="897"/>
      <c r="D123" s="897"/>
      <c r="E123" s="937">
        <f t="shared" si="30"/>
        <v>0</v>
      </c>
      <c r="F123" s="897">
        <f t="shared" si="31"/>
        <v>0</v>
      </c>
      <c r="G123" s="897">
        <f t="shared" si="31"/>
        <v>0</v>
      </c>
      <c r="H123" s="897">
        <f t="shared" si="31"/>
        <v>0</v>
      </c>
      <c r="I123" s="897">
        <f t="shared" si="31"/>
        <v>0</v>
      </c>
      <c r="J123" s="897">
        <f t="shared" si="31"/>
        <v>0</v>
      </c>
      <c r="K123" s="897">
        <f t="shared" si="31"/>
        <v>0</v>
      </c>
      <c r="L123" s="897">
        <f t="shared" si="31"/>
        <v>0</v>
      </c>
      <c r="M123" s="897">
        <f t="shared" si="31"/>
        <v>0</v>
      </c>
      <c r="N123" s="897"/>
      <c r="O123" s="897"/>
      <c r="P123" s="897">
        <f t="shared" si="27"/>
        <v>0</v>
      </c>
      <c r="Q123" s="898">
        <f t="shared" si="19"/>
        <v>0</v>
      </c>
      <c r="R123" s="936">
        <f t="shared" si="26"/>
        <v>0</v>
      </c>
      <c r="S123" s="935">
        <f t="shared" si="29"/>
        <v>0</v>
      </c>
      <c r="T123" s="935">
        <f t="shared" si="29"/>
        <v>0</v>
      </c>
      <c r="U123" s="935">
        <f t="shared" si="29"/>
        <v>0</v>
      </c>
      <c r="V123" s="935">
        <f t="shared" si="29"/>
        <v>0</v>
      </c>
      <c r="W123" s="935">
        <f t="shared" si="29"/>
        <v>0</v>
      </c>
      <c r="X123" s="935">
        <f t="shared" si="29"/>
        <v>0</v>
      </c>
      <c r="Y123" s="935">
        <f t="shared" si="23"/>
        <v>0</v>
      </c>
      <c r="Z123" s="935">
        <f t="shared" si="24"/>
        <v>0</v>
      </c>
    </row>
    <row r="124" spans="1:26" hidden="1">
      <c r="A124" s="958">
        <v>616</v>
      </c>
      <c r="B124" s="981" t="s">
        <v>1864</v>
      </c>
      <c r="C124" s="897"/>
      <c r="D124" s="897"/>
      <c r="E124" s="937">
        <f t="shared" si="30"/>
        <v>0</v>
      </c>
      <c r="F124" s="897">
        <f t="shared" si="31"/>
        <v>0</v>
      </c>
      <c r="G124" s="897">
        <f t="shared" si="31"/>
        <v>0</v>
      </c>
      <c r="H124" s="897">
        <f t="shared" si="31"/>
        <v>0</v>
      </c>
      <c r="I124" s="897">
        <f t="shared" si="31"/>
        <v>0</v>
      </c>
      <c r="J124" s="897">
        <f t="shared" si="31"/>
        <v>0</v>
      </c>
      <c r="K124" s="897">
        <f t="shared" si="31"/>
        <v>0</v>
      </c>
      <c r="L124" s="897">
        <f t="shared" si="31"/>
        <v>0</v>
      </c>
      <c r="M124" s="897">
        <f t="shared" si="31"/>
        <v>0</v>
      </c>
      <c r="N124" s="897"/>
      <c r="O124" s="897"/>
      <c r="P124" s="897">
        <f t="shared" si="27"/>
        <v>0</v>
      </c>
      <c r="Q124" s="898">
        <f t="shared" si="19"/>
        <v>0</v>
      </c>
      <c r="R124" s="936">
        <f t="shared" si="26"/>
        <v>0</v>
      </c>
      <c r="S124" s="935">
        <f t="shared" si="29"/>
        <v>0</v>
      </c>
      <c r="T124" s="935">
        <f t="shared" si="29"/>
        <v>0</v>
      </c>
      <c r="U124" s="935">
        <f t="shared" si="29"/>
        <v>0</v>
      </c>
      <c r="V124" s="935">
        <f t="shared" si="29"/>
        <v>0</v>
      </c>
      <c r="W124" s="935">
        <f t="shared" si="29"/>
        <v>0</v>
      </c>
      <c r="X124" s="935">
        <f t="shared" si="29"/>
        <v>0</v>
      </c>
      <c r="Y124" s="935">
        <f t="shared" si="23"/>
        <v>0</v>
      </c>
      <c r="Z124" s="935">
        <f t="shared" si="24"/>
        <v>0</v>
      </c>
    </row>
    <row r="125" spans="1:26" hidden="1">
      <c r="A125" s="984">
        <v>6161</v>
      </c>
      <c r="B125" s="991" t="s">
        <v>1865</v>
      </c>
      <c r="C125" s="897"/>
      <c r="D125" s="897"/>
      <c r="E125" s="937">
        <f t="shared" si="30"/>
        <v>0</v>
      </c>
      <c r="F125" s="897">
        <f t="shared" si="31"/>
        <v>0</v>
      </c>
      <c r="G125" s="897">
        <f t="shared" si="31"/>
        <v>0</v>
      </c>
      <c r="H125" s="897">
        <f t="shared" si="31"/>
        <v>0</v>
      </c>
      <c r="I125" s="897">
        <f t="shared" si="31"/>
        <v>0</v>
      </c>
      <c r="J125" s="897">
        <f t="shared" si="31"/>
        <v>0</v>
      </c>
      <c r="K125" s="897">
        <f t="shared" si="31"/>
        <v>0</v>
      </c>
      <c r="L125" s="897">
        <f t="shared" si="31"/>
        <v>0</v>
      </c>
      <c r="M125" s="897">
        <f t="shared" si="31"/>
        <v>0</v>
      </c>
      <c r="N125" s="897"/>
      <c r="O125" s="897"/>
      <c r="P125" s="897">
        <f t="shared" si="27"/>
        <v>0</v>
      </c>
      <c r="Q125" s="898">
        <f t="shared" si="19"/>
        <v>0</v>
      </c>
      <c r="R125" s="936">
        <f t="shared" si="26"/>
        <v>0</v>
      </c>
      <c r="S125" s="935">
        <f t="shared" si="29"/>
        <v>0</v>
      </c>
      <c r="T125" s="935">
        <f t="shared" si="29"/>
        <v>0</v>
      </c>
      <c r="U125" s="935">
        <f t="shared" si="29"/>
        <v>0</v>
      </c>
      <c r="V125" s="935">
        <f t="shared" si="29"/>
        <v>0</v>
      </c>
      <c r="W125" s="935">
        <f t="shared" si="29"/>
        <v>0</v>
      </c>
      <c r="X125" s="935">
        <f t="shared" si="29"/>
        <v>0</v>
      </c>
      <c r="Y125" s="935">
        <f t="shared" si="23"/>
        <v>0</v>
      </c>
      <c r="Z125" s="935">
        <f t="shared" si="24"/>
        <v>0</v>
      </c>
    </row>
    <row r="126" spans="1:26" hidden="1">
      <c r="A126" s="984">
        <v>6162</v>
      </c>
      <c r="B126" s="991" t="s">
        <v>1866</v>
      </c>
      <c r="C126" s="897"/>
      <c r="D126" s="897"/>
      <c r="E126" s="937">
        <f t="shared" si="30"/>
        <v>0</v>
      </c>
      <c r="F126" s="897">
        <f t="shared" si="31"/>
        <v>0</v>
      </c>
      <c r="G126" s="897">
        <f t="shared" si="31"/>
        <v>0</v>
      </c>
      <c r="H126" s="897">
        <f t="shared" si="31"/>
        <v>0</v>
      </c>
      <c r="I126" s="897">
        <f t="shared" si="31"/>
        <v>0</v>
      </c>
      <c r="J126" s="897">
        <f t="shared" si="31"/>
        <v>0</v>
      </c>
      <c r="K126" s="897">
        <f t="shared" si="31"/>
        <v>0</v>
      </c>
      <c r="L126" s="897">
        <f t="shared" si="31"/>
        <v>0</v>
      </c>
      <c r="M126" s="897">
        <f t="shared" si="31"/>
        <v>0</v>
      </c>
      <c r="N126" s="897"/>
      <c r="O126" s="897"/>
      <c r="P126" s="897">
        <f t="shared" si="27"/>
        <v>0</v>
      </c>
      <c r="Q126" s="898">
        <f t="shared" si="19"/>
        <v>0</v>
      </c>
      <c r="R126" s="936">
        <f t="shared" si="26"/>
        <v>0</v>
      </c>
      <c r="S126" s="935">
        <f t="shared" si="29"/>
        <v>0</v>
      </c>
      <c r="T126" s="935">
        <f t="shared" si="29"/>
        <v>0</v>
      </c>
      <c r="U126" s="935">
        <f t="shared" si="29"/>
        <v>0</v>
      </c>
      <c r="V126" s="935">
        <f t="shared" si="29"/>
        <v>0</v>
      </c>
      <c r="W126" s="935">
        <f t="shared" si="29"/>
        <v>0</v>
      </c>
      <c r="X126" s="935">
        <f t="shared" si="29"/>
        <v>0</v>
      </c>
      <c r="Y126" s="935">
        <f t="shared" si="23"/>
        <v>0</v>
      </c>
      <c r="Z126" s="935">
        <f t="shared" si="24"/>
        <v>0</v>
      </c>
    </row>
    <row r="127" spans="1:26" ht="26.25">
      <c r="A127" s="945">
        <v>619</v>
      </c>
      <c r="B127" s="1138" t="s">
        <v>1867</v>
      </c>
      <c r="C127" s="908">
        <f>C128</f>
        <v>75000</v>
      </c>
      <c r="D127" s="908"/>
      <c r="E127" s="943">
        <f t="shared" ref="E127:O127" si="32">E128</f>
        <v>4500</v>
      </c>
      <c r="F127" s="908">
        <f t="shared" si="32"/>
        <v>0</v>
      </c>
      <c r="G127" s="908">
        <f t="shared" si="32"/>
        <v>19601</v>
      </c>
      <c r="H127" s="908">
        <f t="shared" si="32"/>
        <v>30512</v>
      </c>
      <c r="I127" s="908">
        <f t="shared" si="32"/>
        <v>26651</v>
      </c>
      <c r="J127" s="908">
        <f t="shared" si="32"/>
        <v>17000</v>
      </c>
      <c r="K127" s="908">
        <f t="shared" si="32"/>
        <v>0</v>
      </c>
      <c r="L127" s="908">
        <f t="shared" si="32"/>
        <v>0</v>
      </c>
      <c r="M127" s="908">
        <f t="shared" si="32"/>
        <v>0</v>
      </c>
      <c r="N127" s="908">
        <f t="shared" si="32"/>
        <v>0</v>
      </c>
      <c r="O127" s="908">
        <f t="shared" si="32"/>
        <v>0</v>
      </c>
      <c r="P127" s="908">
        <f>SUM(E127:N127)</f>
        <v>98264</v>
      </c>
      <c r="Q127" s="909">
        <f t="shared" si="19"/>
        <v>-23264</v>
      </c>
      <c r="R127" s="960">
        <f t="shared" si="26"/>
        <v>-3323.4285714285716</v>
      </c>
      <c r="S127" s="959">
        <f t="shared" si="29"/>
        <v>-3323.4285714285716</v>
      </c>
      <c r="T127" s="959">
        <f t="shared" si="29"/>
        <v>-3323.4285714285716</v>
      </c>
      <c r="U127" s="959">
        <f t="shared" si="29"/>
        <v>-3323.4285714285716</v>
      </c>
      <c r="V127" s="959">
        <f t="shared" si="29"/>
        <v>-3323.4285714285716</v>
      </c>
      <c r="W127" s="959">
        <f t="shared" si="29"/>
        <v>-3323.4285714285716</v>
      </c>
      <c r="X127" s="959">
        <f t="shared" si="29"/>
        <v>-3323.4285714285716</v>
      </c>
      <c r="Y127" s="959">
        <f t="shared" si="23"/>
        <v>-23264.000000000004</v>
      </c>
      <c r="Z127" s="959">
        <f t="shared" si="24"/>
        <v>0</v>
      </c>
    </row>
    <row r="128" spans="1:26">
      <c r="A128" s="984">
        <v>6151</v>
      </c>
      <c r="B128" s="991" t="s">
        <v>1868</v>
      </c>
      <c r="C128" s="897">
        <v>75000</v>
      </c>
      <c r="D128" s="897"/>
      <c r="E128" s="937">
        <v>4500</v>
      </c>
      <c r="F128" s="897"/>
      <c r="G128" s="897">
        <v>19601</v>
      </c>
      <c r="H128" s="897">
        <v>30512</v>
      </c>
      <c r="I128" s="897">
        <v>26651</v>
      </c>
      <c r="J128" s="897">
        <v>17000</v>
      </c>
      <c r="K128" s="897"/>
      <c r="L128" s="897"/>
      <c r="M128" s="897"/>
      <c r="N128" s="897"/>
      <c r="O128" s="897"/>
      <c r="P128" s="897">
        <f>SUM(E128:N128)</f>
        <v>98264</v>
      </c>
      <c r="Q128" s="898">
        <f t="shared" si="19"/>
        <v>-23264</v>
      </c>
      <c r="R128" s="936"/>
      <c r="S128" s="935"/>
      <c r="T128" s="935"/>
      <c r="U128" s="935"/>
      <c r="V128" s="935"/>
      <c r="W128" s="935"/>
      <c r="X128" s="935"/>
      <c r="Y128" s="935"/>
      <c r="Z128" s="935">
        <f t="shared" si="24"/>
        <v>-23264</v>
      </c>
    </row>
    <row r="129" spans="1:26">
      <c r="A129" s="949" t="s">
        <v>1869</v>
      </c>
      <c r="B129" s="948" t="s">
        <v>1870</v>
      </c>
      <c r="C129" s="894">
        <f>C130+C142+C152+C156+C159+C162+C167</f>
        <v>3765492</v>
      </c>
      <c r="D129" s="894"/>
      <c r="E129" s="947">
        <f>+E130+E142+E150+E152+E156+E159+E162+E167</f>
        <v>158327</v>
      </c>
      <c r="F129" s="894">
        <f>+F130+F142+F152+F156+F159+F162+F167</f>
        <v>594640</v>
      </c>
      <c r="G129" s="894">
        <f t="shared" ref="G129:O129" si="33">G130+G142+G152+G156+G159+G162+G167</f>
        <v>808850</v>
      </c>
      <c r="H129" s="894">
        <f t="shared" si="33"/>
        <v>1201045</v>
      </c>
      <c r="I129" s="894">
        <f t="shared" si="33"/>
        <v>248440</v>
      </c>
      <c r="J129" s="894">
        <f t="shared" si="33"/>
        <v>276778</v>
      </c>
      <c r="K129" s="894">
        <f t="shared" si="33"/>
        <v>0</v>
      </c>
      <c r="L129" s="894">
        <f t="shared" si="33"/>
        <v>0</v>
      </c>
      <c r="M129" s="894">
        <f t="shared" si="33"/>
        <v>0</v>
      </c>
      <c r="N129" s="894">
        <f t="shared" si="33"/>
        <v>0</v>
      </c>
      <c r="O129" s="894">
        <f t="shared" si="33"/>
        <v>0</v>
      </c>
      <c r="P129" s="894">
        <f>SUM(E129:N129)</f>
        <v>3288080</v>
      </c>
      <c r="Q129" s="895">
        <f t="shared" si="19"/>
        <v>477412</v>
      </c>
      <c r="R129" s="1014">
        <f>R130+R142+R152+R156+R159+R162+R167</f>
        <v>577782.39999999991</v>
      </c>
      <c r="S129" s="989">
        <f t="shared" si="29"/>
        <v>577782.39999999991</v>
      </c>
      <c r="T129" s="989">
        <f t="shared" si="29"/>
        <v>577782.39999999991</v>
      </c>
      <c r="U129" s="989">
        <f t="shared" si="29"/>
        <v>577782.39999999991</v>
      </c>
      <c r="V129" s="989">
        <f t="shared" si="29"/>
        <v>577782.39999999991</v>
      </c>
      <c r="W129" s="989">
        <f t="shared" si="29"/>
        <v>577782.39999999991</v>
      </c>
      <c r="X129" s="989">
        <f t="shared" si="29"/>
        <v>577782.39999999991</v>
      </c>
      <c r="Y129" s="989">
        <f t="shared" si="23"/>
        <v>4044476.7999999993</v>
      </c>
      <c r="Z129" s="989">
        <f t="shared" si="24"/>
        <v>-3567064.7999999993</v>
      </c>
    </row>
    <row r="130" spans="1:26" ht="13.5">
      <c r="A130" s="945">
        <v>621</v>
      </c>
      <c r="B130" s="944" t="s">
        <v>1871</v>
      </c>
      <c r="C130" s="908">
        <f>SUM(C131:C139)</f>
        <v>1047433</v>
      </c>
      <c r="D130" s="908"/>
      <c r="E130" s="943">
        <f>SUM(E131:E139)</f>
        <v>0</v>
      </c>
      <c r="F130" s="908">
        <f t="shared" ref="F130:O130" si="34">SUM(F131:F139)</f>
        <v>5161</v>
      </c>
      <c r="G130" s="908">
        <f t="shared" si="34"/>
        <v>179992</v>
      </c>
      <c r="H130" s="908">
        <f t="shared" si="34"/>
        <v>385697</v>
      </c>
      <c r="I130" s="908">
        <f t="shared" si="34"/>
        <v>27037</v>
      </c>
      <c r="J130" s="908">
        <f t="shared" si="34"/>
        <v>24664</v>
      </c>
      <c r="K130" s="908">
        <f t="shared" si="34"/>
        <v>0</v>
      </c>
      <c r="L130" s="908">
        <f t="shared" si="34"/>
        <v>0</v>
      </c>
      <c r="M130" s="908">
        <f t="shared" si="34"/>
        <v>0</v>
      </c>
      <c r="N130" s="908">
        <f t="shared" si="34"/>
        <v>0</v>
      </c>
      <c r="O130" s="908">
        <f t="shared" si="34"/>
        <v>0</v>
      </c>
      <c r="P130" s="908">
        <f>SUM(E131:N139)</f>
        <v>622551</v>
      </c>
      <c r="Q130" s="909">
        <f t="shared" si="19"/>
        <v>424882</v>
      </c>
      <c r="R130" s="988">
        <f>SUM(R131:R139)</f>
        <v>124510.2</v>
      </c>
      <c r="S130" s="959">
        <f t="shared" si="29"/>
        <v>124510.2</v>
      </c>
      <c r="T130" s="959">
        <f t="shared" si="29"/>
        <v>124510.2</v>
      </c>
      <c r="U130" s="959">
        <f t="shared" si="29"/>
        <v>124510.2</v>
      </c>
      <c r="V130" s="959">
        <f t="shared" si="29"/>
        <v>124510.2</v>
      </c>
      <c r="W130" s="959">
        <f t="shared" si="29"/>
        <v>124510.2</v>
      </c>
      <c r="X130" s="959">
        <f t="shared" si="29"/>
        <v>124510.2</v>
      </c>
      <c r="Y130" s="959">
        <f t="shared" si="23"/>
        <v>871571.39999999991</v>
      </c>
      <c r="Z130" s="959">
        <f t="shared" si="24"/>
        <v>-446689.39999999991</v>
      </c>
    </row>
    <row r="131" spans="1:26">
      <c r="A131" s="1173">
        <v>2311</v>
      </c>
      <c r="B131" s="1017" t="s">
        <v>1872</v>
      </c>
      <c r="C131" s="900">
        <v>32481</v>
      </c>
      <c r="D131" s="900"/>
      <c r="E131" s="937">
        <v>0</v>
      </c>
      <c r="F131" s="897"/>
      <c r="G131" s="897"/>
      <c r="H131" s="897"/>
      <c r="I131" s="897">
        <v>3700</v>
      </c>
      <c r="J131" s="897">
        <v>254</v>
      </c>
      <c r="K131" s="897"/>
      <c r="L131" s="897"/>
      <c r="M131" s="897"/>
      <c r="N131" s="897"/>
      <c r="O131" s="897"/>
      <c r="P131" s="897">
        <f>SUM(E131:N131)</f>
        <v>3954</v>
      </c>
      <c r="Q131" s="898">
        <f t="shared" si="19"/>
        <v>28527</v>
      </c>
      <c r="R131" s="936">
        <f t="shared" ref="R131:R139" si="35">P131/5</f>
        <v>790.8</v>
      </c>
      <c r="S131" s="935">
        <f t="shared" ref="S131:X146" si="36">R131</f>
        <v>790.8</v>
      </c>
      <c r="T131" s="935">
        <f t="shared" si="36"/>
        <v>790.8</v>
      </c>
      <c r="U131" s="935">
        <f t="shared" si="36"/>
        <v>790.8</v>
      </c>
      <c r="V131" s="935">
        <f t="shared" si="36"/>
        <v>790.8</v>
      </c>
      <c r="W131" s="935">
        <f t="shared" si="36"/>
        <v>790.8</v>
      </c>
      <c r="X131" s="935">
        <f t="shared" si="36"/>
        <v>790.8</v>
      </c>
      <c r="Y131" s="935">
        <f t="shared" si="23"/>
        <v>5535.6</v>
      </c>
      <c r="Z131" s="935">
        <f t="shared" si="24"/>
        <v>22991.4</v>
      </c>
    </row>
    <row r="132" spans="1:26">
      <c r="A132" s="1173">
        <v>6211</v>
      </c>
      <c r="B132" s="1017" t="s">
        <v>1873</v>
      </c>
      <c r="C132" s="900">
        <v>27068</v>
      </c>
      <c r="D132" s="900"/>
      <c r="E132" s="937"/>
      <c r="F132" s="897"/>
      <c r="G132" s="897"/>
      <c r="H132" s="897"/>
      <c r="I132" s="897"/>
      <c r="J132" s="897"/>
      <c r="K132" s="897"/>
      <c r="L132" s="897"/>
      <c r="M132" s="897"/>
      <c r="N132" s="897"/>
      <c r="O132" s="897"/>
      <c r="P132" s="897">
        <f t="shared" ref="P132:P141" si="37">SUM(E132:N132)</f>
        <v>0</v>
      </c>
      <c r="Q132" s="898">
        <f t="shared" si="19"/>
        <v>27068</v>
      </c>
      <c r="R132" s="936">
        <f t="shared" si="35"/>
        <v>0</v>
      </c>
      <c r="S132" s="935">
        <f t="shared" si="36"/>
        <v>0</v>
      </c>
      <c r="T132" s="935">
        <f t="shared" si="36"/>
        <v>0</v>
      </c>
      <c r="U132" s="935">
        <f t="shared" si="36"/>
        <v>0</v>
      </c>
      <c r="V132" s="935">
        <f t="shared" si="36"/>
        <v>0</v>
      </c>
      <c r="W132" s="935">
        <f t="shared" si="36"/>
        <v>0</v>
      </c>
      <c r="X132" s="935">
        <f t="shared" si="36"/>
        <v>0</v>
      </c>
      <c r="Y132" s="935">
        <f t="shared" si="23"/>
        <v>0</v>
      </c>
      <c r="Z132" s="935">
        <f t="shared" si="24"/>
        <v>27068</v>
      </c>
    </row>
    <row r="133" spans="1:26">
      <c r="A133" s="1173">
        <v>6212</v>
      </c>
      <c r="B133" s="1017" t="s">
        <v>1874</v>
      </c>
      <c r="C133" s="900">
        <v>721275</v>
      </c>
      <c r="D133" s="900"/>
      <c r="E133" s="937"/>
      <c r="F133" s="897">
        <v>2824</v>
      </c>
      <c r="G133" s="897">
        <v>174909</v>
      </c>
      <c r="H133" s="897">
        <v>382302</v>
      </c>
      <c r="I133" s="897">
        <v>22647</v>
      </c>
      <c r="J133" s="897">
        <v>13290</v>
      </c>
      <c r="K133" s="897"/>
      <c r="L133" s="897"/>
      <c r="M133" s="897"/>
      <c r="N133" s="897"/>
      <c r="O133" s="897"/>
      <c r="P133" s="897">
        <f t="shared" si="37"/>
        <v>595972</v>
      </c>
      <c r="Q133" s="898">
        <f t="shared" si="19"/>
        <v>125303</v>
      </c>
      <c r="R133" s="936">
        <f t="shared" si="35"/>
        <v>119194.4</v>
      </c>
      <c r="S133" s="935">
        <f t="shared" si="36"/>
        <v>119194.4</v>
      </c>
      <c r="T133" s="935">
        <f t="shared" si="36"/>
        <v>119194.4</v>
      </c>
      <c r="U133" s="935">
        <f t="shared" si="36"/>
        <v>119194.4</v>
      </c>
      <c r="V133" s="935">
        <f t="shared" si="36"/>
        <v>119194.4</v>
      </c>
      <c r="W133" s="935">
        <f t="shared" si="36"/>
        <v>119194.4</v>
      </c>
      <c r="X133" s="935">
        <f t="shared" si="36"/>
        <v>119194.4</v>
      </c>
      <c r="Y133" s="935">
        <f t="shared" si="23"/>
        <v>834360.8</v>
      </c>
      <c r="Z133" s="935">
        <f t="shared" si="24"/>
        <v>-709057.8</v>
      </c>
    </row>
    <row r="134" spans="1:26">
      <c r="A134" s="1173">
        <v>6213</v>
      </c>
      <c r="B134" s="1017" t="s">
        <v>1875</v>
      </c>
      <c r="C134" s="900">
        <v>55901</v>
      </c>
      <c r="D134" s="900"/>
      <c r="E134" s="937"/>
      <c r="F134" s="897">
        <v>967</v>
      </c>
      <c r="G134" s="897"/>
      <c r="H134" s="897">
        <v>85</v>
      </c>
      <c r="I134" s="897"/>
      <c r="J134" s="897"/>
      <c r="K134" s="897"/>
      <c r="L134" s="897"/>
      <c r="M134" s="897"/>
      <c r="N134" s="897"/>
      <c r="O134" s="897"/>
      <c r="P134" s="897">
        <f t="shared" si="37"/>
        <v>1052</v>
      </c>
      <c r="Q134" s="898">
        <f t="shared" si="19"/>
        <v>54849</v>
      </c>
      <c r="R134" s="936">
        <f t="shared" si="35"/>
        <v>210.4</v>
      </c>
      <c r="S134" s="935">
        <f t="shared" si="36"/>
        <v>210.4</v>
      </c>
      <c r="T134" s="935">
        <f t="shared" si="36"/>
        <v>210.4</v>
      </c>
      <c r="U134" s="935">
        <f t="shared" si="36"/>
        <v>210.4</v>
      </c>
      <c r="V134" s="935">
        <f t="shared" si="36"/>
        <v>210.4</v>
      </c>
      <c r="W134" s="935">
        <f t="shared" si="36"/>
        <v>210.4</v>
      </c>
      <c r="X134" s="935">
        <f t="shared" si="36"/>
        <v>210.4</v>
      </c>
      <c r="Y134" s="935">
        <f t="shared" si="23"/>
        <v>1472.8000000000002</v>
      </c>
      <c r="Z134" s="935">
        <f t="shared" si="24"/>
        <v>53376.2</v>
      </c>
    </row>
    <row r="135" spans="1:26">
      <c r="A135" s="1173">
        <v>2411</v>
      </c>
      <c r="B135" s="1017" t="s">
        <v>1876</v>
      </c>
      <c r="C135" s="900">
        <v>40122</v>
      </c>
      <c r="D135" s="900"/>
      <c r="E135" s="937"/>
      <c r="F135" s="897">
        <v>370</v>
      </c>
      <c r="G135" s="897"/>
      <c r="H135" s="897"/>
      <c r="I135" s="897"/>
      <c r="J135" s="897"/>
      <c r="K135" s="897"/>
      <c r="L135" s="897"/>
      <c r="M135" s="897"/>
      <c r="N135" s="897"/>
      <c r="O135" s="897"/>
      <c r="P135" s="897">
        <f t="shared" si="37"/>
        <v>370</v>
      </c>
      <c r="Q135" s="898">
        <f t="shared" si="19"/>
        <v>39752</v>
      </c>
      <c r="R135" s="936">
        <f t="shared" si="35"/>
        <v>74</v>
      </c>
      <c r="S135" s="935">
        <f t="shared" si="36"/>
        <v>74</v>
      </c>
      <c r="T135" s="935">
        <f t="shared" si="36"/>
        <v>74</v>
      </c>
      <c r="U135" s="935">
        <f t="shared" si="36"/>
        <v>74</v>
      </c>
      <c r="V135" s="935">
        <f t="shared" si="36"/>
        <v>74</v>
      </c>
      <c r="W135" s="935">
        <f t="shared" si="36"/>
        <v>74</v>
      </c>
      <c r="X135" s="935">
        <f t="shared" si="36"/>
        <v>74</v>
      </c>
      <c r="Y135" s="935">
        <f t="shared" si="23"/>
        <v>518</v>
      </c>
      <c r="Z135" s="935">
        <f t="shared" si="24"/>
        <v>39234</v>
      </c>
    </row>
    <row r="136" spans="1:26">
      <c r="A136" s="1173">
        <v>2445</v>
      </c>
      <c r="B136" s="1017" t="s">
        <v>1877</v>
      </c>
      <c r="C136" s="900">
        <v>62966</v>
      </c>
      <c r="D136" s="900"/>
      <c r="E136" s="937"/>
      <c r="F136" s="897"/>
      <c r="G136" s="897"/>
      <c r="H136" s="897">
        <v>1300</v>
      </c>
      <c r="I136" s="897"/>
      <c r="J136" s="897"/>
      <c r="K136" s="897"/>
      <c r="L136" s="897"/>
      <c r="M136" s="897"/>
      <c r="N136" s="897"/>
      <c r="O136" s="897"/>
      <c r="P136" s="897">
        <f t="shared" si="37"/>
        <v>1300</v>
      </c>
      <c r="Q136" s="898">
        <f t="shared" si="19"/>
        <v>61666</v>
      </c>
      <c r="R136" s="936">
        <f t="shared" si="35"/>
        <v>260</v>
      </c>
      <c r="S136" s="935">
        <f t="shared" si="36"/>
        <v>260</v>
      </c>
      <c r="T136" s="935">
        <f t="shared" si="36"/>
        <v>260</v>
      </c>
      <c r="U136" s="935">
        <f t="shared" si="36"/>
        <v>260</v>
      </c>
      <c r="V136" s="935">
        <f t="shared" si="36"/>
        <v>260</v>
      </c>
      <c r="W136" s="935">
        <f t="shared" si="36"/>
        <v>260</v>
      </c>
      <c r="X136" s="935">
        <f t="shared" si="36"/>
        <v>260</v>
      </c>
      <c r="Y136" s="935">
        <f t="shared" si="23"/>
        <v>1820</v>
      </c>
      <c r="Z136" s="935">
        <f t="shared" si="24"/>
        <v>59846</v>
      </c>
    </row>
    <row r="137" spans="1:26" hidden="1">
      <c r="A137" s="1016">
        <v>62151</v>
      </c>
      <c r="B137" s="1024" t="s">
        <v>1878</v>
      </c>
      <c r="C137" s="900"/>
      <c r="D137" s="900"/>
      <c r="E137" s="937"/>
      <c r="F137" s="897"/>
      <c r="G137" s="897"/>
      <c r="H137" s="897"/>
      <c r="I137" s="897"/>
      <c r="J137" s="897"/>
      <c r="K137" s="897"/>
      <c r="L137" s="897"/>
      <c r="M137" s="897"/>
      <c r="N137" s="897"/>
      <c r="O137" s="897"/>
      <c r="P137" s="897">
        <f t="shared" si="37"/>
        <v>0</v>
      </c>
      <c r="Q137" s="898">
        <f t="shared" si="19"/>
        <v>0</v>
      </c>
      <c r="R137" s="936">
        <f t="shared" si="35"/>
        <v>0</v>
      </c>
      <c r="S137" s="935">
        <f t="shared" si="36"/>
        <v>0</v>
      </c>
      <c r="T137" s="935">
        <f t="shared" si="36"/>
        <v>0</v>
      </c>
      <c r="U137" s="935">
        <f t="shared" si="36"/>
        <v>0</v>
      </c>
      <c r="V137" s="935">
        <f t="shared" si="36"/>
        <v>0</v>
      </c>
      <c r="W137" s="935">
        <f t="shared" si="36"/>
        <v>0</v>
      </c>
      <c r="X137" s="935">
        <f t="shared" si="36"/>
        <v>0</v>
      </c>
      <c r="Y137" s="935">
        <f t="shared" si="23"/>
        <v>0</v>
      </c>
      <c r="Z137" s="935">
        <f t="shared" si="24"/>
        <v>0</v>
      </c>
    </row>
    <row r="138" spans="1:26" hidden="1">
      <c r="A138" s="1016">
        <v>62159</v>
      </c>
      <c r="B138" s="1024" t="s">
        <v>275</v>
      </c>
      <c r="C138" s="900"/>
      <c r="D138" s="900"/>
      <c r="E138" s="937"/>
      <c r="F138" s="897"/>
      <c r="G138" s="897"/>
      <c r="H138" s="897"/>
      <c r="I138" s="897"/>
      <c r="J138" s="897"/>
      <c r="K138" s="897"/>
      <c r="L138" s="897"/>
      <c r="M138" s="897"/>
      <c r="N138" s="897"/>
      <c r="O138" s="897"/>
      <c r="P138" s="897">
        <f t="shared" si="37"/>
        <v>0</v>
      </c>
      <c r="Q138" s="898">
        <f t="shared" si="19"/>
        <v>0</v>
      </c>
      <c r="R138" s="936">
        <f t="shared" si="35"/>
        <v>0</v>
      </c>
      <c r="S138" s="935">
        <f t="shared" si="36"/>
        <v>0</v>
      </c>
      <c r="T138" s="935">
        <f t="shared" si="36"/>
        <v>0</v>
      </c>
      <c r="U138" s="935">
        <f t="shared" si="36"/>
        <v>0</v>
      </c>
      <c r="V138" s="935">
        <f t="shared" si="36"/>
        <v>0</v>
      </c>
      <c r="W138" s="935">
        <f t="shared" si="36"/>
        <v>0</v>
      </c>
      <c r="X138" s="935">
        <f t="shared" si="36"/>
        <v>0</v>
      </c>
      <c r="Y138" s="935">
        <f t="shared" si="23"/>
        <v>0</v>
      </c>
      <c r="Z138" s="935">
        <f t="shared" si="24"/>
        <v>0</v>
      </c>
    </row>
    <row r="139" spans="1:26">
      <c r="A139" s="1173">
        <v>6219</v>
      </c>
      <c r="B139" s="1017" t="s">
        <v>1879</v>
      </c>
      <c r="C139" s="900">
        <v>107620</v>
      </c>
      <c r="D139" s="900"/>
      <c r="E139" s="937"/>
      <c r="F139" s="897">
        <v>1000</v>
      </c>
      <c r="G139" s="897">
        <v>5083</v>
      </c>
      <c r="H139" s="897">
        <v>2010</v>
      </c>
      <c r="I139" s="897">
        <v>690</v>
      </c>
      <c r="J139" s="897">
        <v>11120</v>
      </c>
      <c r="K139" s="897"/>
      <c r="L139" s="897"/>
      <c r="M139" s="897"/>
      <c r="N139" s="897"/>
      <c r="O139" s="897"/>
      <c r="P139" s="897">
        <f t="shared" si="37"/>
        <v>19903</v>
      </c>
      <c r="Q139" s="898">
        <f t="shared" si="19"/>
        <v>87717</v>
      </c>
      <c r="R139" s="936">
        <f t="shared" si="35"/>
        <v>3980.6</v>
      </c>
      <c r="S139" s="935">
        <f t="shared" si="36"/>
        <v>3980.6</v>
      </c>
      <c r="T139" s="935">
        <f t="shared" si="36"/>
        <v>3980.6</v>
      </c>
      <c r="U139" s="935">
        <f t="shared" si="36"/>
        <v>3980.6</v>
      </c>
      <c r="V139" s="935">
        <f t="shared" si="36"/>
        <v>3980.6</v>
      </c>
      <c r="W139" s="935">
        <f t="shared" si="36"/>
        <v>3980.6</v>
      </c>
      <c r="X139" s="935">
        <f t="shared" si="36"/>
        <v>3980.6</v>
      </c>
      <c r="Y139" s="935">
        <f t="shared" si="23"/>
        <v>27864.199999999997</v>
      </c>
      <c r="Z139" s="935">
        <f t="shared" si="24"/>
        <v>59852.800000000003</v>
      </c>
    </row>
    <row r="140" spans="1:26" hidden="1">
      <c r="A140" s="1016">
        <v>62191</v>
      </c>
      <c r="B140" s="1024" t="s">
        <v>1880</v>
      </c>
      <c r="C140" s="900"/>
      <c r="D140" s="900"/>
      <c r="E140" s="937"/>
      <c r="F140" s="897"/>
      <c r="G140" s="897"/>
      <c r="H140" s="897"/>
      <c r="I140" s="897"/>
      <c r="J140" s="897"/>
      <c r="K140" s="897"/>
      <c r="L140" s="897"/>
      <c r="M140" s="897"/>
      <c r="N140" s="897"/>
      <c r="O140" s="897"/>
      <c r="P140" s="897">
        <f t="shared" si="37"/>
        <v>0</v>
      </c>
      <c r="Q140" s="898">
        <f t="shared" si="19"/>
        <v>0</v>
      </c>
      <c r="R140" s="936">
        <f>Q140/7</f>
        <v>0</v>
      </c>
      <c r="S140" s="935">
        <f t="shared" si="36"/>
        <v>0</v>
      </c>
      <c r="T140" s="935">
        <f t="shared" si="36"/>
        <v>0</v>
      </c>
      <c r="U140" s="935">
        <f t="shared" si="36"/>
        <v>0</v>
      </c>
      <c r="V140" s="935">
        <f t="shared" si="36"/>
        <v>0</v>
      </c>
      <c r="W140" s="935">
        <f t="shared" si="36"/>
        <v>0</v>
      </c>
      <c r="X140" s="935">
        <f t="shared" si="36"/>
        <v>0</v>
      </c>
      <c r="Y140" s="935">
        <f t="shared" si="23"/>
        <v>0</v>
      </c>
      <c r="Z140" s="935">
        <f t="shared" si="24"/>
        <v>0</v>
      </c>
    </row>
    <row r="141" spans="1:26" hidden="1">
      <c r="A141" s="1016">
        <v>62199</v>
      </c>
      <c r="B141" s="1024" t="s">
        <v>852</v>
      </c>
      <c r="C141" s="900"/>
      <c r="D141" s="900"/>
      <c r="E141" s="937">
        <f>C141/12</f>
        <v>0</v>
      </c>
      <c r="F141" s="897">
        <f>E141/12</f>
        <v>0</v>
      </c>
      <c r="G141" s="897">
        <f>F141/12</f>
        <v>0</v>
      </c>
      <c r="H141" s="897">
        <f>G141/12</f>
        <v>0</v>
      </c>
      <c r="I141" s="897">
        <f>H141/12</f>
        <v>0</v>
      </c>
      <c r="J141" s="897"/>
      <c r="K141" s="897"/>
      <c r="L141" s="897"/>
      <c r="M141" s="897"/>
      <c r="N141" s="897"/>
      <c r="O141" s="897"/>
      <c r="P141" s="897">
        <f t="shared" si="37"/>
        <v>0</v>
      </c>
      <c r="Q141" s="898">
        <f t="shared" si="19"/>
        <v>0</v>
      </c>
      <c r="R141" s="936">
        <f>Q141/7</f>
        <v>0</v>
      </c>
      <c r="S141" s="935">
        <f t="shared" si="36"/>
        <v>0</v>
      </c>
      <c r="T141" s="935">
        <f t="shared" si="36"/>
        <v>0</v>
      </c>
      <c r="U141" s="935">
        <f t="shared" si="36"/>
        <v>0</v>
      </c>
      <c r="V141" s="935">
        <f t="shared" si="36"/>
        <v>0</v>
      </c>
      <c r="W141" s="935">
        <f t="shared" si="36"/>
        <v>0</v>
      </c>
      <c r="X141" s="935">
        <f t="shared" si="36"/>
        <v>0</v>
      </c>
      <c r="Y141" s="935">
        <f t="shared" si="23"/>
        <v>0</v>
      </c>
      <c r="Z141" s="935">
        <f t="shared" si="24"/>
        <v>0</v>
      </c>
    </row>
    <row r="142" spans="1:26" ht="13.5">
      <c r="A142" s="1023">
        <v>622</v>
      </c>
      <c r="B142" s="1022" t="s">
        <v>1881</v>
      </c>
      <c r="C142" s="1028">
        <f>C143+C147</f>
        <v>270431</v>
      </c>
      <c r="D142" s="1028"/>
      <c r="E142" s="1021">
        <f t="shared" ref="E142:O142" si="38">E143+E147</f>
        <v>0</v>
      </c>
      <c r="F142" s="1020">
        <f>+F143+F147</f>
        <v>700</v>
      </c>
      <c r="G142" s="1020">
        <f t="shared" si="38"/>
        <v>8280</v>
      </c>
      <c r="H142" s="1020">
        <f t="shared" si="38"/>
        <v>2349</v>
      </c>
      <c r="I142" s="1020">
        <f t="shared" si="38"/>
        <v>409</v>
      </c>
      <c r="J142" s="1020">
        <f t="shared" si="38"/>
        <v>6451</v>
      </c>
      <c r="K142" s="1020">
        <f t="shared" si="38"/>
        <v>0</v>
      </c>
      <c r="L142" s="1020">
        <f>SUM(L143:L151)</f>
        <v>0</v>
      </c>
      <c r="M142" s="1020">
        <f t="shared" si="38"/>
        <v>0</v>
      </c>
      <c r="N142" s="1020">
        <f t="shared" si="38"/>
        <v>0</v>
      </c>
      <c r="O142" s="1020">
        <f t="shared" si="38"/>
        <v>0</v>
      </c>
      <c r="P142" s="1020">
        <f>SUM(E142:N142)</f>
        <v>18189</v>
      </c>
      <c r="Q142" s="1019">
        <f t="shared" si="19"/>
        <v>252242</v>
      </c>
      <c r="R142" s="988">
        <f>R143+R147</f>
        <v>3637.8</v>
      </c>
      <c r="S142" s="959">
        <f t="shared" si="36"/>
        <v>3637.8</v>
      </c>
      <c r="T142" s="959">
        <f t="shared" si="36"/>
        <v>3637.8</v>
      </c>
      <c r="U142" s="959">
        <f t="shared" si="36"/>
        <v>3637.8</v>
      </c>
      <c r="V142" s="959">
        <f t="shared" si="36"/>
        <v>3637.8</v>
      </c>
      <c r="W142" s="959">
        <f t="shared" si="36"/>
        <v>3637.8</v>
      </c>
      <c r="X142" s="959">
        <f t="shared" si="36"/>
        <v>3637.8</v>
      </c>
      <c r="Y142" s="959">
        <f t="shared" si="23"/>
        <v>25464.6</v>
      </c>
      <c r="Z142" s="959">
        <f t="shared" si="24"/>
        <v>226777.4</v>
      </c>
    </row>
    <row r="143" spans="1:26">
      <c r="A143" s="1027">
        <v>6221</v>
      </c>
      <c r="B143" s="1026" t="s">
        <v>1882</v>
      </c>
      <c r="C143" s="1025">
        <v>200181</v>
      </c>
      <c r="D143" s="1025"/>
      <c r="E143" s="925"/>
      <c r="F143" s="924"/>
      <c r="G143" s="924"/>
      <c r="H143" s="924"/>
      <c r="I143" s="924"/>
      <c r="J143" s="924"/>
      <c r="K143" s="924"/>
      <c r="L143" s="924"/>
      <c r="M143" s="924"/>
      <c r="N143" s="924"/>
      <c r="O143" s="924"/>
      <c r="P143" s="924">
        <f>SUM(E143:N143)</f>
        <v>0</v>
      </c>
      <c r="Q143" s="923">
        <f t="shared" si="19"/>
        <v>200181</v>
      </c>
      <c r="R143" s="936">
        <f>P143/5</f>
        <v>0</v>
      </c>
      <c r="S143" s="935">
        <f t="shared" si="36"/>
        <v>0</v>
      </c>
      <c r="T143" s="935">
        <f t="shared" si="36"/>
        <v>0</v>
      </c>
      <c r="U143" s="935">
        <f t="shared" si="36"/>
        <v>0</v>
      </c>
      <c r="V143" s="935">
        <f t="shared" si="36"/>
        <v>0</v>
      </c>
      <c r="W143" s="935">
        <f t="shared" si="36"/>
        <v>0</v>
      </c>
      <c r="X143" s="935">
        <f t="shared" si="36"/>
        <v>0</v>
      </c>
      <c r="Y143" s="935">
        <f t="shared" si="23"/>
        <v>0</v>
      </c>
      <c r="Z143" s="935">
        <f t="shared" si="24"/>
        <v>200181</v>
      </c>
    </row>
    <row r="144" spans="1:26" hidden="1">
      <c r="A144" s="1016">
        <v>62211</v>
      </c>
      <c r="B144" s="1024" t="s">
        <v>1883</v>
      </c>
      <c r="C144" s="900"/>
      <c r="D144" s="900"/>
      <c r="E144" s="937"/>
      <c r="F144" s="897"/>
      <c r="G144" s="897"/>
      <c r="H144" s="897"/>
      <c r="I144" s="897"/>
      <c r="J144" s="897"/>
      <c r="K144" s="897"/>
      <c r="L144" s="897"/>
      <c r="M144" s="897"/>
      <c r="N144" s="897"/>
      <c r="O144" s="897"/>
      <c r="P144" s="1061">
        <f>SUM(E144:N144)</f>
        <v>0</v>
      </c>
      <c r="Q144" s="898">
        <f t="shared" si="19"/>
        <v>0</v>
      </c>
      <c r="R144" s="936">
        <f>P144/5</f>
        <v>0</v>
      </c>
      <c r="S144" s="935">
        <f t="shared" si="36"/>
        <v>0</v>
      </c>
      <c r="T144" s="935">
        <f t="shared" si="36"/>
        <v>0</v>
      </c>
      <c r="U144" s="935">
        <f t="shared" si="36"/>
        <v>0</v>
      </c>
      <c r="V144" s="935">
        <f t="shared" si="36"/>
        <v>0</v>
      </c>
      <c r="W144" s="935">
        <f t="shared" si="36"/>
        <v>0</v>
      </c>
      <c r="X144" s="935">
        <f t="shared" si="36"/>
        <v>0</v>
      </c>
      <c r="Y144" s="935">
        <f t="shared" si="23"/>
        <v>0</v>
      </c>
      <c r="Z144" s="935">
        <f t="shared" si="24"/>
        <v>0</v>
      </c>
    </row>
    <row r="145" spans="1:26" hidden="1">
      <c r="A145" s="1016">
        <v>62212</v>
      </c>
      <c r="B145" s="1024" t="s">
        <v>1884</v>
      </c>
      <c r="C145" s="900"/>
      <c r="D145" s="900"/>
      <c r="E145" s="937"/>
      <c r="F145" s="897"/>
      <c r="G145" s="897"/>
      <c r="H145" s="897"/>
      <c r="I145" s="897"/>
      <c r="J145" s="897"/>
      <c r="K145" s="897"/>
      <c r="L145" s="897"/>
      <c r="M145" s="897"/>
      <c r="N145" s="897"/>
      <c r="O145" s="897"/>
      <c r="P145" s="897">
        <f t="shared" ref="P145:P151" si="39">SUM(E145:N145)</f>
        <v>0</v>
      </c>
      <c r="Q145" s="898">
        <f t="shared" si="19"/>
        <v>0</v>
      </c>
      <c r="R145" s="936">
        <f>P145/5</f>
        <v>0</v>
      </c>
      <c r="S145" s="935">
        <f t="shared" si="36"/>
        <v>0</v>
      </c>
      <c r="T145" s="935">
        <f t="shared" si="36"/>
        <v>0</v>
      </c>
      <c r="U145" s="935">
        <f t="shared" si="36"/>
        <v>0</v>
      </c>
      <c r="V145" s="935">
        <f t="shared" si="36"/>
        <v>0</v>
      </c>
      <c r="W145" s="935">
        <f t="shared" si="36"/>
        <v>0</v>
      </c>
      <c r="X145" s="935">
        <f t="shared" si="36"/>
        <v>0</v>
      </c>
      <c r="Y145" s="935">
        <f t="shared" si="23"/>
        <v>0</v>
      </c>
      <c r="Z145" s="935">
        <f t="shared" si="24"/>
        <v>0</v>
      </c>
    </row>
    <row r="146" spans="1:26" hidden="1">
      <c r="A146" s="1016">
        <v>62219</v>
      </c>
      <c r="B146" s="1024" t="s">
        <v>1885</v>
      </c>
      <c r="C146" s="900"/>
      <c r="D146" s="900"/>
      <c r="E146" s="937"/>
      <c r="F146" s="897"/>
      <c r="G146" s="897"/>
      <c r="H146" s="897"/>
      <c r="I146" s="897"/>
      <c r="J146" s="897"/>
      <c r="K146" s="897"/>
      <c r="L146" s="897"/>
      <c r="M146" s="897"/>
      <c r="N146" s="897"/>
      <c r="O146" s="897"/>
      <c r="P146" s="897">
        <f t="shared" si="39"/>
        <v>0</v>
      </c>
      <c r="Q146" s="898">
        <f t="shared" si="19"/>
        <v>0</v>
      </c>
      <c r="R146" s="936">
        <f>P146/5</f>
        <v>0</v>
      </c>
      <c r="S146" s="935">
        <f t="shared" si="36"/>
        <v>0</v>
      </c>
      <c r="T146" s="935">
        <f t="shared" si="36"/>
        <v>0</v>
      </c>
      <c r="U146" s="935">
        <f t="shared" si="36"/>
        <v>0</v>
      </c>
      <c r="V146" s="935">
        <f t="shared" si="36"/>
        <v>0</v>
      </c>
      <c r="W146" s="935">
        <f t="shared" si="36"/>
        <v>0</v>
      </c>
      <c r="X146" s="935">
        <f t="shared" si="36"/>
        <v>0</v>
      </c>
      <c r="Y146" s="935">
        <f t="shared" si="23"/>
        <v>0</v>
      </c>
      <c r="Z146" s="935">
        <f t="shared" si="24"/>
        <v>0</v>
      </c>
    </row>
    <row r="147" spans="1:26">
      <c r="A147" s="1173">
        <v>6222</v>
      </c>
      <c r="B147" s="1017" t="s">
        <v>1886</v>
      </c>
      <c r="C147" s="900">
        <v>70250</v>
      </c>
      <c r="D147" s="900"/>
      <c r="E147" s="937">
        <v>0</v>
      </c>
      <c r="F147" s="897">
        <v>700</v>
      </c>
      <c r="G147" s="897">
        <v>8280</v>
      </c>
      <c r="H147" s="897">
        <v>2349</v>
      </c>
      <c r="I147" s="897">
        <v>409</v>
      </c>
      <c r="J147" s="897">
        <v>6451</v>
      </c>
      <c r="K147" s="897"/>
      <c r="L147" s="897"/>
      <c r="M147" s="897"/>
      <c r="N147" s="897"/>
      <c r="O147" s="897"/>
      <c r="P147" s="897">
        <f t="shared" si="39"/>
        <v>18189</v>
      </c>
      <c r="Q147" s="898">
        <f t="shared" si="19"/>
        <v>52061</v>
      </c>
      <c r="R147" s="936">
        <f>P147/5</f>
        <v>3637.8</v>
      </c>
      <c r="S147" s="935">
        <f t="shared" ref="S147:X162" si="40">R147</f>
        <v>3637.8</v>
      </c>
      <c r="T147" s="935">
        <f t="shared" si="40"/>
        <v>3637.8</v>
      </c>
      <c r="U147" s="935">
        <f t="shared" si="40"/>
        <v>3637.8</v>
      </c>
      <c r="V147" s="935">
        <f t="shared" si="40"/>
        <v>3637.8</v>
      </c>
      <c r="W147" s="935">
        <f t="shared" si="40"/>
        <v>3637.8</v>
      </c>
      <c r="X147" s="935">
        <f t="shared" si="40"/>
        <v>3637.8</v>
      </c>
      <c r="Y147" s="935">
        <f t="shared" si="23"/>
        <v>25464.6</v>
      </c>
      <c r="Z147" s="935">
        <f t="shared" si="24"/>
        <v>26596.400000000001</v>
      </c>
    </row>
    <row r="148" spans="1:26" hidden="1">
      <c r="A148" s="1016">
        <v>62221</v>
      </c>
      <c r="B148" s="1024" t="s">
        <v>1887</v>
      </c>
      <c r="C148" s="900"/>
      <c r="D148" s="900"/>
      <c r="E148" s="937">
        <f>C148/12</f>
        <v>0</v>
      </c>
      <c r="F148" s="897">
        <f t="shared" ref="F148:I151" si="41">E148/12</f>
        <v>0</v>
      </c>
      <c r="G148" s="897">
        <f t="shared" si="41"/>
        <v>0</v>
      </c>
      <c r="H148" s="897">
        <f t="shared" si="41"/>
        <v>0</v>
      </c>
      <c r="I148" s="897">
        <f t="shared" si="41"/>
        <v>0</v>
      </c>
      <c r="J148" s="897"/>
      <c r="K148" s="897"/>
      <c r="L148" s="897"/>
      <c r="M148" s="897"/>
      <c r="N148" s="897"/>
      <c r="O148" s="897"/>
      <c r="P148" s="897">
        <f t="shared" si="39"/>
        <v>0</v>
      </c>
      <c r="Q148" s="898">
        <f t="shared" si="19"/>
        <v>0</v>
      </c>
      <c r="R148" s="936">
        <f>Q148/7</f>
        <v>0</v>
      </c>
      <c r="S148" s="935">
        <f t="shared" si="40"/>
        <v>0</v>
      </c>
      <c r="T148" s="935">
        <f t="shared" si="40"/>
        <v>0</v>
      </c>
      <c r="U148" s="935">
        <f t="shared" si="40"/>
        <v>0</v>
      </c>
      <c r="V148" s="935">
        <f t="shared" si="40"/>
        <v>0</v>
      </c>
      <c r="W148" s="935">
        <f t="shared" si="40"/>
        <v>0</v>
      </c>
      <c r="X148" s="935">
        <f t="shared" si="40"/>
        <v>0</v>
      </c>
      <c r="Y148" s="935">
        <f t="shared" si="23"/>
        <v>0</v>
      </c>
      <c r="Z148" s="935">
        <f t="shared" si="24"/>
        <v>0</v>
      </c>
    </row>
    <row r="149" spans="1:26" hidden="1">
      <c r="A149" s="1016">
        <v>62229</v>
      </c>
      <c r="B149" s="1024" t="s">
        <v>1888</v>
      </c>
      <c r="C149" s="900"/>
      <c r="D149" s="900"/>
      <c r="E149" s="937">
        <f>C149/12</f>
        <v>0</v>
      </c>
      <c r="F149" s="897">
        <f t="shared" si="41"/>
        <v>0</v>
      </c>
      <c r="G149" s="897">
        <f t="shared" si="41"/>
        <v>0</v>
      </c>
      <c r="H149" s="897">
        <f t="shared" si="41"/>
        <v>0</v>
      </c>
      <c r="I149" s="897">
        <f t="shared" si="41"/>
        <v>0</v>
      </c>
      <c r="J149" s="897"/>
      <c r="K149" s="897"/>
      <c r="L149" s="897"/>
      <c r="M149" s="897"/>
      <c r="N149" s="897"/>
      <c r="O149" s="897"/>
      <c r="P149" s="897">
        <f t="shared" si="39"/>
        <v>0</v>
      </c>
      <c r="Q149" s="898">
        <f t="shared" si="19"/>
        <v>0</v>
      </c>
      <c r="R149" s="936">
        <f>Q149/7</f>
        <v>0</v>
      </c>
      <c r="S149" s="935">
        <f t="shared" si="40"/>
        <v>0</v>
      </c>
      <c r="T149" s="935">
        <f t="shared" si="40"/>
        <v>0</v>
      </c>
      <c r="U149" s="935">
        <f t="shared" si="40"/>
        <v>0</v>
      </c>
      <c r="V149" s="935">
        <f t="shared" si="40"/>
        <v>0</v>
      </c>
      <c r="W149" s="935">
        <f t="shared" si="40"/>
        <v>0</v>
      </c>
      <c r="X149" s="935">
        <f t="shared" si="40"/>
        <v>0</v>
      </c>
      <c r="Y149" s="935">
        <f t="shared" si="23"/>
        <v>0</v>
      </c>
      <c r="Z149" s="935">
        <f t="shared" si="24"/>
        <v>0</v>
      </c>
    </row>
    <row r="150" spans="1:26" hidden="1">
      <c r="A150" s="951">
        <v>623</v>
      </c>
      <c r="B150" s="992" t="s">
        <v>1889</v>
      </c>
      <c r="C150" s="900"/>
      <c r="D150" s="900"/>
      <c r="E150" s="937">
        <f>C150/12</f>
        <v>0</v>
      </c>
      <c r="F150" s="897">
        <f t="shared" si="41"/>
        <v>0</v>
      </c>
      <c r="G150" s="897">
        <f t="shared" si="41"/>
        <v>0</v>
      </c>
      <c r="H150" s="897">
        <f t="shared" si="41"/>
        <v>0</v>
      </c>
      <c r="I150" s="897">
        <f t="shared" si="41"/>
        <v>0</v>
      </c>
      <c r="J150" s="897"/>
      <c r="K150" s="897"/>
      <c r="L150" s="897"/>
      <c r="M150" s="897"/>
      <c r="N150" s="897"/>
      <c r="O150" s="897"/>
      <c r="P150" s="897">
        <f t="shared" si="39"/>
        <v>0</v>
      </c>
      <c r="Q150" s="898">
        <f t="shared" si="19"/>
        <v>0</v>
      </c>
      <c r="R150" s="936">
        <f>Q150/7</f>
        <v>0</v>
      </c>
      <c r="S150" s="935">
        <f t="shared" si="40"/>
        <v>0</v>
      </c>
      <c r="T150" s="935">
        <f t="shared" si="40"/>
        <v>0</v>
      </c>
      <c r="U150" s="935">
        <f t="shared" si="40"/>
        <v>0</v>
      </c>
      <c r="V150" s="935">
        <f t="shared" si="40"/>
        <v>0</v>
      </c>
      <c r="W150" s="935">
        <f t="shared" si="40"/>
        <v>0</v>
      </c>
      <c r="X150" s="935">
        <f t="shared" si="40"/>
        <v>0</v>
      </c>
      <c r="Y150" s="935">
        <f t="shared" si="23"/>
        <v>0</v>
      </c>
      <c r="Z150" s="935">
        <f t="shared" si="24"/>
        <v>0</v>
      </c>
    </row>
    <row r="151" spans="1:26" hidden="1">
      <c r="A151" s="1016"/>
      <c r="B151" s="1024"/>
      <c r="C151" s="900"/>
      <c r="D151" s="900"/>
      <c r="E151" s="937">
        <f>C151/12</f>
        <v>0</v>
      </c>
      <c r="F151" s="897">
        <f t="shared" si="41"/>
        <v>0</v>
      </c>
      <c r="G151" s="897">
        <f t="shared" si="41"/>
        <v>0</v>
      </c>
      <c r="H151" s="897">
        <f t="shared" si="41"/>
        <v>0</v>
      </c>
      <c r="I151" s="897">
        <f t="shared" si="41"/>
        <v>0</v>
      </c>
      <c r="J151" s="897"/>
      <c r="K151" s="897"/>
      <c r="L151" s="897"/>
      <c r="M151" s="897"/>
      <c r="N151" s="897"/>
      <c r="O151" s="897"/>
      <c r="P151" s="897">
        <f t="shared" si="39"/>
        <v>0</v>
      </c>
      <c r="Q151" s="898">
        <f t="shared" si="19"/>
        <v>0</v>
      </c>
      <c r="R151" s="936">
        <f>Q151/7</f>
        <v>0</v>
      </c>
      <c r="S151" s="935">
        <f t="shared" si="40"/>
        <v>0</v>
      </c>
      <c r="T151" s="935">
        <f t="shared" si="40"/>
        <v>0</v>
      </c>
      <c r="U151" s="935">
        <f t="shared" si="40"/>
        <v>0</v>
      </c>
      <c r="V151" s="935">
        <f t="shared" si="40"/>
        <v>0</v>
      </c>
      <c r="W151" s="935">
        <f t="shared" si="40"/>
        <v>0</v>
      </c>
      <c r="X151" s="935">
        <f t="shared" si="40"/>
        <v>0</v>
      </c>
      <c r="Y151" s="935">
        <f t="shared" si="23"/>
        <v>0</v>
      </c>
      <c r="Z151" s="935">
        <f t="shared" si="24"/>
        <v>0</v>
      </c>
    </row>
    <row r="152" spans="1:26" ht="13.5">
      <c r="A152" s="945">
        <v>624</v>
      </c>
      <c r="B152" s="944" t="s">
        <v>1890</v>
      </c>
      <c r="C152" s="912">
        <f>C153</f>
        <v>7273</v>
      </c>
      <c r="D152" s="912"/>
      <c r="E152" s="943">
        <f t="shared" ref="E152:O152" si="42">E153</f>
        <v>0</v>
      </c>
      <c r="F152" s="908">
        <f t="shared" si="42"/>
        <v>0</v>
      </c>
      <c r="G152" s="908">
        <f t="shared" si="42"/>
        <v>0</v>
      </c>
      <c r="H152" s="908">
        <f t="shared" si="42"/>
        <v>0</v>
      </c>
      <c r="I152" s="908">
        <f t="shared" si="42"/>
        <v>0</v>
      </c>
      <c r="J152" s="908">
        <f t="shared" si="42"/>
        <v>0</v>
      </c>
      <c r="K152" s="908">
        <f t="shared" si="42"/>
        <v>0</v>
      </c>
      <c r="L152" s="908">
        <f t="shared" si="42"/>
        <v>0</v>
      </c>
      <c r="M152" s="908">
        <f t="shared" si="42"/>
        <v>0</v>
      </c>
      <c r="N152" s="908">
        <f t="shared" si="42"/>
        <v>0</v>
      </c>
      <c r="O152" s="908">
        <f t="shared" si="42"/>
        <v>0</v>
      </c>
      <c r="P152" s="908">
        <f t="shared" ref="P152:P168" si="43">SUM(E152:N152)</f>
        <v>0</v>
      </c>
      <c r="Q152" s="909">
        <f t="shared" si="19"/>
        <v>7273</v>
      </c>
      <c r="R152" s="988">
        <f>R153</f>
        <v>0</v>
      </c>
      <c r="S152" s="959">
        <f t="shared" si="40"/>
        <v>0</v>
      </c>
      <c r="T152" s="959">
        <f t="shared" si="40"/>
        <v>0</v>
      </c>
      <c r="U152" s="959">
        <f t="shared" si="40"/>
        <v>0</v>
      </c>
      <c r="V152" s="959">
        <f t="shared" si="40"/>
        <v>0</v>
      </c>
      <c r="W152" s="959">
        <f t="shared" si="40"/>
        <v>0</v>
      </c>
      <c r="X152" s="959">
        <f t="shared" si="40"/>
        <v>0</v>
      </c>
      <c r="Y152" s="959">
        <f t="shared" si="23"/>
        <v>0</v>
      </c>
      <c r="Z152" s="959">
        <f t="shared" si="24"/>
        <v>7273</v>
      </c>
    </row>
    <row r="153" spans="1:26">
      <c r="A153" s="1173">
        <v>6241</v>
      </c>
      <c r="B153" s="1017" t="s">
        <v>1890</v>
      </c>
      <c r="C153" s="900">
        <v>7273</v>
      </c>
      <c r="D153" s="900"/>
      <c r="E153" s="937">
        <v>0</v>
      </c>
      <c r="F153" s="937">
        <v>0</v>
      </c>
      <c r="G153" s="937">
        <v>0</v>
      </c>
      <c r="H153" s="937">
        <v>0</v>
      </c>
      <c r="I153" s="937">
        <v>0</v>
      </c>
      <c r="J153" s="937">
        <v>0</v>
      </c>
      <c r="K153" s="937">
        <v>0</v>
      </c>
      <c r="L153" s="937">
        <v>0</v>
      </c>
      <c r="M153" s="937">
        <v>0</v>
      </c>
      <c r="N153" s="937"/>
      <c r="O153" s="937"/>
      <c r="P153" s="897">
        <f t="shared" si="43"/>
        <v>0</v>
      </c>
      <c r="Q153" s="898">
        <f t="shared" si="19"/>
        <v>7273</v>
      </c>
      <c r="R153" s="936">
        <f>P153/5</f>
        <v>0</v>
      </c>
      <c r="S153" s="935">
        <f t="shared" si="40"/>
        <v>0</v>
      </c>
      <c r="T153" s="935">
        <f t="shared" si="40"/>
        <v>0</v>
      </c>
      <c r="U153" s="935">
        <f t="shared" si="40"/>
        <v>0</v>
      </c>
      <c r="V153" s="935">
        <f t="shared" si="40"/>
        <v>0</v>
      </c>
      <c r="W153" s="935">
        <f t="shared" si="40"/>
        <v>0</v>
      </c>
      <c r="X153" s="935">
        <f t="shared" si="40"/>
        <v>0</v>
      </c>
      <c r="Y153" s="935">
        <f t="shared" si="23"/>
        <v>0</v>
      </c>
      <c r="Z153" s="935">
        <f t="shared" si="24"/>
        <v>7273</v>
      </c>
    </row>
    <row r="154" spans="1:26" hidden="1">
      <c r="A154" s="951">
        <v>625</v>
      </c>
      <c r="B154" s="992" t="s">
        <v>1891</v>
      </c>
      <c r="C154" s="897"/>
      <c r="D154" s="897"/>
      <c r="E154" s="937">
        <f>C154/12</f>
        <v>0</v>
      </c>
      <c r="F154" s="937">
        <f t="shared" ref="F154:M155" si="44">D154/12</f>
        <v>0</v>
      </c>
      <c r="G154" s="937">
        <f t="shared" si="44"/>
        <v>0</v>
      </c>
      <c r="H154" s="937">
        <f t="shared" si="44"/>
        <v>0</v>
      </c>
      <c r="I154" s="937">
        <f t="shared" si="44"/>
        <v>0</v>
      </c>
      <c r="J154" s="937">
        <f t="shared" si="44"/>
        <v>0</v>
      </c>
      <c r="K154" s="937">
        <f t="shared" si="44"/>
        <v>0</v>
      </c>
      <c r="L154" s="937">
        <f t="shared" si="44"/>
        <v>0</v>
      </c>
      <c r="M154" s="937">
        <f t="shared" si="44"/>
        <v>0</v>
      </c>
      <c r="N154" s="937"/>
      <c r="O154" s="937"/>
      <c r="P154" s="897">
        <f t="shared" si="43"/>
        <v>0</v>
      </c>
      <c r="Q154" s="898">
        <f t="shared" si="19"/>
        <v>0</v>
      </c>
      <c r="R154" s="936">
        <f>Q154/7</f>
        <v>0</v>
      </c>
      <c r="S154" s="935">
        <f t="shared" si="40"/>
        <v>0</v>
      </c>
      <c r="T154" s="935">
        <f t="shared" si="40"/>
        <v>0</v>
      </c>
      <c r="U154" s="935">
        <f t="shared" si="40"/>
        <v>0</v>
      </c>
      <c r="V154" s="935">
        <f t="shared" si="40"/>
        <v>0</v>
      </c>
      <c r="W154" s="935">
        <f t="shared" si="40"/>
        <v>0</v>
      </c>
      <c r="X154" s="935">
        <f t="shared" si="40"/>
        <v>0</v>
      </c>
      <c r="Y154" s="935">
        <f t="shared" si="23"/>
        <v>0</v>
      </c>
      <c r="Z154" s="935">
        <f t="shared" si="24"/>
        <v>0</v>
      </c>
    </row>
    <row r="155" spans="1:26" hidden="1">
      <c r="A155" s="1016"/>
      <c r="B155" s="1017" t="s">
        <v>1892</v>
      </c>
      <c r="C155" s="897"/>
      <c r="D155" s="897"/>
      <c r="E155" s="937">
        <f>C155/12</f>
        <v>0</v>
      </c>
      <c r="F155" s="937">
        <f t="shared" si="44"/>
        <v>0</v>
      </c>
      <c r="G155" s="937">
        <f t="shared" si="44"/>
        <v>0</v>
      </c>
      <c r="H155" s="937">
        <f t="shared" si="44"/>
        <v>0</v>
      </c>
      <c r="I155" s="937">
        <f t="shared" si="44"/>
        <v>0</v>
      </c>
      <c r="J155" s="937">
        <f t="shared" si="44"/>
        <v>0</v>
      </c>
      <c r="K155" s="937">
        <f t="shared" si="44"/>
        <v>0</v>
      </c>
      <c r="L155" s="937">
        <f t="shared" si="44"/>
        <v>0</v>
      </c>
      <c r="M155" s="937">
        <f t="shared" si="44"/>
        <v>0</v>
      </c>
      <c r="N155" s="937"/>
      <c r="O155" s="937"/>
      <c r="P155" s="897">
        <f t="shared" si="43"/>
        <v>0</v>
      </c>
      <c r="Q155" s="898">
        <f t="shared" si="19"/>
        <v>0</v>
      </c>
      <c r="R155" s="936">
        <f>Q155/7</f>
        <v>0</v>
      </c>
      <c r="S155" s="935">
        <f t="shared" si="40"/>
        <v>0</v>
      </c>
      <c r="T155" s="935">
        <f t="shared" si="40"/>
        <v>0</v>
      </c>
      <c r="U155" s="935">
        <f t="shared" si="40"/>
        <v>0</v>
      </c>
      <c r="V155" s="935">
        <f t="shared" si="40"/>
        <v>0</v>
      </c>
      <c r="W155" s="935">
        <f t="shared" si="40"/>
        <v>0</v>
      </c>
      <c r="X155" s="935">
        <f t="shared" si="40"/>
        <v>0</v>
      </c>
      <c r="Y155" s="935">
        <f t="shared" si="23"/>
        <v>0</v>
      </c>
      <c r="Z155" s="935">
        <f t="shared" si="24"/>
        <v>0</v>
      </c>
    </row>
    <row r="156" spans="1:26" ht="13.5">
      <c r="A156" s="945">
        <v>626</v>
      </c>
      <c r="B156" s="944" t="s">
        <v>1893</v>
      </c>
      <c r="C156" s="908">
        <f>C157+C158</f>
        <v>57484</v>
      </c>
      <c r="D156" s="908"/>
      <c r="E156" s="943">
        <f t="shared" ref="E156:O156" si="45">E157+E158</f>
        <v>0</v>
      </c>
      <c r="F156" s="908">
        <f t="shared" si="45"/>
        <v>122</v>
      </c>
      <c r="G156" s="908">
        <f t="shared" si="45"/>
        <v>0</v>
      </c>
      <c r="H156" s="908">
        <f t="shared" si="45"/>
        <v>3000</v>
      </c>
      <c r="I156" s="908">
        <f t="shared" si="45"/>
        <v>7000</v>
      </c>
      <c r="J156" s="908">
        <f t="shared" si="45"/>
        <v>0</v>
      </c>
      <c r="K156" s="908">
        <f t="shared" si="45"/>
        <v>0</v>
      </c>
      <c r="L156" s="908">
        <f t="shared" si="45"/>
        <v>0</v>
      </c>
      <c r="M156" s="908">
        <f t="shared" si="45"/>
        <v>0</v>
      </c>
      <c r="N156" s="908">
        <f t="shared" si="45"/>
        <v>0</v>
      </c>
      <c r="O156" s="908">
        <f t="shared" si="45"/>
        <v>0</v>
      </c>
      <c r="P156" s="908">
        <f t="shared" si="43"/>
        <v>10122</v>
      </c>
      <c r="Q156" s="909">
        <f t="shared" si="19"/>
        <v>47362</v>
      </c>
      <c r="R156" s="988">
        <f>R157+R158</f>
        <v>2024.4</v>
      </c>
      <c r="S156" s="959">
        <f t="shared" si="40"/>
        <v>2024.4</v>
      </c>
      <c r="T156" s="959">
        <f t="shared" si="40"/>
        <v>2024.4</v>
      </c>
      <c r="U156" s="959">
        <f t="shared" si="40"/>
        <v>2024.4</v>
      </c>
      <c r="V156" s="959">
        <f t="shared" si="40"/>
        <v>2024.4</v>
      </c>
      <c r="W156" s="959">
        <f t="shared" si="40"/>
        <v>2024.4</v>
      </c>
      <c r="X156" s="959">
        <f t="shared" si="40"/>
        <v>2024.4</v>
      </c>
      <c r="Y156" s="959">
        <f t="shared" si="23"/>
        <v>14170.8</v>
      </c>
      <c r="Z156" s="959">
        <f t="shared" si="24"/>
        <v>33191.199999999997</v>
      </c>
    </row>
    <row r="157" spans="1:26">
      <c r="A157" s="1173">
        <v>6261</v>
      </c>
      <c r="B157" s="1017" t="s">
        <v>1894</v>
      </c>
      <c r="C157" s="897">
        <v>46290</v>
      </c>
      <c r="D157" s="897"/>
      <c r="E157" s="937"/>
      <c r="F157" s="897">
        <v>122</v>
      </c>
      <c r="G157" s="897"/>
      <c r="H157" s="897">
        <v>3000</v>
      </c>
      <c r="I157" s="897">
        <v>7000</v>
      </c>
      <c r="J157" s="897">
        <v>0</v>
      </c>
      <c r="K157" s="897"/>
      <c r="L157" s="897"/>
      <c r="M157" s="897"/>
      <c r="N157" s="897"/>
      <c r="O157" s="897"/>
      <c r="P157" s="897">
        <f t="shared" si="43"/>
        <v>10122</v>
      </c>
      <c r="Q157" s="898">
        <f t="shared" ref="Q157:Q220" si="46">C157-P157</f>
        <v>36168</v>
      </c>
      <c r="R157" s="936">
        <f>P157/5</f>
        <v>2024.4</v>
      </c>
      <c r="S157" s="935">
        <f t="shared" si="40"/>
        <v>2024.4</v>
      </c>
      <c r="T157" s="935">
        <f t="shared" si="40"/>
        <v>2024.4</v>
      </c>
      <c r="U157" s="935">
        <f t="shared" si="40"/>
        <v>2024.4</v>
      </c>
      <c r="V157" s="935">
        <f t="shared" si="40"/>
        <v>2024.4</v>
      </c>
      <c r="W157" s="935">
        <f t="shared" si="40"/>
        <v>2024.4</v>
      </c>
      <c r="X157" s="935">
        <f t="shared" si="40"/>
        <v>2024.4</v>
      </c>
      <c r="Y157" s="935">
        <f t="shared" si="23"/>
        <v>14170.8</v>
      </c>
      <c r="Z157" s="935">
        <f t="shared" si="24"/>
        <v>21997.200000000001</v>
      </c>
    </row>
    <row r="158" spans="1:26" hidden="1">
      <c r="A158" s="1173">
        <v>6265</v>
      </c>
      <c r="B158" s="1017" t="s">
        <v>1895</v>
      </c>
      <c r="C158" s="897">
        <v>11194</v>
      </c>
      <c r="D158" s="897"/>
      <c r="E158" s="937"/>
      <c r="F158" s="897"/>
      <c r="G158" s="897"/>
      <c r="H158" s="897"/>
      <c r="I158" s="897"/>
      <c r="J158" s="897"/>
      <c r="K158" s="897"/>
      <c r="L158" s="897"/>
      <c r="M158" s="897"/>
      <c r="N158" s="897"/>
      <c r="O158" s="897"/>
      <c r="P158" s="897">
        <f t="shared" si="43"/>
        <v>0</v>
      </c>
      <c r="Q158" s="898">
        <f t="shared" si="46"/>
        <v>11194</v>
      </c>
      <c r="R158" s="936">
        <f>P158/5</f>
        <v>0</v>
      </c>
      <c r="S158" s="935">
        <f t="shared" si="40"/>
        <v>0</v>
      </c>
      <c r="T158" s="935">
        <f t="shared" si="40"/>
        <v>0</v>
      </c>
      <c r="U158" s="935">
        <f t="shared" si="40"/>
        <v>0</v>
      </c>
      <c r="V158" s="935">
        <f t="shared" si="40"/>
        <v>0</v>
      </c>
      <c r="W158" s="935">
        <f t="shared" si="40"/>
        <v>0</v>
      </c>
      <c r="X158" s="935">
        <f t="shared" si="40"/>
        <v>0</v>
      </c>
      <c r="Y158" s="935">
        <f t="shared" si="23"/>
        <v>0</v>
      </c>
      <c r="Z158" s="935">
        <f t="shared" si="24"/>
        <v>11194</v>
      </c>
    </row>
    <row r="159" spans="1:26" ht="13.5">
      <c r="A159" s="1023">
        <v>627</v>
      </c>
      <c r="B159" s="1022" t="s">
        <v>1896</v>
      </c>
      <c r="C159" s="1020">
        <f>C160+C161</f>
        <v>56644</v>
      </c>
      <c r="D159" s="1020"/>
      <c r="E159" s="1021">
        <f t="shared" ref="E159:O159" si="47">E160+E161</f>
        <v>0</v>
      </c>
      <c r="F159" s="1020">
        <f t="shared" si="47"/>
        <v>2400</v>
      </c>
      <c r="G159" s="1020">
        <f t="shared" si="47"/>
        <v>4500</v>
      </c>
      <c r="H159" s="1020">
        <f t="shared" si="47"/>
        <v>24792</v>
      </c>
      <c r="I159" s="1020">
        <f t="shared" si="47"/>
        <v>6000</v>
      </c>
      <c r="J159" s="1020">
        <f t="shared" si="47"/>
        <v>0</v>
      </c>
      <c r="K159" s="1020">
        <f t="shared" si="47"/>
        <v>0</v>
      </c>
      <c r="L159" s="1020">
        <f t="shared" si="47"/>
        <v>0</v>
      </c>
      <c r="M159" s="1020">
        <f t="shared" si="47"/>
        <v>0</v>
      </c>
      <c r="N159" s="1020">
        <f t="shared" si="47"/>
        <v>0</v>
      </c>
      <c r="O159" s="1020">
        <f t="shared" si="47"/>
        <v>0</v>
      </c>
      <c r="P159" s="897">
        <f t="shared" si="43"/>
        <v>37692</v>
      </c>
      <c r="Q159" s="1019">
        <f t="shared" si="46"/>
        <v>18952</v>
      </c>
      <c r="R159" s="988">
        <f>R160+R161</f>
        <v>7538.4</v>
      </c>
      <c r="S159" s="959">
        <f t="shared" si="40"/>
        <v>7538.4</v>
      </c>
      <c r="T159" s="959">
        <f t="shared" si="40"/>
        <v>7538.4</v>
      </c>
      <c r="U159" s="959">
        <f t="shared" si="40"/>
        <v>7538.4</v>
      </c>
      <c r="V159" s="959">
        <f t="shared" si="40"/>
        <v>7538.4</v>
      </c>
      <c r="W159" s="959">
        <f t="shared" si="40"/>
        <v>7538.4</v>
      </c>
      <c r="X159" s="959">
        <f t="shared" si="40"/>
        <v>7538.4</v>
      </c>
      <c r="Y159" s="959">
        <f t="shared" si="23"/>
        <v>52768.800000000003</v>
      </c>
      <c r="Z159" s="959">
        <f t="shared" si="24"/>
        <v>-33816.800000000003</v>
      </c>
    </row>
    <row r="160" spans="1:26">
      <c r="A160" s="1173">
        <v>6271</v>
      </c>
      <c r="B160" s="1017" t="s">
        <v>1897</v>
      </c>
      <c r="C160" s="897">
        <v>45793</v>
      </c>
      <c r="D160" s="897"/>
      <c r="E160" s="937"/>
      <c r="F160" s="897">
        <v>2400</v>
      </c>
      <c r="G160" s="1209">
        <v>4500</v>
      </c>
      <c r="H160" s="897">
        <v>24792</v>
      </c>
      <c r="I160" s="897">
        <v>6000</v>
      </c>
      <c r="J160" s="897"/>
      <c r="K160" s="897"/>
      <c r="L160" s="897"/>
      <c r="M160" s="897"/>
      <c r="N160" s="897"/>
      <c r="O160" s="897"/>
      <c r="P160" s="1061">
        <f t="shared" si="43"/>
        <v>37692</v>
      </c>
      <c r="Q160" s="898">
        <f t="shared" si="46"/>
        <v>8101</v>
      </c>
      <c r="R160" s="936">
        <f>P160/5</f>
        <v>7538.4</v>
      </c>
      <c r="S160" s="935">
        <f t="shared" si="40"/>
        <v>7538.4</v>
      </c>
      <c r="T160" s="935">
        <f t="shared" si="40"/>
        <v>7538.4</v>
      </c>
      <c r="U160" s="935">
        <f t="shared" si="40"/>
        <v>7538.4</v>
      </c>
      <c r="V160" s="935">
        <f t="shared" si="40"/>
        <v>7538.4</v>
      </c>
      <c r="W160" s="935">
        <f t="shared" si="40"/>
        <v>7538.4</v>
      </c>
      <c r="X160" s="935">
        <f t="shared" si="40"/>
        <v>7538.4</v>
      </c>
      <c r="Y160" s="935">
        <f t="shared" si="23"/>
        <v>52768.800000000003</v>
      </c>
      <c r="Z160" s="935">
        <f t="shared" si="24"/>
        <v>-44667.8</v>
      </c>
    </row>
    <row r="161" spans="1:27" hidden="1">
      <c r="A161" s="1174">
        <v>6274</v>
      </c>
      <c r="B161" s="1018" t="s">
        <v>1898</v>
      </c>
      <c r="C161" s="971">
        <v>10851</v>
      </c>
      <c r="D161" s="971"/>
      <c r="E161" s="972"/>
      <c r="F161" s="971"/>
      <c r="G161" s="971"/>
      <c r="H161" s="971"/>
      <c r="I161" s="971"/>
      <c r="J161" s="971"/>
      <c r="K161" s="897"/>
      <c r="L161" s="897"/>
      <c r="M161" s="897"/>
      <c r="N161" s="897"/>
      <c r="O161" s="897"/>
      <c r="P161" s="971">
        <f t="shared" si="43"/>
        <v>0</v>
      </c>
      <c r="Q161" s="970">
        <f t="shared" si="46"/>
        <v>10851</v>
      </c>
      <c r="R161" s="936">
        <f>P161/5</f>
        <v>0</v>
      </c>
      <c r="S161" s="935">
        <f t="shared" si="40"/>
        <v>0</v>
      </c>
      <c r="T161" s="935">
        <f t="shared" si="40"/>
        <v>0</v>
      </c>
      <c r="U161" s="935">
        <f t="shared" si="40"/>
        <v>0</v>
      </c>
      <c r="V161" s="935">
        <f t="shared" si="40"/>
        <v>0</v>
      </c>
      <c r="W161" s="935">
        <f t="shared" si="40"/>
        <v>0</v>
      </c>
      <c r="X161" s="935">
        <f t="shared" si="40"/>
        <v>0</v>
      </c>
      <c r="Y161" s="935">
        <f t="shared" si="23"/>
        <v>0</v>
      </c>
      <c r="Z161" s="935">
        <f t="shared" si="24"/>
        <v>10851</v>
      </c>
    </row>
    <row r="162" spans="1:27" ht="13.5">
      <c r="A162" s="1140">
        <v>628</v>
      </c>
      <c r="B162" s="1141" t="s">
        <v>1899</v>
      </c>
      <c r="C162" s="1142">
        <f>SUM(C163:C166)</f>
        <v>512904</v>
      </c>
      <c r="D162" s="1142"/>
      <c r="E162" s="1143">
        <f t="shared" ref="E162:O162" si="48">SUM(E163:E166)</f>
        <v>1200</v>
      </c>
      <c r="F162" s="1142">
        <f t="shared" si="48"/>
        <v>102383</v>
      </c>
      <c r="G162" s="1142">
        <f t="shared" si="48"/>
        <v>26981</v>
      </c>
      <c r="H162" s="1142">
        <f t="shared" si="48"/>
        <v>86010</v>
      </c>
      <c r="I162" s="1142">
        <f t="shared" si="48"/>
        <v>34473</v>
      </c>
      <c r="J162" s="1142">
        <f t="shared" si="48"/>
        <v>57412</v>
      </c>
      <c r="K162" s="1142">
        <f t="shared" si="48"/>
        <v>0</v>
      </c>
      <c r="L162" s="1142">
        <f t="shared" si="48"/>
        <v>0</v>
      </c>
      <c r="M162" s="1142">
        <f t="shared" si="48"/>
        <v>0</v>
      </c>
      <c r="N162" s="1142">
        <f t="shared" si="48"/>
        <v>0</v>
      </c>
      <c r="O162" s="1142">
        <f t="shared" si="48"/>
        <v>0</v>
      </c>
      <c r="P162" s="924">
        <f t="shared" si="43"/>
        <v>308459</v>
      </c>
      <c r="Q162" s="1144">
        <f t="shared" si="46"/>
        <v>204445</v>
      </c>
      <c r="R162" s="988">
        <f>SUM(R163:R166)</f>
        <v>61691.8</v>
      </c>
      <c r="S162" s="959">
        <f t="shared" si="40"/>
        <v>61691.8</v>
      </c>
      <c r="T162" s="959">
        <f t="shared" si="40"/>
        <v>61691.8</v>
      </c>
      <c r="U162" s="959">
        <f t="shared" si="40"/>
        <v>61691.8</v>
      </c>
      <c r="V162" s="959">
        <f t="shared" si="40"/>
        <v>61691.8</v>
      </c>
      <c r="W162" s="959">
        <f t="shared" si="40"/>
        <v>61691.8</v>
      </c>
      <c r="X162" s="959">
        <f t="shared" si="40"/>
        <v>61691.8</v>
      </c>
      <c r="Y162" s="959">
        <f t="shared" si="23"/>
        <v>431842.6</v>
      </c>
      <c r="Z162" s="959">
        <f t="shared" si="24"/>
        <v>-227397.59999999998</v>
      </c>
    </row>
    <row r="163" spans="1:27">
      <c r="A163" s="1184">
        <v>6281</v>
      </c>
      <c r="B163" s="1185" t="s">
        <v>1900</v>
      </c>
      <c r="C163" s="1061">
        <v>241554</v>
      </c>
      <c r="D163" s="1061"/>
      <c r="E163" s="1186">
        <v>1000</v>
      </c>
      <c r="F163" s="1061">
        <v>46699</v>
      </c>
      <c r="G163" s="1061">
        <v>4841</v>
      </c>
      <c r="H163" s="1061">
        <v>33610</v>
      </c>
      <c r="I163" s="1061">
        <v>16153</v>
      </c>
      <c r="J163" s="1061">
        <v>31222</v>
      </c>
      <c r="K163" s="1061"/>
      <c r="L163" s="1061"/>
      <c r="M163" s="1061"/>
      <c r="N163" s="1061"/>
      <c r="O163" s="1061"/>
      <c r="P163" s="1061">
        <f t="shared" si="43"/>
        <v>133525</v>
      </c>
      <c r="Q163" s="1187">
        <f t="shared" si="46"/>
        <v>108029</v>
      </c>
      <c r="R163" s="936">
        <f>P163/5</f>
        <v>26705</v>
      </c>
      <c r="S163" s="935">
        <f t="shared" ref="S163:X178" si="49">R163</f>
        <v>26705</v>
      </c>
      <c r="T163" s="935">
        <f t="shared" si="49"/>
        <v>26705</v>
      </c>
      <c r="U163" s="935">
        <f t="shared" si="49"/>
        <v>26705</v>
      </c>
      <c r="V163" s="935">
        <f t="shared" si="49"/>
        <v>26705</v>
      </c>
      <c r="W163" s="935">
        <f t="shared" si="49"/>
        <v>26705</v>
      </c>
      <c r="X163" s="935">
        <f t="shared" si="49"/>
        <v>26705</v>
      </c>
      <c r="Y163" s="935">
        <f t="shared" ref="Y163:Y226" si="50">SUM(R163:X163)</f>
        <v>186935</v>
      </c>
      <c r="Z163" s="935">
        <f t="shared" ref="Z163:Z226" si="51">Q163-Y163</f>
        <v>-78906</v>
      </c>
    </row>
    <row r="164" spans="1:27">
      <c r="A164" s="1174">
        <v>6282</v>
      </c>
      <c r="B164" s="1018" t="s">
        <v>1901</v>
      </c>
      <c r="C164" s="971">
        <v>23451</v>
      </c>
      <c r="D164" s="971"/>
      <c r="E164" s="972"/>
      <c r="F164" s="971">
        <v>1905</v>
      </c>
      <c r="G164" s="971"/>
      <c r="H164" s="971">
        <v>2000</v>
      </c>
      <c r="I164" s="971">
        <v>0</v>
      </c>
      <c r="J164" s="971">
        <v>1500</v>
      </c>
      <c r="K164" s="971"/>
      <c r="L164" s="971"/>
      <c r="M164" s="971"/>
      <c r="N164" s="971"/>
      <c r="O164" s="971"/>
      <c r="P164" s="971">
        <f t="shared" si="43"/>
        <v>5405</v>
      </c>
      <c r="Q164" s="970">
        <f t="shared" si="46"/>
        <v>18046</v>
      </c>
      <c r="R164" s="936">
        <f>P164/5</f>
        <v>1081</v>
      </c>
      <c r="S164" s="935">
        <f t="shared" si="49"/>
        <v>1081</v>
      </c>
      <c r="T164" s="935">
        <f t="shared" si="49"/>
        <v>1081</v>
      </c>
      <c r="U164" s="935">
        <f t="shared" si="49"/>
        <v>1081</v>
      </c>
      <c r="V164" s="935">
        <f t="shared" si="49"/>
        <v>1081</v>
      </c>
      <c r="W164" s="935">
        <f t="shared" si="49"/>
        <v>1081</v>
      </c>
      <c r="X164" s="935">
        <f t="shared" si="49"/>
        <v>1081</v>
      </c>
      <c r="Y164" s="935">
        <f t="shared" si="50"/>
        <v>7567</v>
      </c>
      <c r="Z164" s="935">
        <f t="shared" si="51"/>
        <v>10479</v>
      </c>
      <c r="AA164" s="892">
        <f>+L167+L162+L159+L142+L130</f>
        <v>0</v>
      </c>
    </row>
    <row r="165" spans="1:27">
      <c r="A165" s="1184">
        <v>6283</v>
      </c>
      <c r="B165" s="1185" t="s">
        <v>1902</v>
      </c>
      <c r="C165" s="1061">
        <v>232000</v>
      </c>
      <c r="D165" s="1061"/>
      <c r="E165" s="1186">
        <v>200</v>
      </c>
      <c r="F165" s="1061">
        <v>53779</v>
      </c>
      <c r="G165" s="1061">
        <v>22140</v>
      </c>
      <c r="H165" s="1061">
        <v>50400</v>
      </c>
      <c r="I165" s="1061">
        <v>18320</v>
      </c>
      <c r="J165" s="1061">
        <v>24690</v>
      </c>
      <c r="K165" s="1061"/>
      <c r="L165" s="1061"/>
      <c r="M165" s="1061"/>
      <c r="N165" s="1061"/>
      <c r="O165" s="1061"/>
      <c r="P165" s="1061">
        <f t="shared" si="43"/>
        <v>169529</v>
      </c>
      <c r="Q165" s="1187">
        <f t="shared" si="46"/>
        <v>62471</v>
      </c>
      <c r="R165" s="936">
        <f>P165/5</f>
        <v>33905.800000000003</v>
      </c>
      <c r="S165" s="935">
        <f t="shared" si="49"/>
        <v>33905.800000000003</v>
      </c>
      <c r="T165" s="935">
        <f t="shared" si="49"/>
        <v>33905.800000000003</v>
      </c>
      <c r="U165" s="935">
        <f t="shared" si="49"/>
        <v>33905.800000000003</v>
      </c>
      <c r="V165" s="935">
        <f t="shared" si="49"/>
        <v>33905.800000000003</v>
      </c>
      <c r="W165" s="935">
        <f t="shared" si="49"/>
        <v>33905.800000000003</v>
      </c>
      <c r="X165" s="935">
        <f t="shared" si="49"/>
        <v>33905.800000000003</v>
      </c>
      <c r="Y165" s="935">
        <f t="shared" si="50"/>
        <v>237340.59999999998</v>
      </c>
      <c r="Z165" s="935">
        <f t="shared" si="51"/>
        <v>-174869.59999999998</v>
      </c>
    </row>
    <row r="166" spans="1:27">
      <c r="A166" s="1173">
        <v>6284</v>
      </c>
      <c r="B166" s="1017" t="s">
        <v>1903</v>
      </c>
      <c r="C166" s="897">
        <v>15899</v>
      </c>
      <c r="D166" s="897"/>
      <c r="E166" s="937"/>
      <c r="F166" s="897"/>
      <c r="G166" s="897"/>
      <c r="H166" s="897"/>
      <c r="I166" s="897"/>
      <c r="J166" s="897"/>
      <c r="K166" s="897"/>
      <c r="L166" s="897"/>
      <c r="M166" s="897"/>
      <c r="N166" s="897"/>
      <c r="O166" s="897"/>
      <c r="P166" s="897">
        <f t="shared" si="43"/>
        <v>0</v>
      </c>
      <c r="Q166" s="898">
        <f t="shared" si="46"/>
        <v>15899</v>
      </c>
      <c r="R166" s="936">
        <f>P166/5</f>
        <v>0</v>
      </c>
      <c r="S166" s="935">
        <f t="shared" si="49"/>
        <v>0</v>
      </c>
      <c r="T166" s="935">
        <f t="shared" si="49"/>
        <v>0</v>
      </c>
      <c r="U166" s="935">
        <f t="shared" si="49"/>
        <v>0</v>
      </c>
      <c r="V166" s="935">
        <f t="shared" si="49"/>
        <v>0</v>
      </c>
      <c r="W166" s="935">
        <f t="shared" si="49"/>
        <v>0</v>
      </c>
      <c r="X166" s="935">
        <f t="shared" si="49"/>
        <v>0</v>
      </c>
      <c r="Y166" s="935">
        <f t="shared" si="50"/>
        <v>0</v>
      </c>
      <c r="Z166" s="935">
        <f t="shared" si="51"/>
        <v>15899</v>
      </c>
    </row>
    <row r="167" spans="1:27" ht="13.5">
      <c r="A167" s="945">
        <v>629</v>
      </c>
      <c r="B167" s="944" t="s">
        <v>1904</v>
      </c>
      <c r="C167" s="908">
        <f>SUM(C168:C173)</f>
        <v>1813323</v>
      </c>
      <c r="D167" s="908"/>
      <c r="E167" s="943">
        <f t="shared" ref="E167:O167" si="52">SUM(E168:E173)</f>
        <v>157127</v>
      </c>
      <c r="F167" s="908">
        <f t="shared" si="52"/>
        <v>483874</v>
      </c>
      <c r="G167" s="908">
        <f t="shared" si="52"/>
        <v>589097</v>
      </c>
      <c r="H167" s="908">
        <f t="shared" si="52"/>
        <v>699197</v>
      </c>
      <c r="I167" s="908">
        <f t="shared" si="52"/>
        <v>173521</v>
      </c>
      <c r="J167" s="908">
        <f t="shared" si="52"/>
        <v>188251</v>
      </c>
      <c r="K167" s="908">
        <f t="shared" si="52"/>
        <v>0</v>
      </c>
      <c r="L167" s="908">
        <f t="shared" si="52"/>
        <v>0</v>
      </c>
      <c r="M167" s="908">
        <f t="shared" si="52"/>
        <v>0</v>
      </c>
      <c r="N167" s="908">
        <f t="shared" si="52"/>
        <v>0</v>
      </c>
      <c r="O167" s="908">
        <f t="shared" si="52"/>
        <v>0</v>
      </c>
      <c r="P167" s="897">
        <f t="shared" si="43"/>
        <v>2291067</v>
      </c>
      <c r="Q167" s="909">
        <f t="shared" si="46"/>
        <v>-477744</v>
      </c>
      <c r="R167" s="988">
        <f>SUM(R168:R173)</f>
        <v>378379.8</v>
      </c>
      <c r="S167" s="959">
        <f t="shared" si="49"/>
        <v>378379.8</v>
      </c>
      <c r="T167" s="959">
        <f t="shared" si="49"/>
        <v>378379.8</v>
      </c>
      <c r="U167" s="959">
        <f t="shared" si="49"/>
        <v>378379.8</v>
      </c>
      <c r="V167" s="959">
        <f t="shared" si="49"/>
        <v>378379.8</v>
      </c>
      <c r="W167" s="959">
        <f t="shared" si="49"/>
        <v>378379.8</v>
      </c>
      <c r="X167" s="959">
        <f t="shared" si="49"/>
        <v>378379.8</v>
      </c>
      <c r="Y167" s="959">
        <f t="shared" si="50"/>
        <v>2648658.5999999996</v>
      </c>
      <c r="Z167" s="959">
        <f t="shared" si="51"/>
        <v>-3126402.5999999996</v>
      </c>
    </row>
    <row r="168" spans="1:27">
      <c r="A168" s="1173">
        <v>6291</v>
      </c>
      <c r="B168" s="1017" t="s">
        <v>1905</v>
      </c>
      <c r="C168" s="897">
        <v>543125</v>
      </c>
      <c r="D168" s="897"/>
      <c r="E168" s="937">
        <v>88712</v>
      </c>
      <c r="F168" s="897">
        <v>100708</v>
      </c>
      <c r="G168" s="897">
        <v>105962</v>
      </c>
      <c r="H168" s="897">
        <v>306742</v>
      </c>
      <c r="I168" s="897">
        <v>119493</v>
      </c>
      <c r="J168" s="897">
        <v>115933</v>
      </c>
      <c r="K168" s="897"/>
      <c r="L168" s="897"/>
      <c r="M168" s="897"/>
      <c r="N168" s="897"/>
      <c r="O168" s="897"/>
      <c r="P168" s="897">
        <f t="shared" si="43"/>
        <v>837550</v>
      </c>
      <c r="Q168" s="898">
        <f t="shared" si="46"/>
        <v>-294425</v>
      </c>
      <c r="R168" s="936">
        <f>P168/5</f>
        <v>167510</v>
      </c>
      <c r="S168" s="935">
        <f t="shared" si="49"/>
        <v>167510</v>
      </c>
      <c r="T168" s="935">
        <f t="shared" si="49"/>
        <v>167510</v>
      </c>
      <c r="U168" s="935">
        <f t="shared" si="49"/>
        <v>167510</v>
      </c>
      <c r="V168" s="935">
        <f t="shared" si="49"/>
        <v>167510</v>
      </c>
      <c r="W168" s="935">
        <f t="shared" si="49"/>
        <v>167510</v>
      </c>
      <c r="X168" s="935">
        <f t="shared" si="49"/>
        <v>167510</v>
      </c>
      <c r="Y168" s="935">
        <f t="shared" si="50"/>
        <v>1172570</v>
      </c>
      <c r="Z168" s="935">
        <f t="shared" si="51"/>
        <v>-1466995</v>
      </c>
    </row>
    <row r="169" spans="1:27" hidden="1">
      <c r="A169" s="1016">
        <v>6292</v>
      </c>
      <c r="B169" s="1017" t="s">
        <v>1906</v>
      </c>
      <c r="C169" s="897"/>
      <c r="D169" s="897"/>
      <c r="E169" s="937"/>
      <c r="F169" s="897"/>
      <c r="G169" s="897"/>
      <c r="H169" s="897"/>
      <c r="I169" s="897"/>
      <c r="J169" s="897"/>
      <c r="K169" s="897"/>
      <c r="L169" s="897"/>
      <c r="M169" s="897"/>
      <c r="N169" s="897"/>
      <c r="O169" s="897"/>
      <c r="P169" s="897">
        <f t="shared" ref="P169:P175" si="53">SUM(E169:N169)</f>
        <v>0</v>
      </c>
      <c r="Q169" s="898">
        <f t="shared" si="46"/>
        <v>0</v>
      </c>
      <c r="R169" s="936">
        <f>P169/5</f>
        <v>0</v>
      </c>
      <c r="S169" s="935">
        <f t="shared" si="49"/>
        <v>0</v>
      </c>
      <c r="T169" s="935">
        <f t="shared" si="49"/>
        <v>0</v>
      </c>
      <c r="U169" s="935">
        <f t="shared" si="49"/>
        <v>0</v>
      </c>
      <c r="V169" s="935">
        <f t="shared" si="49"/>
        <v>0</v>
      </c>
      <c r="W169" s="935">
        <f t="shared" si="49"/>
        <v>0</v>
      </c>
      <c r="X169" s="935">
        <f t="shared" si="49"/>
        <v>0</v>
      </c>
      <c r="Y169" s="935">
        <f t="shared" si="50"/>
        <v>0</v>
      </c>
      <c r="Z169" s="935">
        <f t="shared" si="51"/>
        <v>0</v>
      </c>
    </row>
    <row r="170" spans="1:27" hidden="1">
      <c r="A170" s="1016">
        <v>6294</v>
      </c>
      <c r="B170" s="938" t="s">
        <v>1907</v>
      </c>
      <c r="C170" s="897"/>
      <c r="D170" s="897"/>
      <c r="E170" s="937"/>
      <c r="F170" s="897"/>
      <c r="G170" s="897"/>
      <c r="H170" s="897"/>
      <c r="I170" s="897"/>
      <c r="J170" s="897"/>
      <c r="K170" s="897"/>
      <c r="L170" s="897"/>
      <c r="M170" s="897"/>
      <c r="N170" s="897"/>
      <c r="O170" s="897"/>
      <c r="P170" s="897">
        <f t="shared" si="53"/>
        <v>0</v>
      </c>
      <c r="Q170" s="898">
        <f t="shared" si="46"/>
        <v>0</v>
      </c>
      <c r="R170" s="936">
        <f>P170/5</f>
        <v>0</v>
      </c>
      <c r="S170" s="935">
        <f t="shared" si="49"/>
        <v>0</v>
      </c>
      <c r="T170" s="935">
        <f t="shared" si="49"/>
        <v>0</v>
      </c>
      <c r="U170" s="935">
        <f t="shared" si="49"/>
        <v>0</v>
      </c>
      <c r="V170" s="935">
        <f t="shared" si="49"/>
        <v>0</v>
      </c>
      <c r="W170" s="935">
        <f t="shared" si="49"/>
        <v>0</v>
      </c>
      <c r="X170" s="935">
        <f t="shared" si="49"/>
        <v>0</v>
      </c>
      <c r="Y170" s="935">
        <f t="shared" si="50"/>
        <v>0</v>
      </c>
      <c r="Z170" s="935">
        <f t="shared" si="51"/>
        <v>0</v>
      </c>
    </row>
    <row r="171" spans="1:27">
      <c r="A171" s="1173">
        <v>6295</v>
      </c>
      <c r="B171" s="1017" t="s">
        <v>1908</v>
      </c>
      <c r="C171" s="897">
        <v>964356</v>
      </c>
      <c r="D171" s="897"/>
      <c r="E171" s="937">
        <v>5250</v>
      </c>
      <c r="F171" s="897">
        <v>331681</v>
      </c>
      <c r="G171" s="897">
        <v>302401</v>
      </c>
      <c r="H171" s="897">
        <v>308859</v>
      </c>
      <c r="I171" s="897">
        <v>0</v>
      </c>
      <c r="J171" s="897">
        <v>5250</v>
      </c>
      <c r="K171" s="897"/>
      <c r="L171" s="897"/>
      <c r="M171" s="897"/>
      <c r="N171" s="897"/>
      <c r="O171" s="897"/>
      <c r="P171" s="897">
        <f t="shared" si="53"/>
        <v>953441</v>
      </c>
      <c r="Q171" s="898">
        <f t="shared" si="46"/>
        <v>10915</v>
      </c>
      <c r="R171" s="936">
        <f>P171/5</f>
        <v>190688.2</v>
      </c>
      <c r="S171" s="935">
        <f t="shared" si="49"/>
        <v>190688.2</v>
      </c>
      <c r="T171" s="935">
        <f t="shared" si="49"/>
        <v>190688.2</v>
      </c>
      <c r="U171" s="935">
        <f t="shared" si="49"/>
        <v>190688.2</v>
      </c>
      <c r="V171" s="935">
        <f t="shared" si="49"/>
        <v>190688.2</v>
      </c>
      <c r="W171" s="935">
        <f t="shared" si="49"/>
        <v>190688.2</v>
      </c>
      <c r="X171" s="935">
        <f t="shared" si="49"/>
        <v>190688.2</v>
      </c>
      <c r="Y171" s="935">
        <f t="shared" si="50"/>
        <v>1334817.3999999999</v>
      </c>
      <c r="Z171" s="935">
        <f t="shared" si="51"/>
        <v>-1323902.3999999999</v>
      </c>
    </row>
    <row r="172" spans="1:27">
      <c r="A172" s="1173">
        <v>6296</v>
      </c>
      <c r="B172" s="1017" t="s">
        <v>1909</v>
      </c>
      <c r="C172" s="897">
        <v>18840</v>
      </c>
      <c r="D172" s="897"/>
      <c r="E172" s="937"/>
      <c r="F172" s="897"/>
      <c r="G172" s="897">
        <v>100908</v>
      </c>
      <c r="H172" s="897">
        <v>0</v>
      </c>
      <c r="I172" s="897">
        <v>0</v>
      </c>
      <c r="J172" s="897">
        <v>0</v>
      </c>
      <c r="K172" s="897"/>
      <c r="L172" s="897"/>
      <c r="M172" s="897"/>
      <c r="N172" s="897"/>
      <c r="O172" s="897"/>
      <c r="P172" s="897">
        <f t="shared" si="53"/>
        <v>100908</v>
      </c>
      <c r="Q172" s="898">
        <f t="shared" si="46"/>
        <v>-82068</v>
      </c>
      <c r="R172" s="936">
        <f>P172/5</f>
        <v>20181.599999999999</v>
      </c>
      <c r="S172" s="935">
        <f t="shared" si="49"/>
        <v>20181.599999999999</v>
      </c>
      <c r="T172" s="935">
        <f t="shared" si="49"/>
        <v>20181.599999999999</v>
      </c>
      <c r="U172" s="935">
        <f t="shared" si="49"/>
        <v>20181.599999999999</v>
      </c>
      <c r="V172" s="935">
        <f t="shared" si="49"/>
        <v>20181.599999999999</v>
      </c>
      <c r="W172" s="935">
        <f t="shared" si="49"/>
        <v>20181.599999999999</v>
      </c>
      <c r="X172" s="935">
        <f t="shared" si="49"/>
        <v>20181.599999999999</v>
      </c>
      <c r="Y172" s="935">
        <f t="shared" si="50"/>
        <v>141271.20000000001</v>
      </c>
      <c r="Z172" s="935">
        <f t="shared" si="51"/>
        <v>-223339.2</v>
      </c>
    </row>
    <row r="173" spans="1:27">
      <c r="A173" s="1173">
        <v>6299</v>
      </c>
      <c r="B173" s="938" t="s">
        <v>1910</v>
      </c>
      <c r="C173" s="897">
        <v>287002</v>
      </c>
      <c r="D173" s="897"/>
      <c r="E173" s="937">
        <v>63165</v>
      </c>
      <c r="F173" s="897">
        <v>51485</v>
      </c>
      <c r="G173" s="897">
        <v>79826</v>
      </c>
      <c r="H173" s="897">
        <v>83596</v>
      </c>
      <c r="I173" s="897">
        <v>54028</v>
      </c>
      <c r="J173" s="897">
        <v>67068</v>
      </c>
      <c r="K173" s="897"/>
      <c r="L173" s="897"/>
      <c r="M173" s="897"/>
      <c r="N173" s="897"/>
      <c r="O173" s="897"/>
      <c r="P173" s="897">
        <f t="shared" si="53"/>
        <v>399168</v>
      </c>
      <c r="Q173" s="898">
        <f t="shared" si="46"/>
        <v>-112166</v>
      </c>
      <c r="R173" s="936"/>
      <c r="S173" s="935"/>
      <c r="T173" s="935"/>
      <c r="U173" s="935"/>
      <c r="V173" s="935"/>
      <c r="W173" s="935"/>
      <c r="X173" s="935"/>
      <c r="Y173" s="935"/>
      <c r="Z173" s="935">
        <f t="shared" si="51"/>
        <v>-112166</v>
      </c>
    </row>
    <row r="174" spans="1:27" hidden="1">
      <c r="A174" s="1016">
        <v>62991</v>
      </c>
      <c r="B174" s="1015" t="s">
        <v>1911</v>
      </c>
      <c r="C174" s="897"/>
      <c r="D174" s="897"/>
      <c r="E174" s="937">
        <f>C174/12</f>
        <v>0</v>
      </c>
      <c r="F174" s="897">
        <f t="shared" ref="F174:I175" si="54">E174/12</f>
        <v>0</v>
      </c>
      <c r="G174" s="897">
        <f t="shared" si="54"/>
        <v>0</v>
      </c>
      <c r="H174" s="897">
        <f t="shared" si="54"/>
        <v>0</v>
      </c>
      <c r="I174" s="897">
        <f t="shared" si="54"/>
        <v>0</v>
      </c>
      <c r="J174" s="897">
        <v>0</v>
      </c>
      <c r="K174" s="897">
        <v>0</v>
      </c>
      <c r="L174" s="897">
        <v>0</v>
      </c>
      <c r="M174" s="897">
        <v>0</v>
      </c>
      <c r="N174" s="897"/>
      <c r="O174" s="897"/>
      <c r="P174" s="897">
        <f t="shared" si="53"/>
        <v>0</v>
      </c>
      <c r="Q174" s="898">
        <f t="shared" si="46"/>
        <v>0</v>
      </c>
      <c r="R174" s="936">
        <f>Q174/7</f>
        <v>0</v>
      </c>
      <c r="S174" s="935">
        <f t="shared" si="49"/>
        <v>0</v>
      </c>
      <c r="T174" s="935">
        <f t="shared" si="49"/>
        <v>0</v>
      </c>
      <c r="U174" s="935">
        <f t="shared" si="49"/>
        <v>0</v>
      </c>
      <c r="V174" s="935">
        <f t="shared" si="49"/>
        <v>0</v>
      </c>
      <c r="W174" s="935">
        <f t="shared" si="49"/>
        <v>0</v>
      </c>
      <c r="X174" s="935">
        <f t="shared" si="49"/>
        <v>0</v>
      </c>
      <c r="Y174" s="935">
        <f t="shared" si="50"/>
        <v>0</v>
      </c>
      <c r="Z174" s="935">
        <f t="shared" si="51"/>
        <v>0</v>
      </c>
    </row>
    <row r="175" spans="1:27" hidden="1">
      <c r="A175" s="1016">
        <v>62999</v>
      </c>
      <c r="B175" s="1015" t="s">
        <v>1288</v>
      </c>
      <c r="C175" s="897"/>
      <c r="D175" s="897"/>
      <c r="E175" s="937">
        <f>C175/12</f>
        <v>0</v>
      </c>
      <c r="F175" s="897">
        <f t="shared" si="54"/>
        <v>0</v>
      </c>
      <c r="G175" s="897">
        <f t="shared" si="54"/>
        <v>0</v>
      </c>
      <c r="H175" s="897">
        <f t="shared" si="54"/>
        <v>0</v>
      </c>
      <c r="I175" s="897">
        <f t="shared" si="54"/>
        <v>0</v>
      </c>
      <c r="J175" s="897">
        <v>0</v>
      </c>
      <c r="K175" s="897">
        <v>0</v>
      </c>
      <c r="L175" s="897">
        <v>0</v>
      </c>
      <c r="M175" s="897">
        <v>0</v>
      </c>
      <c r="N175" s="897"/>
      <c r="O175" s="897"/>
      <c r="P175" s="897">
        <f t="shared" si="53"/>
        <v>0</v>
      </c>
      <c r="Q175" s="898">
        <f t="shared" si="46"/>
        <v>0</v>
      </c>
      <c r="R175" s="936">
        <f>Q175/7</f>
        <v>0</v>
      </c>
      <c r="S175" s="935">
        <f t="shared" si="49"/>
        <v>0</v>
      </c>
      <c r="T175" s="935">
        <f t="shared" si="49"/>
        <v>0</v>
      </c>
      <c r="U175" s="935">
        <f t="shared" si="49"/>
        <v>0</v>
      </c>
      <c r="V175" s="935">
        <f t="shared" si="49"/>
        <v>0</v>
      </c>
      <c r="W175" s="935">
        <f t="shared" si="49"/>
        <v>0</v>
      </c>
      <c r="X175" s="935">
        <f t="shared" si="49"/>
        <v>0</v>
      </c>
      <c r="Y175" s="935">
        <f t="shared" si="50"/>
        <v>0</v>
      </c>
      <c r="Z175" s="935">
        <f t="shared" si="51"/>
        <v>0</v>
      </c>
    </row>
    <row r="176" spans="1:27">
      <c r="A176" s="949" t="s">
        <v>1912</v>
      </c>
      <c r="B176" s="948" t="s">
        <v>1079</v>
      </c>
      <c r="C176" s="894">
        <f>+C177+C252</f>
        <v>4088390</v>
      </c>
      <c r="D176" s="894"/>
      <c r="E176" s="947">
        <f t="shared" ref="E176:O176" si="55">E177+E252</f>
        <v>977685</v>
      </c>
      <c r="F176" s="894">
        <f t="shared" si="55"/>
        <v>987738</v>
      </c>
      <c r="G176" s="894">
        <f t="shared" si="55"/>
        <v>1145095</v>
      </c>
      <c r="H176" s="894">
        <f t="shared" si="55"/>
        <v>1011334</v>
      </c>
      <c r="I176" s="894">
        <f t="shared" si="55"/>
        <v>1000144</v>
      </c>
      <c r="J176" s="894">
        <f t="shared" si="55"/>
        <v>1032474</v>
      </c>
      <c r="K176" s="894">
        <f t="shared" si="55"/>
        <v>0</v>
      </c>
      <c r="L176" s="894">
        <f t="shared" si="55"/>
        <v>0</v>
      </c>
      <c r="M176" s="894">
        <f t="shared" si="55"/>
        <v>0</v>
      </c>
      <c r="N176" s="894">
        <f t="shared" si="55"/>
        <v>0</v>
      </c>
      <c r="O176" s="894">
        <f t="shared" si="55"/>
        <v>0</v>
      </c>
      <c r="P176" s="894">
        <f>SUM(E176:N176)</f>
        <v>6154470</v>
      </c>
      <c r="Q176" s="895">
        <f t="shared" si="46"/>
        <v>-2066080</v>
      </c>
      <c r="R176" s="1014">
        <f>R177+R252</f>
        <v>1134854.6285714286</v>
      </c>
      <c r="S176" s="989">
        <f t="shared" si="49"/>
        <v>1134854.6285714286</v>
      </c>
      <c r="T176" s="989">
        <f t="shared" si="49"/>
        <v>1134854.6285714286</v>
      </c>
      <c r="U176" s="989">
        <f t="shared" si="49"/>
        <v>1134854.6285714286</v>
      </c>
      <c r="V176" s="989">
        <f t="shared" si="49"/>
        <v>1134854.6285714286</v>
      </c>
      <c r="W176" s="989">
        <f t="shared" si="49"/>
        <v>1134854.6285714286</v>
      </c>
      <c r="X176" s="989">
        <f t="shared" si="49"/>
        <v>1134854.6285714286</v>
      </c>
      <c r="Y176" s="989">
        <f t="shared" si="50"/>
        <v>7943982.3999999994</v>
      </c>
      <c r="Z176" s="989">
        <f t="shared" si="51"/>
        <v>-10010062.399999999</v>
      </c>
    </row>
    <row r="177" spans="1:26">
      <c r="A177" s="945" t="s">
        <v>1913</v>
      </c>
      <c r="B177" s="964" t="s">
        <v>1914</v>
      </c>
      <c r="C177" s="913">
        <f>C178+C247</f>
        <v>1014763</v>
      </c>
      <c r="D177" s="913"/>
      <c r="E177" s="1013">
        <f t="shared" ref="E177:N177" si="56">E178+E247</f>
        <v>104964</v>
      </c>
      <c r="F177" s="913">
        <f t="shared" si="56"/>
        <v>100067</v>
      </c>
      <c r="G177" s="913">
        <f t="shared" si="56"/>
        <v>133960</v>
      </c>
      <c r="H177" s="913">
        <f t="shared" si="56"/>
        <v>132449</v>
      </c>
      <c r="I177" s="913">
        <f t="shared" si="56"/>
        <v>98183</v>
      </c>
      <c r="J177" s="913">
        <f t="shared" si="56"/>
        <v>100139</v>
      </c>
      <c r="K177" s="913">
        <f t="shared" si="56"/>
        <v>0</v>
      </c>
      <c r="L177" s="913">
        <f t="shared" si="56"/>
        <v>0</v>
      </c>
      <c r="M177" s="913">
        <f t="shared" si="56"/>
        <v>0</v>
      </c>
      <c r="N177" s="913">
        <f t="shared" si="56"/>
        <v>0</v>
      </c>
      <c r="O177" s="913">
        <f>O178+O247</f>
        <v>0</v>
      </c>
      <c r="P177" s="913">
        <f>SUM(E177:N177)</f>
        <v>669762</v>
      </c>
      <c r="Q177" s="914">
        <f t="shared" si="46"/>
        <v>345001</v>
      </c>
      <c r="R177" s="1012">
        <f>R178+R247</f>
        <v>39343.428571428572</v>
      </c>
      <c r="S177" s="1011">
        <f t="shared" si="49"/>
        <v>39343.428571428572</v>
      </c>
      <c r="T177" s="1011">
        <f t="shared" si="49"/>
        <v>39343.428571428572</v>
      </c>
      <c r="U177" s="1011">
        <f t="shared" si="49"/>
        <v>39343.428571428572</v>
      </c>
      <c r="V177" s="1011">
        <f t="shared" si="49"/>
        <v>39343.428571428572</v>
      </c>
      <c r="W177" s="1011">
        <f t="shared" si="49"/>
        <v>39343.428571428572</v>
      </c>
      <c r="X177" s="1011">
        <f t="shared" si="49"/>
        <v>39343.428571428572</v>
      </c>
      <c r="Y177" s="1011">
        <f t="shared" si="50"/>
        <v>275404</v>
      </c>
      <c r="Z177" s="1011">
        <f t="shared" si="51"/>
        <v>69597</v>
      </c>
    </row>
    <row r="178" spans="1:26" ht="13.5">
      <c r="A178" s="945" t="s">
        <v>1915</v>
      </c>
      <c r="B178" s="944" t="s">
        <v>1916</v>
      </c>
      <c r="C178" s="1176">
        <f>C179+C189</f>
        <v>1001885</v>
      </c>
      <c r="D178" s="1176"/>
      <c r="E178" s="1177">
        <f t="shared" ref="E178:N178" si="57">E179+E189</f>
        <v>101055</v>
      </c>
      <c r="F178" s="1176">
        <f t="shared" si="57"/>
        <v>97368</v>
      </c>
      <c r="G178" s="1176">
        <f t="shared" si="57"/>
        <v>131261</v>
      </c>
      <c r="H178" s="1176">
        <f t="shared" si="57"/>
        <v>128442</v>
      </c>
      <c r="I178" s="1176">
        <f t="shared" si="57"/>
        <v>95453</v>
      </c>
      <c r="J178" s="1176">
        <f t="shared" si="57"/>
        <v>96250</v>
      </c>
      <c r="K178" s="1176">
        <f t="shared" si="57"/>
        <v>0</v>
      </c>
      <c r="L178" s="1176">
        <f t="shared" si="57"/>
        <v>0</v>
      </c>
      <c r="M178" s="1176">
        <f t="shared" si="57"/>
        <v>0</v>
      </c>
      <c r="N178" s="1176">
        <f t="shared" si="57"/>
        <v>0</v>
      </c>
      <c r="O178" s="1176">
        <f>O179+O189</f>
        <v>0</v>
      </c>
      <c r="P178" s="908">
        <f>SUM(E178:N178)</f>
        <v>649829</v>
      </c>
      <c r="Q178" s="909">
        <f t="shared" si="46"/>
        <v>352056</v>
      </c>
      <c r="R178" s="988">
        <f>R179+R189</f>
        <v>40351.285714285717</v>
      </c>
      <c r="S178" s="959">
        <f t="shared" si="49"/>
        <v>40351.285714285717</v>
      </c>
      <c r="T178" s="959">
        <f t="shared" si="49"/>
        <v>40351.285714285717</v>
      </c>
      <c r="U178" s="959">
        <f t="shared" si="49"/>
        <v>40351.285714285717</v>
      </c>
      <c r="V178" s="959">
        <f t="shared" si="49"/>
        <v>40351.285714285717</v>
      </c>
      <c r="W178" s="959">
        <f t="shared" si="49"/>
        <v>40351.285714285717</v>
      </c>
      <c r="X178" s="959">
        <f t="shared" si="49"/>
        <v>40351.285714285717</v>
      </c>
      <c r="Y178" s="959">
        <f t="shared" si="50"/>
        <v>282459</v>
      </c>
      <c r="Z178" s="959">
        <f t="shared" si="51"/>
        <v>69597</v>
      </c>
    </row>
    <row r="179" spans="1:26">
      <c r="A179" s="984">
        <v>6311</v>
      </c>
      <c r="B179" s="1010" t="s">
        <v>1917</v>
      </c>
      <c r="C179" s="1156">
        <v>70257</v>
      </c>
      <c r="D179" s="1156"/>
      <c r="E179" s="1175">
        <f>SUM(E180:E188)</f>
        <v>0</v>
      </c>
      <c r="F179" s="1175">
        <f>SUM(F180:F188)</f>
        <v>0</v>
      </c>
      <c r="G179" s="1175">
        <f>SUM(G180:G188)</f>
        <v>660</v>
      </c>
      <c r="H179" s="1175">
        <f t="shared" ref="H179:N179" si="58">SUM(H180:H188)</f>
        <v>0</v>
      </c>
      <c r="I179" s="1175">
        <f t="shared" si="58"/>
        <v>0</v>
      </c>
      <c r="J179" s="1175">
        <f t="shared" si="58"/>
        <v>0</v>
      </c>
      <c r="K179" s="1175">
        <f t="shared" si="58"/>
        <v>0</v>
      </c>
      <c r="L179" s="1175">
        <f t="shared" si="58"/>
        <v>0</v>
      </c>
      <c r="M179" s="1175">
        <f t="shared" si="58"/>
        <v>0</v>
      </c>
      <c r="N179" s="1175">
        <f t="shared" si="58"/>
        <v>0</v>
      </c>
      <c r="O179" s="1175">
        <f>SUM(O180:O188)</f>
        <v>0</v>
      </c>
      <c r="P179" s="897">
        <f>SUM(E179:N179)</f>
        <v>660</v>
      </c>
      <c r="Q179" s="898">
        <f t="shared" si="46"/>
        <v>69597</v>
      </c>
      <c r="R179" s="936"/>
      <c r="S179" s="935">
        <f t="shared" ref="S179:X194" si="59">R179</f>
        <v>0</v>
      </c>
      <c r="T179" s="935">
        <f t="shared" si="59"/>
        <v>0</v>
      </c>
      <c r="U179" s="935">
        <f t="shared" si="59"/>
        <v>0</v>
      </c>
      <c r="V179" s="935">
        <f t="shared" si="59"/>
        <v>0</v>
      </c>
      <c r="W179" s="935">
        <f t="shared" si="59"/>
        <v>0</v>
      </c>
      <c r="X179" s="935">
        <f t="shared" si="59"/>
        <v>0</v>
      </c>
      <c r="Y179" s="935">
        <f t="shared" si="50"/>
        <v>0</v>
      </c>
      <c r="Z179" s="935">
        <f t="shared" si="51"/>
        <v>69597</v>
      </c>
    </row>
    <row r="180" spans="1:26">
      <c r="A180" s="986">
        <v>63111</v>
      </c>
      <c r="B180" s="993" t="s">
        <v>1918</v>
      </c>
      <c r="C180" s="897"/>
      <c r="D180" s="897">
        <v>0</v>
      </c>
      <c r="E180" s="897">
        <v>0</v>
      </c>
      <c r="F180" s="897">
        <v>0</v>
      </c>
      <c r="G180" s="897">
        <v>361</v>
      </c>
      <c r="H180" s="897">
        <v>0</v>
      </c>
      <c r="I180" s="897">
        <v>0</v>
      </c>
      <c r="J180" s="897">
        <v>0</v>
      </c>
      <c r="K180" s="897">
        <v>0</v>
      </c>
      <c r="L180" s="897">
        <v>0</v>
      </c>
      <c r="M180" s="897">
        <v>0</v>
      </c>
      <c r="N180" s="897">
        <v>0</v>
      </c>
      <c r="O180" s="897"/>
      <c r="P180" s="897">
        <f t="shared" ref="P180:P243" si="60">SUM(E180:N180)</f>
        <v>361</v>
      </c>
      <c r="Q180" s="898">
        <f t="shared" si="46"/>
        <v>-361</v>
      </c>
      <c r="R180" s="936">
        <f t="shared" ref="R180:R243" si="61">Q180/7</f>
        <v>-51.571428571428569</v>
      </c>
      <c r="S180" s="935">
        <f t="shared" si="59"/>
        <v>-51.571428571428569</v>
      </c>
      <c r="T180" s="935">
        <f t="shared" si="59"/>
        <v>-51.571428571428569</v>
      </c>
      <c r="U180" s="935">
        <f t="shared" si="59"/>
        <v>-51.571428571428569</v>
      </c>
      <c r="V180" s="935">
        <f t="shared" si="59"/>
        <v>-51.571428571428569</v>
      </c>
      <c r="W180" s="935">
        <f t="shared" si="59"/>
        <v>-51.571428571428569</v>
      </c>
      <c r="X180" s="935">
        <f t="shared" si="59"/>
        <v>-51.571428571428569</v>
      </c>
      <c r="Y180" s="935">
        <f t="shared" si="50"/>
        <v>-360.99999999999994</v>
      </c>
      <c r="Z180" s="935">
        <f t="shared" si="51"/>
        <v>0</v>
      </c>
    </row>
    <row r="181" spans="1:26">
      <c r="A181" s="986">
        <v>63112</v>
      </c>
      <c r="B181" s="993" t="s">
        <v>1919</v>
      </c>
      <c r="C181" s="897"/>
      <c r="D181" s="897">
        <v>0</v>
      </c>
      <c r="E181" s="897">
        <v>0</v>
      </c>
      <c r="F181" s="897">
        <v>0</v>
      </c>
      <c r="G181" s="897">
        <v>0</v>
      </c>
      <c r="H181" s="897">
        <v>0</v>
      </c>
      <c r="I181" s="897">
        <v>0</v>
      </c>
      <c r="J181" s="897">
        <v>0</v>
      </c>
      <c r="K181" s="897">
        <v>0</v>
      </c>
      <c r="L181" s="897">
        <v>0</v>
      </c>
      <c r="M181" s="897">
        <v>0</v>
      </c>
      <c r="N181" s="897">
        <v>0</v>
      </c>
      <c r="O181" s="897"/>
      <c r="P181" s="897">
        <f t="shared" si="60"/>
        <v>0</v>
      </c>
      <c r="Q181" s="898">
        <f t="shared" si="46"/>
        <v>0</v>
      </c>
      <c r="R181" s="936">
        <f t="shared" si="61"/>
        <v>0</v>
      </c>
      <c r="S181" s="935">
        <f t="shared" si="59"/>
        <v>0</v>
      </c>
      <c r="T181" s="935">
        <f t="shared" si="59"/>
        <v>0</v>
      </c>
      <c r="U181" s="935">
        <f t="shared" si="59"/>
        <v>0</v>
      </c>
      <c r="V181" s="935">
        <f t="shared" si="59"/>
        <v>0</v>
      </c>
      <c r="W181" s="935">
        <f t="shared" si="59"/>
        <v>0</v>
      </c>
      <c r="X181" s="935">
        <f t="shared" si="59"/>
        <v>0</v>
      </c>
      <c r="Y181" s="935">
        <f t="shared" si="50"/>
        <v>0</v>
      </c>
      <c r="Z181" s="935">
        <f t="shared" si="51"/>
        <v>0</v>
      </c>
    </row>
    <row r="182" spans="1:26">
      <c r="A182" s="986">
        <v>63113</v>
      </c>
      <c r="B182" s="993" t="s">
        <v>1250</v>
      </c>
      <c r="C182" s="897"/>
      <c r="D182" s="897">
        <v>0</v>
      </c>
      <c r="E182" s="897">
        <v>0</v>
      </c>
      <c r="F182" s="897">
        <v>0</v>
      </c>
      <c r="G182" s="897">
        <v>299</v>
      </c>
      <c r="H182" s="897">
        <v>0</v>
      </c>
      <c r="I182" s="897">
        <v>0</v>
      </c>
      <c r="J182" s="897">
        <v>0</v>
      </c>
      <c r="K182" s="897">
        <v>0</v>
      </c>
      <c r="L182" s="897">
        <v>0</v>
      </c>
      <c r="M182" s="897">
        <v>0</v>
      </c>
      <c r="N182" s="897">
        <v>0</v>
      </c>
      <c r="O182" s="897"/>
      <c r="P182" s="897">
        <f t="shared" si="60"/>
        <v>299</v>
      </c>
      <c r="Q182" s="898">
        <f t="shared" si="46"/>
        <v>-299</v>
      </c>
      <c r="R182" s="936">
        <f t="shared" si="61"/>
        <v>-42.714285714285715</v>
      </c>
      <c r="S182" s="935">
        <f t="shared" si="59"/>
        <v>-42.714285714285715</v>
      </c>
      <c r="T182" s="935">
        <f t="shared" si="59"/>
        <v>-42.714285714285715</v>
      </c>
      <c r="U182" s="935">
        <f t="shared" si="59"/>
        <v>-42.714285714285715</v>
      </c>
      <c r="V182" s="935">
        <f t="shared" si="59"/>
        <v>-42.714285714285715</v>
      </c>
      <c r="W182" s="935">
        <f t="shared" si="59"/>
        <v>-42.714285714285715</v>
      </c>
      <c r="X182" s="935">
        <f t="shared" si="59"/>
        <v>-42.714285714285715</v>
      </c>
      <c r="Y182" s="935">
        <f t="shared" si="50"/>
        <v>-299</v>
      </c>
      <c r="Z182" s="935">
        <f t="shared" si="51"/>
        <v>0</v>
      </c>
    </row>
    <row r="183" spans="1:26" hidden="1">
      <c r="A183" s="986">
        <v>63114</v>
      </c>
      <c r="B183" s="993" t="s">
        <v>1920</v>
      </c>
      <c r="C183" s="897"/>
      <c r="D183" s="897">
        <v>0</v>
      </c>
      <c r="E183" s="897">
        <v>0</v>
      </c>
      <c r="F183" s="897">
        <v>0</v>
      </c>
      <c r="G183" s="897">
        <v>0</v>
      </c>
      <c r="H183" s="897">
        <v>0</v>
      </c>
      <c r="I183" s="897">
        <v>0</v>
      </c>
      <c r="J183" s="897">
        <v>0</v>
      </c>
      <c r="K183" s="897">
        <v>0</v>
      </c>
      <c r="L183" s="897">
        <v>0</v>
      </c>
      <c r="M183" s="897">
        <v>0</v>
      </c>
      <c r="N183" s="897">
        <v>0</v>
      </c>
      <c r="O183" s="897"/>
      <c r="P183" s="897">
        <f t="shared" si="60"/>
        <v>0</v>
      </c>
      <c r="Q183" s="898">
        <f t="shared" si="46"/>
        <v>0</v>
      </c>
      <c r="R183" s="936">
        <f t="shared" si="61"/>
        <v>0</v>
      </c>
      <c r="S183" s="935">
        <f t="shared" si="59"/>
        <v>0</v>
      </c>
      <c r="T183" s="935">
        <f t="shared" si="59"/>
        <v>0</v>
      </c>
      <c r="U183" s="935">
        <f t="shared" si="59"/>
        <v>0</v>
      </c>
      <c r="V183" s="935">
        <f t="shared" si="59"/>
        <v>0</v>
      </c>
      <c r="W183" s="935">
        <f t="shared" si="59"/>
        <v>0</v>
      </c>
      <c r="X183" s="935">
        <f t="shared" si="59"/>
        <v>0</v>
      </c>
      <c r="Y183" s="935">
        <f t="shared" si="50"/>
        <v>0</v>
      </c>
      <c r="Z183" s="935">
        <f t="shared" si="51"/>
        <v>0</v>
      </c>
    </row>
    <row r="184" spans="1:26" hidden="1">
      <c r="A184" s="986">
        <v>63115</v>
      </c>
      <c r="B184" s="993" t="s">
        <v>1921</v>
      </c>
      <c r="C184" s="897"/>
      <c r="D184" s="897">
        <v>0</v>
      </c>
      <c r="E184" s="897">
        <v>0</v>
      </c>
      <c r="F184" s="897">
        <v>0</v>
      </c>
      <c r="G184" s="897">
        <v>0</v>
      </c>
      <c r="H184" s="897">
        <v>0</v>
      </c>
      <c r="I184" s="897">
        <v>0</v>
      </c>
      <c r="J184" s="897">
        <v>0</v>
      </c>
      <c r="K184" s="897">
        <v>0</v>
      </c>
      <c r="L184" s="897">
        <v>0</v>
      </c>
      <c r="M184" s="897">
        <v>0</v>
      </c>
      <c r="N184" s="897">
        <v>0</v>
      </c>
      <c r="O184" s="897"/>
      <c r="P184" s="897">
        <f t="shared" si="60"/>
        <v>0</v>
      </c>
      <c r="Q184" s="898">
        <f t="shared" si="46"/>
        <v>0</v>
      </c>
      <c r="R184" s="936">
        <f t="shared" si="61"/>
        <v>0</v>
      </c>
      <c r="S184" s="935">
        <f t="shared" si="59"/>
        <v>0</v>
      </c>
      <c r="T184" s="935">
        <f t="shared" si="59"/>
        <v>0</v>
      </c>
      <c r="U184" s="935">
        <f t="shared" si="59"/>
        <v>0</v>
      </c>
      <c r="V184" s="935">
        <f t="shared" si="59"/>
        <v>0</v>
      </c>
      <c r="W184" s="935">
        <f t="shared" si="59"/>
        <v>0</v>
      </c>
      <c r="X184" s="935">
        <f t="shared" si="59"/>
        <v>0</v>
      </c>
      <c r="Y184" s="935">
        <f t="shared" si="50"/>
        <v>0</v>
      </c>
      <c r="Z184" s="935">
        <f t="shared" si="51"/>
        <v>0</v>
      </c>
    </row>
    <row r="185" spans="1:26" hidden="1">
      <c r="A185" s="986">
        <v>63116</v>
      </c>
      <c r="B185" s="993" t="s">
        <v>1922</v>
      </c>
      <c r="C185" s="897"/>
      <c r="D185" s="897">
        <v>0</v>
      </c>
      <c r="E185" s="897">
        <v>0</v>
      </c>
      <c r="F185" s="897">
        <v>0</v>
      </c>
      <c r="G185" s="897">
        <v>0</v>
      </c>
      <c r="H185" s="897">
        <v>0</v>
      </c>
      <c r="I185" s="897">
        <v>0</v>
      </c>
      <c r="J185" s="897">
        <v>0</v>
      </c>
      <c r="K185" s="897">
        <v>0</v>
      </c>
      <c r="L185" s="897">
        <v>0</v>
      </c>
      <c r="M185" s="897">
        <v>0</v>
      </c>
      <c r="N185" s="897">
        <v>0</v>
      </c>
      <c r="O185" s="897"/>
      <c r="P185" s="897">
        <f t="shared" si="60"/>
        <v>0</v>
      </c>
      <c r="Q185" s="898">
        <f t="shared" si="46"/>
        <v>0</v>
      </c>
      <c r="R185" s="936">
        <f t="shared" si="61"/>
        <v>0</v>
      </c>
      <c r="S185" s="935">
        <f t="shared" si="59"/>
        <v>0</v>
      </c>
      <c r="T185" s="935">
        <f t="shared" si="59"/>
        <v>0</v>
      </c>
      <c r="U185" s="935">
        <f t="shared" si="59"/>
        <v>0</v>
      </c>
      <c r="V185" s="935">
        <f t="shared" si="59"/>
        <v>0</v>
      </c>
      <c r="W185" s="935">
        <f t="shared" si="59"/>
        <v>0</v>
      </c>
      <c r="X185" s="935">
        <f t="shared" si="59"/>
        <v>0</v>
      </c>
      <c r="Y185" s="935">
        <f t="shared" si="50"/>
        <v>0</v>
      </c>
      <c r="Z185" s="935">
        <f t="shared" si="51"/>
        <v>0</v>
      </c>
    </row>
    <row r="186" spans="1:26" hidden="1">
      <c r="A186" s="986">
        <v>63117</v>
      </c>
      <c r="B186" s="993" t="s">
        <v>1923</v>
      </c>
      <c r="C186" s="897"/>
      <c r="D186" s="897">
        <v>0</v>
      </c>
      <c r="E186" s="897">
        <v>0</v>
      </c>
      <c r="F186" s="897">
        <v>0</v>
      </c>
      <c r="G186" s="897">
        <v>0</v>
      </c>
      <c r="H186" s="897">
        <v>0</v>
      </c>
      <c r="I186" s="897">
        <v>0</v>
      </c>
      <c r="J186" s="897">
        <v>0</v>
      </c>
      <c r="K186" s="897">
        <v>0</v>
      </c>
      <c r="L186" s="897">
        <v>0</v>
      </c>
      <c r="M186" s="897">
        <v>0</v>
      </c>
      <c r="N186" s="897">
        <v>0</v>
      </c>
      <c r="O186" s="897"/>
      <c r="P186" s="897">
        <f t="shared" si="60"/>
        <v>0</v>
      </c>
      <c r="Q186" s="898">
        <f t="shared" si="46"/>
        <v>0</v>
      </c>
      <c r="R186" s="936">
        <f t="shared" si="61"/>
        <v>0</v>
      </c>
      <c r="S186" s="935">
        <f t="shared" si="59"/>
        <v>0</v>
      </c>
      <c r="T186" s="935">
        <f t="shared" si="59"/>
        <v>0</v>
      </c>
      <c r="U186" s="935">
        <f t="shared" si="59"/>
        <v>0</v>
      </c>
      <c r="V186" s="935">
        <f t="shared" si="59"/>
        <v>0</v>
      </c>
      <c r="W186" s="935">
        <f t="shared" si="59"/>
        <v>0</v>
      </c>
      <c r="X186" s="935">
        <f t="shared" si="59"/>
        <v>0</v>
      </c>
      <c r="Y186" s="935">
        <f t="shared" si="50"/>
        <v>0</v>
      </c>
      <c r="Z186" s="935">
        <f t="shared" si="51"/>
        <v>0</v>
      </c>
    </row>
    <row r="187" spans="1:26" hidden="1">
      <c r="A187" s="986">
        <v>63118</v>
      </c>
      <c r="B187" s="993" t="s">
        <v>1924</v>
      </c>
      <c r="C187" s="897"/>
      <c r="D187" s="897">
        <v>0</v>
      </c>
      <c r="E187" s="897">
        <v>0</v>
      </c>
      <c r="F187" s="897">
        <v>0</v>
      </c>
      <c r="G187" s="897">
        <v>0</v>
      </c>
      <c r="H187" s="897">
        <v>0</v>
      </c>
      <c r="I187" s="897">
        <v>0</v>
      </c>
      <c r="J187" s="897">
        <v>0</v>
      </c>
      <c r="K187" s="897">
        <v>0</v>
      </c>
      <c r="L187" s="897">
        <v>0</v>
      </c>
      <c r="M187" s="897">
        <v>0</v>
      </c>
      <c r="N187" s="897">
        <v>0</v>
      </c>
      <c r="O187" s="897"/>
      <c r="P187" s="897">
        <f t="shared" si="60"/>
        <v>0</v>
      </c>
      <c r="Q187" s="898">
        <f t="shared" si="46"/>
        <v>0</v>
      </c>
      <c r="R187" s="936">
        <f t="shared" si="61"/>
        <v>0</v>
      </c>
      <c r="S187" s="935">
        <f t="shared" si="59"/>
        <v>0</v>
      </c>
      <c r="T187" s="935">
        <f t="shared" si="59"/>
        <v>0</v>
      </c>
      <c r="U187" s="935">
        <f t="shared" si="59"/>
        <v>0</v>
      </c>
      <c r="V187" s="935">
        <f t="shared" si="59"/>
        <v>0</v>
      </c>
      <c r="W187" s="935">
        <f t="shared" si="59"/>
        <v>0</v>
      </c>
      <c r="X187" s="935">
        <f t="shared" si="59"/>
        <v>0</v>
      </c>
      <c r="Y187" s="935">
        <f t="shared" si="50"/>
        <v>0</v>
      </c>
      <c r="Z187" s="935">
        <f t="shared" si="51"/>
        <v>0</v>
      </c>
    </row>
    <row r="188" spans="1:26" ht="25.5" hidden="1">
      <c r="A188" s="986">
        <v>63119</v>
      </c>
      <c r="B188" s="1155" t="s">
        <v>1925</v>
      </c>
      <c r="C188" s="897"/>
      <c r="D188" s="897"/>
      <c r="E188" s="937"/>
      <c r="F188" s="897"/>
      <c r="G188" s="897"/>
      <c r="H188" s="897"/>
      <c r="I188" s="897"/>
      <c r="J188" s="897"/>
      <c r="K188" s="897"/>
      <c r="L188" s="897"/>
      <c r="M188" s="897"/>
      <c r="N188" s="897"/>
      <c r="O188" s="897"/>
      <c r="P188" s="897">
        <f t="shared" si="60"/>
        <v>0</v>
      </c>
      <c r="Q188" s="898">
        <f t="shared" si="46"/>
        <v>0</v>
      </c>
      <c r="R188" s="936">
        <f t="shared" si="61"/>
        <v>0</v>
      </c>
      <c r="S188" s="935">
        <f t="shared" si="59"/>
        <v>0</v>
      </c>
      <c r="T188" s="935">
        <f t="shared" si="59"/>
        <v>0</v>
      </c>
      <c r="U188" s="935">
        <f t="shared" si="59"/>
        <v>0</v>
      </c>
      <c r="V188" s="935">
        <f t="shared" si="59"/>
        <v>0</v>
      </c>
      <c r="W188" s="935">
        <f t="shared" si="59"/>
        <v>0</v>
      </c>
      <c r="X188" s="935">
        <f t="shared" si="59"/>
        <v>0</v>
      </c>
      <c r="Y188" s="935">
        <f t="shared" si="50"/>
        <v>0</v>
      </c>
      <c r="Z188" s="935">
        <f t="shared" si="51"/>
        <v>0</v>
      </c>
    </row>
    <row r="189" spans="1:26">
      <c r="A189" s="984">
        <v>6312</v>
      </c>
      <c r="B189" s="1010" t="s">
        <v>1926</v>
      </c>
      <c r="C189" s="897">
        <v>931628</v>
      </c>
      <c r="D189" s="897"/>
      <c r="E189" s="937">
        <v>101055</v>
      </c>
      <c r="F189" s="897">
        <v>97368</v>
      </c>
      <c r="G189" s="897">
        <v>130601</v>
      </c>
      <c r="H189" s="897">
        <v>128442</v>
      </c>
      <c r="I189" s="897">
        <v>95453</v>
      </c>
      <c r="J189" s="897">
        <v>96250</v>
      </c>
      <c r="K189" s="897"/>
      <c r="L189" s="897"/>
      <c r="M189" s="897"/>
      <c r="N189" s="897"/>
      <c r="O189" s="897"/>
      <c r="P189" s="897">
        <f t="shared" si="60"/>
        <v>649169</v>
      </c>
      <c r="Q189" s="898">
        <f t="shared" si="46"/>
        <v>282459</v>
      </c>
      <c r="R189" s="936">
        <f t="shared" si="61"/>
        <v>40351.285714285717</v>
      </c>
      <c r="S189" s="935">
        <f t="shared" si="59"/>
        <v>40351.285714285717</v>
      </c>
      <c r="T189" s="935">
        <f t="shared" si="59"/>
        <v>40351.285714285717</v>
      </c>
      <c r="U189" s="935">
        <f t="shared" si="59"/>
        <v>40351.285714285717</v>
      </c>
      <c r="V189" s="935">
        <f t="shared" si="59"/>
        <v>40351.285714285717</v>
      </c>
      <c r="W189" s="935">
        <f t="shared" si="59"/>
        <v>40351.285714285717</v>
      </c>
      <c r="X189" s="935">
        <f t="shared" si="59"/>
        <v>40351.285714285717</v>
      </c>
      <c r="Y189" s="935">
        <f t="shared" si="50"/>
        <v>282459</v>
      </c>
      <c r="Z189" s="935">
        <f t="shared" si="51"/>
        <v>0</v>
      </c>
    </row>
    <row r="190" spans="1:26" hidden="1">
      <c r="A190" s="986">
        <v>63121</v>
      </c>
      <c r="B190" s="1009" t="s">
        <v>1927</v>
      </c>
      <c r="C190" s="897"/>
      <c r="D190" s="897"/>
      <c r="E190" s="937">
        <f t="shared" ref="E190:E246" si="62">C190/12</f>
        <v>0</v>
      </c>
      <c r="F190" s="897">
        <f t="shared" ref="F190:M221" si="63">E190/12</f>
        <v>0</v>
      </c>
      <c r="G190" s="897">
        <f t="shared" si="63"/>
        <v>0</v>
      </c>
      <c r="H190" s="897">
        <f t="shared" si="63"/>
        <v>0</v>
      </c>
      <c r="I190" s="897">
        <f t="shared" si="63"/>
        <v>0</v>
      </c>
      <c r="J190" s="897">
        <f t="shared" si="63"/>
        <v>0</v>
      </c>
      <c r="K190" s="897">
        <f t="shared" si="63"/>
        <v>0</v>
      </c>
      <c r="L190" s="897">
        <f t="shared" si="63"/>
        <v>0</v>
      </c>
      <c r="M190" s="897">
        <f t="shared" si="63"/>
        <v>0</v>
      </c>
      <c r="N190" s="897">
        <f t="shared" ref="N190:N220" si="64">M190/12</f>
        <v>0</v>
      </c>
      <c r="O190" s="897"/>
      <c r="P190" s="897">
        <f t="shared" si="60"/>
        <v>0</v>
      </c>
      <c r="Q190" s="898">
        <f t="shared" si="46"/>
        <v>0</v>
      </c>
      <c r="R190" s="936">
        <f t="shared" si="61"/>
        <v>0</v>
      </c>
      <c r="S190" s="935">
        <f t="shared" si="59"/>
        <v>0</v>
      </c>
      <c r="T190" s="935">
        <f t="shared" si="59"/>
        <v>0</v>
      </c>
      <c r="U190" s="935">
        <f t="shared" si="59"/>
        <v>0</v>
      </c>
      <c r="V190" s="935">
        <f t="shared" si="59"/>
        <v>0</v>
      </c>
      <c r="W190" s="935">
        <f t="shared" si="59"/>
        <v>0</v>
      </c>
      <c r="X190" s="935">
        <f t="shared" si="59"/>
        <v>0</v>
      </c>
      <c r="Y190" s="935">
        <f t="shared" si="50"/>
        <v>0</v>
      </c>
      <c r="Z190" s="935">
        <f t="shared" si="51"/>
        <v>0</v>
      </c>
    </row>
    <row r="191" spans="1:26" hidden="1">
      <c r="A191" s="1008" t="s">
        <v>1928</v>
      </c>
      <c r="B191" s="1007" t="s">
        <v>1929</v>
      </c>
      <c r="C191" s="897"/>
      <c r="D191" s="897"/>
      <c r="E191" s="937">
        <f t="shared" si="62"/>
        <v>0</v>
      </c>
      <c r="F191" s="897">
        <f t="shared" si="63"/>
        <v>0</v>
      </c>
      <c r="G191" s="897">
        <f t="shared" si="63"/>
        <v>0</v>
      </c>
      <c r="H191" s="897">
        <f t="shared" si="63"/>
        <v>0</v>
      </c>
      <c r="I191" s="897">
        <f t="shared" si="63"/>
        <v>0</v>
      </c>
      <c r="J191" s="897">
        <f t="shared" si="63"/>
        <v>0</v>
      </c>
      <c r="K191" s="897">
        <f t="shared" si="63"/>
        <v>0</v>
      </c>
      <c r="L191" s="897">
        <f t="shared" si="63"/>
        <v>0</v>
      </c>
      <c r="M191" s="897">
        <f t="shared" si="63"/>
        <v>0</v>
      </c>
      <c r="N191" s="897">
        <f t="shared" si="64"/>
        <v>0</v>
      </c>
      <c r="O191" s="897"/>
      <c r="P191" s="897">
        <f t="shared" si="60"/>
        <v>0</v>
      </c>
      <c r="Q191" s="898">
        <f t="shared" si="46"/>
        <v>0</v>
      </c>
      <c r="R191" s="936">
        <f t="shared" si="61"/>
        <v>0</v>
      </c>
      <c r="S191" s="935">
        <f t="shared" si="59"/>
        <v>0</v>
      </c>
      <c r="T191" s="935">
        <f t="shared" si="59"/>
        <v>0</v>
      </c>
      <c r="U191" s="935">
        <f t="shared" si="59"/>
        <v>0</v>
      </c>
      <c r="V191" s="935">
        <f t="shared" si="59"/>
        <v>0</v>
      </c>
      <c r="W191" s="935">
        <f t="shared" si="59"/>
        <v>0</v>
      </c>
      <c r="X191" s="935">
        <f t="shared" si="59"/>
        <v>0</v>
      </c>
      <c r="Y191" s="935">
        <f t="shared" si="50"/>
        <v>0</v>
      </c>
      <c r="Z191" s="935">
        <f t="shared" si="51"/>
        <v>0</v>
      </c>
    </row>
    <row r="192" spans="1:26" hidden="1">
      <c r="A192" s="1008" t="s">
        <v>1930</v>
      </c>
      <c r="B192" s="1007" t="s">
        <v>1931</v>
      </c>
      <c r="C192" s="897"/>
      <c r="D192" s="897"/>
      <c r="E192" s="937">
        <f t="shared" si="62"/>
        <v>0</v>
      </c>
      <c r="F192" s="897">
        <f t="shared" si="63"/>
        <v>0</v>
      </c>
      <c r="G192" s="897">
        <f t="shared" si="63"/>
        <v>0</v>
      </c>
      <c r="H192" s="897">
        <f t="shared" si="63"/>
        <v>0</v>
      </c>
      <c r="I192" s="897">
        <f t="shared" si="63"/>
        <v>0</v>
      </c>
      <c r="J192" s="897">
        <f t="shared" si="63"/>
        <v>0</v>
      </c>
      <c r="K192" s="897">
        <f t="shared" si="63"/>
        <v>0</v>
      </c>
      <c r="L192" s="897">
        <f t="shared" si="63"/>
        <v>0</v>
      </c>
      <c r="M192" s="897">
        <f t="shared" si="63"/>
        <v>0</v>
      </c>
      <c r="N192" s="897">
        <f t="shared" si="64"/>
        <v>0</v>
      </c>
      <c r="O192" s="897"/>
      <c r="P192" s="897">
        <f t="shared" si="60"/>
        <v>0</v>
      </c>
      <c r="Q192" s="898">
        <f t="shared" si="46"/>
        <v>0</v>
      </c>
      <c r="R192" s="936">
        <f t="shared" si="61"/>
        <v>0</v>
      </c>
      <c r="S192" s="935">
        <f t="shared" si="59"/>
        <v>0</v>
      </c>
      <c r="T192" s="935">
        <f t="shared" si="59"/>
        <v>0</v>
      </c>
      <c r="U192" s="935">
        <f t="shared" si="59"/>
        <v>0</v>
      </c>
      <c r="V192" s="935">
        <f t="shared" si="59"/>
        <v>0</v>
      </c>
      <c r="W192" s="935">
        <f t="shared" si="59"/>
        <v>0</v>
      </c>
      <c r="X192" s="935">
        <f t="shared" si="59"/>
        <v>0</v>
      </c>
      <c r="Y192" s="935">
        <f t="shared" si="50"/>
        <v>0</v>
      </c>
      <c r="Z192" s="935">
        <f t="shared" si="51"/>
        <v>0</v>
      </c>
    </row>
    <row r="193" spans="1:26" hidden="1">
      <c r="A193" s="1008" t="s">
        <v>1932</v>
      </c>
      <c r="B193" s="1007" t="s">
        <v>1933</v>
      </c>
      <c r="C193" s="897"/>
      <c r="D193" s="897"/>
      <c r="E193" s="937">
        <f t="shared" si="62"/>
        <v>0</v>
      </c>
      <c r="F193" s="897">
        <f t="shared" si="63"/>
        <v>0</v>
      </c>
      <c r="G193" s="897">
        <f t="shared" si="63"/>
        <v>0</v>
      </c>
      <c r="H193" s="897">
        <f t="shared" si="63"/>
        <v>0</v>
      </c>
      <c r="I193" s="897">
        <f t="shared" si="63"/>
        <v>0</v>
      </c>
      <c r="J193" s="897">
        <f t="shared" si="63"/>
        <v>0</v>
      </c>
      <c r="K193" s="897">
        <f t="shared" si="63"/>
        <v>0</v>
      </c>
      <c r="L193" s="897">
        <f t="shared" si="63"/>
        <v>0</v>
      </c>
      <c r="M193" s="897">
        <f t="shared" si="63"/>
        <v>0</v>
      </c>
      <c r="N193" s="897">
        <f t="shared" si="64"/>
        <v>0</v>
      </c>
      <c r="O193" s="897"/>
      <c r="P193" s="897">
        <f t="shared" si="60"/>
        <v>0</v>
      </c>
      <c r="Q193" s="898">
        <f t="shared" si="46"/>
        <v>0</v>
      </c>
      <c r="R193" s="936">
        <f t="shared" si="61"/>
        <v>0</v>
      </c>
      <c r="S193" s="935">
        <f t="shared" si="59"/>
        <v>0</v>
      </c>
      <c r="T193" s="935">
        <f t="shared" si="59"/>
        <v>0</v>
      </c>
      <c r="U193" s="935">
        <f t="shared" si="59"/>
        <v>0</v>
      </c>
      <c r="V193" s="935">
        <f t="shared" si="59"/>
        <v>0</v>
      </c>
      <c r="W193" s="935">
        <f t="shared" si="59"/>
        <v>0</v>
      </c>
      <c r="X193" s="935">
        <f t="shared" si="59"/>
        <v>0</v>
      </c>
      <c r="Y193" s="935">
        <f t="shared" si="50"/>
        <v>0</v>
      </c>
      <c r="Z193" s="935">
        <f t="shared" si="51"/>
        <v>0</v>
      </c>
    </row>
    <row r="194" spans="1:26" hidden="1">
      <c r="A194" s="1008" t="s">
        <v>1934</v>
      </c>
      <c r="B194" s="1007" t="s">
        <v>1935</v>
      </c>
      <c r="C194" s="897"/>
      <c r="D194" s="897"/>
      <c r="E194" s="937">
        <f t="shared" si="62"/>
        <v>0</v>
      </c>
      <c r="F194" s="897">
        <f t="shared" si="63"/>
        <v>0</v>
      </c>
      <c r="G194" s="897">
        <f t="shared" si="63"/>
        <v>0</v>
      </c>
      <c r="H194" s="897">
        <f t="shared" si="63"/>
        <v>0</v>
      </c>
      <c r="I194" s="897">
        <f t="shared" si="63"/>
        <v>0</v>
      </c>
      <c r="J194" s="897">
        <f t="shared" si="63"/>
        <v>0</v>
      </c>
      <c r="K194" s="897">
        <f t="shared" si="63"/>
        <v>0</v>
      </c>
      <c r="L194" s="897">
        <f t="shared" si="63"/>
        <v>0</v>
      </c>
      <c r="M194" s="897">
        <f t="shared" si="63"/>
        <v>0</v>
      </c>
      <c r="N194" s="897">
        <f t="shared" si="64"/>
        <v>0</v>
      </c>
      <c r="O194" s="897"/>
      <c r="P194" s="897">
        <f t="shared" si="60"/>
        <v>0</v>
      </c>
      <c r="Q194" s="898">
        <f t="shared" si="46"/>
        <v>0</v>
      </c>
      <c r="R194" s="936">
        <f t="shared" si="61"/>
        <v>0</v>
      </c>
      <c r="S194" s="935">
        <f t="shared" si="59"/>
        <v>0</v>
      </c>
      <c r="T194" s="935">
        <f t="shared" si="59"/>
        <v>0</v>
      </c>
      <c r="U194" s="935">
        <f t="shared" si="59"/>
        <v>0</v>
      </c>
      <c r="V194" s="935">
        <f t="shared" si="59"/>
        <v>0</v>
      </c>
      <c r="W194" s="935">
        <f t="shared" si="59"/>
        <v>0</v>
      </c>
      <c r="X194" s="935">
        <f t="shared" si="59"/>
        <v>0</v>
      </c>
      <c r="Y194" s="935">
        <f t="shared" si="50"/>
        <v>0</v>
      </c>
      <c r="Z194" s="935">
        <f t="shared" si="51"/>
        <v>0</v>
      </c>
    </row>
    <row r="195" spans="1:26" hidden="1">
      <c r="A195" s="1008" t="s">
        <v>1936</v>
      </c>
      <c r="B195" s="1007" t="s">
        <v>1937</v>
      </c>
      <c r="C195" s="897"/>
      <c r="D195" s="897"/>
      <c r="E195" s="937">
        <f t="shared" si="62"/>
        <v>0</v>
      </c>
      <c r="F195" s="897">
        <f t="shared" si="63"/>
        <v>0</v>
      </c>
      <c r="G195" s="897">
        <f t="shared" si="63"/>
        <v>0</v>
      </c>
      <c r="H195" s="897">
        <f t="shared" si="63"/>
        <v>0</v>
      </c>
      <c r="I195" s="897">
        <f t="shared" si="63"/>
        <v>0</v>
      </c>
      <c r="J195" s="897">
        <f t="shared" si="63"/>
        <v>0</v>
      </c>
      <c r="K195" s="897">
        <f t="shared" si="63"/>
        <v>0</v>
      </c>
      <c r="L195" s="897">
        <f t="shared" si="63"/>
        <v>0</v>
      </c>
      <c r="M195" s="897">
        <f t="shared" si="63"/>
        <v>0</v>
      </c>
      <c r="N195" s="897">
        <f t="shared" si="64"/>
        <v>0</v>
      </c>
      <c r="O195" s="897"/>
      <c r="P195" s="897">
        <f t="shared" si="60"/>
        <v>0</v>
      </c>
      <c r="Q195" s="898">
        <f t="shared" si="46"/>
        <v>0</v>
      </c>
      <c r="R195" s="936">
        <f t="shared" si="61"/>
        <v>0</v>
      </c>
      <c r="S195" s="935">
        <f t="shared" ref="S195:X210" si="65">R195</f>
        <v>0</v>
      </c>
      <c r="T195" s="935">
        <f t="shared" si="65"/>
        <v>0</v>
      </c>
      <c r="U195" s="935">
        <f t="shared" si="65"/>
        <v>0</v>
      </c>
      <c r="V195" s="935">
        <f t="shared" si="65"/>
        <v>0</v>
      </c>
      <c r="W195" s="935">
        <f t="shared" si="65"/>
        <v>0</v>
      </c>
      <c r="X195" s="935">
        <f t="shared" si="65"/>
        <v>0</v>
      </c>
      <c r="Y195" s="935">
        <f t="shared" si="50"/>
        <v>0</v>
      </c>
      <c r="Z195" s="935">
        <f t="shared" si="51"/>
        <v>0</v>
      </c>
    </row>
    <row r="196" spans="1:26" hidden="1">
      <c r="A196" s="1008" t="s">
        <v>1938</v>
      </c>
      <c r="B196" s="1007" t="s">
        <v>1939</v>
      </c>
      <c r="C196" s="897"/>
      <c r="D196" s="897"/>
      <c r="E196" s="937">
        <f t="shared" si="62"/>
        <v>0</v>
      </c>
      <c r="F196" s="897">
        <f t="shared" si="63"/>
        <v>0</v>
      </c>
      <c r="G196" s="897">
        <f t="shared" si="63"/>
        <v>0</v>
      </c>
      <c r="H196" s="897">
        <f t="shared" si="63"/>
        <v>0</v>
      </c>
      <c r="I196" s="897">
        <f t="shared" si="63"/>
        <v>0</v>
      </c>
      <c r="J196" s="897">
        <f t="shared" si="63"/>
        <v>0</v>
      </c>
      <c r="K196" s="897">
        <f t="shared" si="63"/>
        <v>0</v>
      </c>
      <c r="L196" s="897">
        <f t="shared" si="63"/>
        <v>0</v>
      </c>
      <c r="M196" s="897">
        <f t="shared" si="63"/>
        <v>0</v>
      </c>
      <c r="N196" s="897">
        <f t="shared" si="64"/>
        <v>0</v>
      </c>
      <c r="O196" s="897"/>
      <c r="P196" s="897">
        <f t="shared" si="60"/>
        <v>0</v>
      </c>
      <c r="Q196" s="898">
        <f t="shared" si="46"/>
        <v>0</v>
      </c>
      <c r="R196" s="936">
        <f t="shared" si="61"/>
        <v>0</v>
      </c>
      <c r="S196" s="935">
        <f t="shared" si="65"/>
        <v>0</v>
      </c>
      <c r="T196" s="935">
        <f t="shared" si="65"/>
        <v>0</v>
      </c>
      <c r="U196" s="935">
        <f t="shared" si="65"/>
        <v>0</v>
      </c>
      <c r="V196" s="935">
        <f t="shared" si="65"/>
        <v>0</v>
      </c>
      <c r="W196" s="935">
        <f t="shared" si="65"/>
        <v>0</v>
      </c>
      <c r="X196" s="935">
        <f t="shared" si="65"/>
        <v>0</v>
      </c>
      <c r="Y196" s="935">
        <f t="shared" si="50"/>
        <v>0</v>
      </c>
      <c r="Z196" s="935">
        <f t="shared" si="51"/>
        <v>0</v>
      </c>
    </row>
    <row r="197" spans="1:26" hidden="1">
      <c r="A197" s="1008" t="s">
        <v>1940</v>
      </c>
      <c r="B197" s="1007" t="s">
        <v>1941</v>
      </c>
      <c r="C197" s="897"/>
      <c r="D197" s="897"/>
      <c r="E197" s="937">
        <f t="shared" si="62"/>
        <v>0</v>
      </c>
      <c r="F197" s="897">
        <f t="shared" si="63"/>
        <v>0</v>
      </c>
      <c r="G197" s="897">
        <f t="shared" si="63"/>
        <v>0</v>
      </c>
      <c r="H197" s="897">
        <f t="shared" si="63"/>
        <v>0</v>
      </c>
      <c r="I197" s="897">
        <f t="shared" si="63"/>
        <v>0</v>
      </c>
      <c r="J197" s="897">
        <f t="shared" si="63"/>
        <v>0</v>
      </c>
      <c r="K197" s="897">
        <f t="shared" si="63"/>
        <v>0</v>
      </c>
      <c r="L197" s="897">
        <f t="shared" si="63"/>
        <v>0</v>
      </c>
      <c r="M197" s="897">
        <f t="shared" si="63"/>
        <v>0</v>
      </c>
      <c r="N197" s="897">
        <f t="shared" si="64"/>
        <v>0</v>
      </c>
      <c r="O197" s="897"/>
      <c r="P197" s="897">
        <f t="shared" si="60"/>
        <v>0</v>
      </c>
      <c r="Q197" s="898">
        <f t="shared" si="46"/>
        <v>0</v>
      </c>
      <c r="R197" s="936">
        <f t="shared" si="61"/>
        <v>0</v>
      </c>
      <c r="S197" s="935">
        <f t="shared" si="65"/>
        <v>0</v>
      </c>
      <c r="T197" s="935">
        <f t="shared" si="65"/>
        <v>0</v>
      </c>
      <c r="U197" s="935">
        <f t="shared" si="65"/>
        <v>0</v>
      </c>
      <c r="V197" s="935">
        <f t="shared" si="65"/>
        <v>0</v>
      </c>
      <c r="W197" s="935">
        <f t="shared" si="65"/>
        <v>0</v>
      </c>
      <c r="X197" s="935">
        <f t="shared" si="65"/>
        <v>0</v>
      </c>
      <c r="Y197" s="935">
        <f t="shared" si="50"/>
        <v>0</v>
      </c>
      <c r="Z197" s="935">
        <f t="shared" si="51"/>
        <v>0</v>
      </c>
    </row>
    <row r="198" spans="1:26" hidden="1">
      <c r="A198" s="986">
        <v>63122</v>
      </c>
      <c r="B198" s="1009" t="s">
        <v>1942</v>
      </c>
      <c r="C198" s="897"/>
      <c r="D198" s="897"/>
      <c r="E198" s="937">
        <f t="shared" si="62"/>
        <v>0</v>
      </c>
      <c r="F198" s="897">
        <f t="shared" si="63"/>
        <v>0</v>
      </c>
      <c r="G198" s="897">
        <f t="shared" si="63"/>
        <v>0</v>
      </c>
      <c r="H198" s="897">
        <f t="shared" si="63"/>
        <v>0</v>
      </c>
      <c r="I198" s="897">
        <f t="shared" si="63"/>
        <v>0</v>
      </c>
      <c r="J198" s="897">
        <f t="shared" si="63"/>
        <v>0</v>
      </c>
      <c r="K198" s="897">
        <f t="shared" si="63"/>
        <v>0</v>
      </c>
      <c r="L198" s="897">
        <f t="shared" si="63"/>
        <v>0</v>
      </c>
      <c r="M198" s="897">
        <f t="shared" si="63"/>
        <v>0</v>
      </c>
      <c r="N198" s="897">
        <f t="shared" si="64"/>
        <v>0</v>
      </c>
      <c r="O198" s="897"/>
      <c r="P198" s="897">
        <f t="shared" si="60"/>
        <v>0</v>
      </c>
      <c r="Q198" s="898">
        <f t="shared" si="46"/>
        <v>0</v>
      </c>
      <c r="R198" s="936">
        <f t="shared" si="61"/>
        <v>0</v>
      </c>
      <c r="S198" s="935">
        <f t="shared" si="65"/>
        <v>0</v>
      </c>
      <c r="T198" s="935">
        <f t="shared" si="65"/>
        <v>0</v>
      </c>
      <c r="U198" s="935">
        <f t="shared" si="65"/>
        <v>0</v>
      </c>
      <c r="V198" s="935">
        <f t="shared" si="65"/>
        <v>0</v>
      </c>
      <c r="W198" s="935">
        <f t="shared" si="65"/>
        <v>0</v>
      </c>
      <c r="X198" s="935">
        <f t="shared" si="65"/>
        <v>0</v>
      </c>
      <c r="Y198" s="935">
        <f t="shared" si="50"/>
        <v>0</v>
      </c>
      <c r="Z198" s="935">
        <f t="shared" si="51"/>
        <v>0</v>
      </c>
    </row>
    <row r="199" spans="1:26" hidden="1">
      <c r="A199" s="1008" t="s">
        <v>1943</v>
      </c>
      <c r="B199" s="1007" t="s">
        <v>1944</v>
      </c>
      <c r="C199" s="897"/>
      <c r="D199" s="897"/>
      <c r="E199" s="937">
        <f t="shared" si="62"/>
        <v>0</v>
      </c>
      <c r="F199" s="897">
        <f t="shared" si="63"/>
        <v>0</v>
      </c>
      <c r="G199" s="897">
        <f t="shared" si="63"/>
        <v>0</v>
      </c>
      <c r="H199" s="897">
        <f t="shared" si="63"/>
        <v>0</v>
      </c>
      <c r="I199" s="897">
        <f t="shared" si="63"/>
        <v>0</v>
      </c>
      <c r="J199" s="897">
        <f t="shared" si="63"/>
        <v>0</v>
      </c>
      <c r="K199" s="897">
        <f t="shared" si="63"/>
        <v>0</v>
      </c>
      <c r="L199" s="897">
        <f t="shared" si="63"/>
        <v>0</v>
      </c>
      <c r="M199" s="897">
        <f t="shared" si="63"/>
        <v>0</v>
      </c>
      <c r="N199" s="897">
        <f t="shared" si="64"/>
        <v>0</v>
      </c>
      <c r="O199" s="897"/>
      <c r="P199" s="897">
        <f t="shared" si="60"/>
        <v>0</v>
      </c>
      <c r="Q199" s="898">
        <f t="shared" si="46"/>
        <v>0</v>
      </c>
      <c r="R199" s="936">
        <f t="shared" si="61"/>
        <v>0</v>
      </c>
      <c r="S199" s="935">
        <f t="shared" si="65"/>
        <v>0</v>
      </c>
      <c r="T199" s="935">
        <f t="shared" si="65"/>
        <v>0</v>
      </c>
      <c r="U199" s="935">
        <f t="shared" si="65"/>
        <v>0</v>
      </c>
      <c r="V199" s="935">
        <f t="shared" si="65"/>
        <v>0</v>
      </c>
      <c r="W199" s="935">
        <f t="shared" si="65"/>
        <v>0</v>
      </c>
      <c r="X199" s="935">
        <f t="shared" si="65"/>
        <v>0</v>
      </c>
      <c r="Y199" s="935">
        <f t="shared" si="50"/>
        <v>0</v>
      </c>
      <c r="Z199" s="935">
        <f t="shared" si="51"/>
        <v>0</v>
      </c>
    </row>
    <row r="200" spans="1:26" hidden="1">
      <c r="A200" s="1008" t="s">
        <v>1945</v>
      </c>
      <c r="B200" s="1007" t="s">
        <v>1946</v>
      </c>
      <c r="C200" s="897"/>
      <c r="D200" s="897"/>
      <c r="E200" s="937">
        <f t="shared" si="62"/>
        <v>0</v>
      </c>
      <c r="F200" s="897">
        <f t="shared" si="63"/>
        <v>0</v>
      </c>
      <c r="G200" s="897">
        <f t="shared" si="63"/>
        <v>0</v>
      </c>
      <c r="H200" s="897">
        <f t="shared" si="63"/>
        <v>0</v>
      </c>
      <c r="I200" s="897">
        <f t="shared" si="63"/>
        <v>0</v>
      </c>
      <c r="J200" s="897">
        <f t="shared" si="63"/>
        <v>0</v>
      </c>
      <c r="K200" s="897">
        <f t="shared" si="63"/>
        <v>0</v>
      </c>
      <c r="L200" s="897">
        <f t="shared" si="63"/>
        <v>0</v>
      </c>
      <c r="M200" s="897">
        <f t="shared" si="63"/>
        <v>0</v>
      </c>
      <c r="N200" s="897">
        <f t="shared" si="64"/>
        <v>0</v>
      </c>
      <c r="O200" s="897"/>
      <c r="P200" s="897">
        <f t="shared" si="60"/>
        <v>0</v>
      </c>
      <c r="Q200" s="898">
        <f t="shared" si="46"/>
        <v>0</v>
      </c>
      <c r="R200" s="936">
        <f t="shared" si="61"/>
        <v>0</v>
      </c>
      <c r="S200" s="935">
        <f t="shared" si="65"/>
        <v>0</v>
      </c>
      <c r="T200" s="935">
        <f t="shared" si="65"/>
        <v>0</v>
      </c>
      <c r="U200" s="935">
        <f t="shared" si="65"/>
        <v>0</v>
      </c>
      <c r="V200" s="935">
        <f t="shared" si="65"/>
        <v>0</v>
      </c>
      <c r="W200" s="935">
        <f t="shared" si="65"/>
        <v>0</v>
      </c>
      <c r="X200" s="935">
        <f t="shared" si="65"/>
        <v>0</v>
      </c>
      <c r="Y200" s="935">
        <f t="shared" si="50"/>
        <v>0</v>
      </c>
      <c r="Z200" s="935">
        <f t="shared" si="51"/>
        <v>0</v>
      </c>
    </row>
    <row r="201" spans="1:26" hidden="1">
      <c r="A201" s="1008" t="s">
        <v>1947</v>
      </c>
      <c r="B201" s="1007" t="s">
        <v>1948</v>
      </c>
      <c r="C201" s="897"/>
      <c r="D201" s="897"/>
      <c r="E201" s="937">
        <f t="shared" si="62"/>
        <v>0</v>
      </c>
      <c r="F201" s="897">
        <f t="shared" si="63"/>
        <v>0</v>
      </c>
      <c r="G201" s="897">
        <f t="shared" si="63"/>
        <v>0</v>
      </c>
      <c r="H201" s="897">
        <f t="shared" si="63"/>
        <v>0</v>
      </c>
      <c r="I201" s="897">
        <f t="shared" si="63"/>
        <v>0</v>
      </c>
      <c r="J201" s="897">
        <f t="shared" si="63"/>
        <v>0</v>
      </c>
      <c r="K201" s="897">
        <f t="shared" si="63"/>
        <v>0</v>
      </c>
      <c r="L201" s="897">
        <f t="shared" si="63"/>
        <v>0</v>
      </c>
      <c r="M201" s="897">
        <f t="shared" si="63"/>
        <v>0</v>
      </c>
      <c r="N201" s="897">
        <f t="shared" si="64"/>
        <v>0</v>
      </c>
      <c r="O201" s="897"/>
      <c r="P201" s="897">
        <f t="shared" si="60"/>
        <v>0</v>
      </c>
      <c r="Q201" s="898">
        <f t="shared" si="46"/>
        <v>0</v>
      </c>
      <c r="R201" s="936">
        <f t="shared" si="61"/>
        <v>0</v>
      </c>
      <c r="S201" s="935">
        <f t="shared" si="65"/>
        <v>0</v>
      </c>
      <c r="T201" s="935">
        <f t="shared" si="65"/>
        <v>0</v>
      </c>
      <c r="U201" s="935">
        <f t="shared" si="65"/>
        <v>0</v>
      </c>
      <c r="V201" s="935">
        <f t="shared" si="65"/>
        <v>0</v>
      </c>
      <c r="W201" s="935">
        <f t="shared" si="65"/>
        <v>0</v>
      </c>
      <c r="X201" s="935">
        <f t="shared" si="65"/>
        <v>0</v>
      </c>
      <c r="Y201" s="935">
        <f t="shared" si="50"/>
        <v>0</v>
      </c>
      <c r="Z201" s="935">
        <f t="shared" si="51"/>
        <v>0</v>
      </c>
    </row>
    <row r="202" spans="1:26" hidden="1">
      <c r="A202" s="1008" t="s">
        <v>1949</v>
      </c>
      <c r="B202" s="1007" t="s">
        <v>1950</v>
      </c>
      <c r="C202" s="897"/>
      <c r="D202" s="897"/>
      <c r="E202" s="937">
        <f t="shared" si="62"/>
        <v>0</v>
      </c>
      <c r="F202" s="897">
        <f t="shared" si="63"/>
        <v>0</v>
      </c>
      <c r="G202" s="897">
        <f t="shared" si="63"/>
        <v>0</v>
      </c>
      <c r="H202" s="897">
        <f t="shared" si="63"/>
        <v>0</v>
      </c>
      <c r="I202" s="897">
        <f t="shared" si="63"/>
        <v>0</v>
      </c>
      <c r="J202" s="897">
        <f t="shared" si="63"/>
        <v>0</v>
      </c>
      <c r="K202" s="897">
        <f t="shared" si="63"/>
        <v>0</v>
      </c>
      <c r="L202" s="897">
        <f t="shared" si="63"/>
        <v>0</v>
      </c>
      <c r="M202" s="897">
        <f t="shared" si="63"/>
        <v>0</v>
      </c>
      <c r="N202" s="897">
        <f t="shared" si="64"/>
        <v>0</v>
      </c>
      <c r="O202" s="897"/>
      <c r="P202" s="897">
        <f t="shared" si="60"/>
        <v>0</v>
      </c>
      <c r="Q202" s="898">
        <f t="shared" si="46"/>
        <v>0</v>
      </c>
      <c r="R202" s="936">
        <f t="shared" si="61"/>
        <v>0</v>
      </c>
      <c r="S202" s="935">
        <f t="shared" si="65"/>
        <v>0</v>
      </c>
      <c r="T202" s="935">
        <f t="shared" si="65"/>
        <v>0</v>
      </c>
      <c r="U202" s="935">
        <f t="shared" si="65"/>
        <v>0</v>
      </c>
      <c r="V202" s="935">
        <f t="shared" si="65"/>
        <v>0</v>
      </c>
      <c r="W202" s="935">
        <f t="shared" si="65"/>
        <v>0</v>
      </c>
      <c r="X202" s="935">
        <f t="shared" si="65"/>
        <v>0</v>
      </c>
      <c r="Y202" s="935">
        <f t="shared" si="50"/>
        <v>0</v>
      </c>
      <c r="Z202" s="935">
        <f t="shared" si="51"/>
        <v>0</v>
      </c>
    </row>
    <row r="203" spans="1:26" hidden="1">
      <c r="A203" s="1008" t="s">
        <v>1951</v>
      </c>
      <c r="B203" s="1007" t="s">
        <v>1952</v>
      </c>
      <c r="C203" s="897"/>
      <c r="D203" s="897"/>
      <c r="E203" s="937">
        <f t="shared" si="62"/>
        <v>0</v>
      </c>
      <c r="F203" s="897">
        <f t="shared" si="63"/>
        <v>0</v>
      </c>
      <c r="G203" s="897">
        <f t="shared" si="63"/>
        <v>0</v>
      </c>
      <c r="H203" s="897">
        <f t="shared" si="63"/>
        <v>0</v>
      </c>
      <c r="I203" s="897">
        <f t="shared" si="63"/>
        <v>0</v>
      </c>
      <c r="J203" s="897">
        <f t="shared" si="63"/>
        <v>0</v>
      </c>
      <c r="K203" s="897">
        <f t="shared" si="63"/>
        <v>0</v>
      </c>
      <c r="L203" s="897">
        <f t="shared" si="63"/>
        <v>0</v>
      </c>
      <c r="M203" s="897">
        <f t="shared" si="63"/>
        <v>0</v>
      </c>
      <c r="N203" s="897">
        <f t="shared" si="64"/>
        <v>0</v>
      </c>
      <c r="O203" s="897"/>
      <c r="P203" s="897">
        <f t="shared" si="60"/>
        <v>0</v>
      </c>
      <c r="Q203" s="898">
        <f t="shared" si="46"/>
        <v>0</v>
      </c>
      <c r="R203" s="936">
        <f t="shared" si="61"/>
        <v>0</v>
      </c>
      <c r="S203" s="935">
        <f t="shared" si="65"/>
        <v>0</v>
      </c>
      <c r="T203" s="935">
        <f t="shared" si="65"/>
        <v>0</v>
      </c>
      <c r="U203" s="935">
        <f t="shared" si="65"/>
        <v>0</v>
      </c>
      <c r="V203" s="935">
        <f t="shared" si="65"/>
        <v>0</v>
      </c>
      <c r="W203" s="935">
        <f t="shared" si="65"/>
        <v>0</v>
      </c>
      <c r="X203" s="935">
        <f t="shared" si="65"/>
        <v>0</v>
      </c>
      <c r="Y203" s="935">
        <f t="shared" si="50"/>
        <v>0</v>
      </c>
      <c r="Z203" s="935">
        <f t="shared" si="51"/>
        <v>0</v>
      </c>
    </row>
    <row r="204" spans="1:26" hidden="1">
      <c r="A204" s="1008" t="s">
        <v>1953</v>
      </c>
      <c r="B204" s="1007" t="s">
        <v>1954</v>
      </c>
      <c r="C204" s="897"/>
      <c r="D204" s="897"/>
      <c r="E204" s="937">
        <f t="shared" si="62"/>
        <v>0</v>
      </c>
      <c r="F204" s="897">
        <f t="shared" si="63"/>
        <v>0</v>
      </c>
      <c r="G204" s="897">
        <f t="shared" si="63"/>
        <v>0</v>
      </c>
      <c r="H204" s="897">
        <f t="shared" si="63"/>
        <v>0</v>
      </c>
      <c r="I204" s="897">
        <f t="shared" si="63"/>
        <v>0</v>
      </c>
      <c r="J204" s="897">
        <f t="shared" si="63"/>
        <v>0</v>
      </c>
      <c r="K204" s="897">
        <f t="shared" si="63"/>
        <v>0</v>
      </c>
      <c r="L204" s="897">
        <f t="shared" si="63"/>
        <v>0</v>
      </c>
      <c r="M204" s="897">
        <f t="shared" si="63"/>
        <v>0</v>
      </c>
      <c r="N204" s="897">
        <f t="shared" si="64"/>
        <v>0</v>
      </c>
      <c r="O204" s="897"/>
      <c r="P204" s="897">
        <f t="shared" si="60"/>
        <v>0</v>
      </c>
      <c r="Q204" s="898">
        <f t="shared" si="46"/>
        <v>0</v>
      </c>
      <c r="R204" s="936">
        <f t="shared" si="61"/>
        <v>0</v>
      </c>
      <c r="S204" s="935">
        <f t="shared" si="65"/>
        <v>0</v>
      </c>
      <c r="T204" s="935">
        <f t="shared" si="65"/>
        <v>0</v>
      </c>
      <c r="U204" s="935">
        <f t="shared" si="65"/>
        <v>0</v>
      </c>
      <c r="V204" s="935">
        <f t="shared" si="65"/>
        <v>0</v>
      </c>
      <c r="W204" s="935">
        <f t="shared" si="65"/>
        <v>0</v>
      </c>
      <c r="X204" s="935">
        <f t="shared" si="65"/>
        <v>0</v>
      </c>
      <c r="Y204" s="935">
        <f t="shared" si="50"/>
        <v>0</v>
      </c>
      <c r="Z204" s="935">
        <f t="shared" si="51"/>
        <v>0</v>
      </c>
    </row>
    <row r="205" spans="1:26" hidden="1">
      <c r="A205" s="986">
        <v>63123</v>
      </c>
      <c r="B205" s="1009" t="s">
        <v>1955</v>
      </c>
      <c r="C205" s="897"/>
      <c r="D205" s="897"/>
      <c r="E205" s="937">
        <f t="shared" si="62"/>
        <v>0</v>
      </c>
      <c r="F205" s="897">
        <f t="shared" si="63"/>
        <v>0</v>
      </c>
      <c r="G205" s="897">
        <f t="shared" si="63"/>
        <v>0</v>
      </c>
      <c r="H205" s="897">
        <f t="shared" si="63"/>
        <v>0</v>
      </c>
      <c r="I205" s="897">
        <f t="shared" si="63"/>
        <v>0</v>
      </c>
      <c r="J205" s="897">
        <f t="shared" si="63"/>
        <v>0</v>
      </c>
      <c r="K205" s="897">
        <f t="shared" si="63"/>
        <v>0</v>
      </c>
      <c r="L205" s="897">
        <f t="shared" si="63"/>
        <v>0</v>
      </c>
      <c r="M205" s="897">
        <f t="shared" si="63"/>
        <v>0</v>
      </c>
      <c r="N205" s="897">
        <f t="shared" si="64"/>
        <v>0</v>
      </c>
      <c r="O205" s="897"/>
      <c r="P205" s="897">
        <f t="shared" si="60"/>
        <v>0</v>
      </c>
      <c r="Q205" s="898">
        <f t="shared" si="46"/>
        <v>0</v>
      </c>
      <c r="R205" s="936">
        <f t="shared" si="61"/>
        <v>0</v>
      </c>
      <c r="S205" s="935">
        <f t="shared" si="65"/>
        <v>0</v>
      </c>
      <c r="T205" s="935">
        <f t="shared" si="65"/>
        <v>0</v>
      </c>
      <c r="U205" s="935">
        <f t="shared" si="65"/>
        <v>0</v>
      </c>
      <c r="V205" s="935">
        <f t="shared" si="65"/>
        <v>0</v>
      </c>
      <c r="W205" s="935">
        <f t="shared" si="65"/>
        <v>0</v>
      </c>
      <c r="X205" s="935">
        <f t="shared" si="65"/>
        <v>0</v>
      </c>
      <c r="Y205" s="935">
        <f t="shared" si="50"/>
        <v>0</v>
      </c>
      <c r="Z205" s="935">
        <f t="shared" si="51"/>
        <v>0</v>
      </c>
    </row>
    <row r="206" spans="1:26" hidden="1">
      <c r="A206" s="1008" t="s">
        <v>1956</v>
      </c>
      <c r="B206" s="1007" t="s">
        <v>1957</v>
      </c>
      <c r="C206" s="897"/>
      <c r="D206" s="897"/>
      <c r="E206" s="937">
        <f t="shared" si="62"/>
        <v>0</v>
      </c>
      <c r="F206" s="897">
        <f t="shared" si="63"/>
        <v>0</v>
      </c>
      <c r="G206" s="897">
        <f t="shared" si="63"/>
        <v>0</v>
      </c>
      <c r="H206" s="897">
        <f t="shared" si="63"/>
        <v>0</v>
      </c>
      <c r="I206" s="897">
        <f t="shared" si="63"/>
        <v>0</v>
      </c>
      <c r="J206" s="897">
        <f t="shared" si="63"/>
        <v>0</v>
      </c>
      <c r="K206" s="897">
        <f t="shared" si="63"/>
        <v>0</v>
      </c>
      <c r="L206" s="897">
        <f t="shared" si="63"/>
        <v>0</v>
      </c>
      <c r="M206" s="897">
        <f t="shared" si="63"/>
        <v>0</v>
      </c>
      <c r="N206" s="897">
        <f t="shared" si="64"/>
        <v>0</v>
      </c>
      <c r="O206" s="897"/>
      <c r="P206" s="897">
        <f t="shared" si="60"/>
        <v>0</v>
      </c>
      <c r="Q206" s="898">
        <f t="shared" si="46"/>
        <v>0</v>
      </c>
      <c r="R206" s="936">
        <f t="shared" si="61"/>
        <v>0</v>
      </c>
      <c r="S206" s="935">
        <f t="shared" si="65"/>
        <v>0</v>
      </c>
      <c r="T206" s="935">
        <f t="shared" si="65"/>
        <v>0</v>
      </c>
      <c r="U206" s="935">
        <f t="shared" si="65"/>
        <v>0</v>
      </c>
      <c r="V206" s="935">
        <f t="shared" si="65"/>
        <v>0</v>
      </c>
      <c r="W206" s="935">
        <f t="shared" si="65"/>
        <v>0</v>
      </c>
      <c r="X206" s="935">
        <f t="shared" si="65"/>
        <v>0</v>
      </c>
      <c r="Y206" s="935">
        <f t="shared" si="50"/>
        <v>0</v>
      </c>
      <c r="Z206" s="935">
        <f t="shared" si="51"/>
        <v>0</v>
      </c>
    </row>
    <row r="207" spans="1:26" hidden="1">
      <c r="A207" s="1008" t="s">
        <v>1958</v>
      </c>
      <c r="B207" s="1007" t="s">
        <v>1959</v>
      </c>
      <c r="C207" s="897"/>
      <c r="D207" s="897"/>
      <c r="E207" s="937">
        <f t="shared" si="62"/>
        <v>0</v>
      </c>
      <c r="F207" s="897">
        <f t="shared" si="63"/>
        <v>0</v>
      </c>
      <c r="G207" s="897">
        <f t="shared" si="63"/>
        <v>0</v>
      </c>
      <c r="H207" s="897">
        <f t="shared" si="63"/>
        <v>0</v>
      </c>
      <c r="I207" s="897">
        <f t="shared" si="63"/>
        <v>0</v>
      </c>
      <c r="J207" s="897">
        <f t="shared" si="63"/>
        <v>0</v>
      </c>
      <c r="K207" s="897">
        <f t="shared" si="63"/>
        <v>0</v>
      </c>
      <c r="L207" s="897">
        <f t="shared" si="63"/>
        <v>0</v>
      </c>
      <c r="M207" s="897">
        <f t="shared" si="63"/>
        <v>0</v>
      </c>
      <c r="N207" s="897">
        <f t="shared" si="64"/>
        <v>0</v>
      </c>
      <c r="O207" s="897"/>
      <c r="P207" s="897">
        <f t="shared" si="60"/>
        <v>0</v>
      </c>
      <c r="Q207" s="898">
        <f t="shared" si="46"/>
        <v>0</v>
      </c>
      <c r="R207" s="936">
        <f t="shared" si="61"/>
        <v>0</v>
      </c>
      <c r="S207" s="935">
        <f t="shared" si="65"/>
        <v>0</v>
      </c>
      <c r="T207" s="935">
        <f t="shared" si="65"/>
        <v>0</v>
      </c>
      <c r="U207" s="935">
        <f t="shared" si="65"/>
        <v>0</v>
      </c>
      <c r="V207" s="935">
        <f t="shared" si="65"/>
        <v>0</v>
      </c>
      <c r="W207" s="935">
        <f t="shared" si="65"/>
        <v>0</v>
      </c>
      <c r="X207" s="935">
        <f t="shared" si="65"/>
        <v>0</v>
      </c>
      <c r="Y207" s="935">
        <f t="shared" si="50"/>
        <v>0</v>
      </c>
      <c r="Z207" s="935">
        <f t="shared" si="51"/>
        <v>0</v>
      </c>
    </row>
    <row r="208" spans="1:26" hidden="1">
      <c r="A208" s="1008" t="s">
        <v>1960</v>
      </c>
      <c r="B208" s="1007" t="s">
        <v>1961</v>
      </c>
      <c r="C208" s="897"/>
      <c r="D208" s="897"/>
      <c r="E208" s="937">
        <f t="shared" si="62"/>
        <v>0</v>
      </c>
      <c r="F208" s="897">
        <f t="shared" si="63"/>
        <v>0</v>
      </c>
      <c r="G208" s="897">
        <f t="shared" si="63"/>
        <v>0</v>
      </c>
      <c r="H208" s="897">
        <f t="shared" si="63"/>
        <v>0</v>
      </c>
      <c r="I208" s="897">
        <f t="shared" si="63"/>
        <v>0</v>
      </c>
      <c r="J208" s="897">
        <f t="shared" si="63"/>
        <v>0</v>
      </c>
      <c r="K208" s="897">
        <f t="shared" si="63"/>
        <v>0</v>
      </c>
      <c r="L208" s="897">
        <f t="shared" si="63"/>
        <v>0</v>
      </c>
      <c r="M208" s="897">
        <f t="shared" si="63"/>
        <v>0</v>
      </c>
      <c r="N208" s="897">
        <f t="shared" si="64"/>
        <v>0</v>
      </c>
      <c r="O208" s="897"/>
      <c r="P208" s="897">
        <f t="shared" si="60"/>
        <v>0</v>
      </c>
      <c r="Q208" s="898">
        <f t="shared" si="46"/>
        <v>0</v>
      </c>
      <c r="R208" s="936">
        <f t="shared" si="61"/>
        <v>0</v>
      </c>
      <c r="S208" s="935">
        <f t="shared" si="65"/>
        <v>0</v>
      </c>
      <c r="T208" s="935">
        <f t="shared" si="65"/>
        <v>0</v>
      </c>
      <c r="U208" s="935">
        <f t="shared" si="65"/>
        <v>0</v>
      </c>
      <c r="V208" s="935">
        <f t="shared" si="65"/>
        <v>0</v>
      </c>
      <c r="W208" s="935">
        <f t="shared" si="65"/>
        <v>0</v>
      </c>
      <c r="X208" s="935">
        <f t="shared" si="65"/>
        <v>0</v>
      </c>
      <c r="Y208" s="935">
        <f t="shared" si="50"/>
        <v>0</v>
      </c>
      <c r="Z208" s="935">
        <f t="shared" si="51"/>
        <v>0</v>
      </c>
    </row>
    <row r="209" spans="1:26" hidden="1">
      <c r="A209" s="1008" t="s">
        <v>1962</v>
      </c>
      <c r="B209" s="1007" t="s">
        <v>1963</v>
      </c>
      <c r="C209" s="897"/>
      <c r="D209" s="897"/>
      <c r="E209" s="937">
        <f t="shared" si="62"/>
        <v>0</v>
      </c>
      <c r="F209" s="897">
        <f t="shared" si="63"/>
        <v>0</v>
      </c>
      <c r="G209" s="897">
        <f t="shared" si="63"/>
        <v>0</v>
      </c>
      <c r="H209" s="897">
        <f t="shared" si="63"/>
        <v>0</v>
      </c>
      <c r="I209" s="897">
        <f t="shared" si="63"/>
        <v>0</v>
      </c>
      <c r="J209" s="897">
        <f t="shared" si="63"/>
        <v>0</v>
      </c>
      <c r="K209" s="897">
        <f t="shared" si="63"/>
        <v>0</v>
      </c>
      <c r="L209" s="897">
        <f t="shared" si="63"/>
        <v>0</v>
      </c>
      <c r="M209" s="897">
        <f t="shared" si="63"/>
        <v>0</v>
      </c>
      <c r="N209" s="897">
        <f t="shared" si="64"/>
        <v>0</v>
      </c>
      <c r="O209" s="897"/>
      <c r="P209" s="897">
        <f t="shared" si="60"/>
        <v>0</v>
      </c>
      <c r="Q209" s="898">
        <f t="shared" si="46"/>
        <v>0</v>
      </c>
      <c r="R209" s="936">
        <f t="shared" si="61"/>
        <v>0</v>
      </c>
      <c r="S209" s="935">
        <f t="shared" si="65"/>
        <v>0</v>
      </c>
      <c r="T209" s="935">
        <f t="shared" si="65"/>
        <v>0</v>
      </c>
      <c r="U209" s="935">
        <f t="shared" si="65"/>
        <v>0</v>
      </c>
      <c r="V209" s="935">
        <f t="shared" si="65"/>
        <v>0</v>
      </c>
      <c r="W209" s="935">
        <f t="shared" si="65"/>
        <v>0</v>
      </c>
      <c r="X209" s="935">
        <f t="shared" si="65"/>
        <v>0</v>
      </c>
      <c r="Y209" s="935">
        <f t="shared" si="50"/>
        <v>0</v>
      </c>
      <c r="Z209" s="935">
        <f t="shared" si="51"/>
        <v>0</v>
      </c>
    </row>
    <row r="210" spans="1:26" hidden="1">
      <c r="A210" s="1008" t="s">
        <v>1964</v>
      </c>
      <c r="B210" s="1007" t="s">
        <v>1965</v>
      </c>
      <c r="C210" s="897"/>
      <c r="D210" s="897"/>
      <c r="E210" s="937">
        <f t="shared" si="62"/>
        <v>0</v>
      </c>
      <c r="F210" s="897">
        <f t="shared" si="63"/>
        <v>0</v>
      </c>
      <c r="G210" s="897">
        <f t="shared" si="63"/>
        <v>0</v>
      </c>
      <c r="H210" s="897">
        <f t="shared" si="63"/>
        <v>0</v>
      </c>
      <c r="I210" s="897">
        <f t="shared" si="63"/>
        <v>0</v>
      </c>
      <c r="J210" s="897">
        <f t="shared" si="63"/>
        <v>0</v>
      </c>
      <c r="K210" s="897">
        <f t="shared" si="63"/>
        <v>0</v>
      </c>
      <c r="L210" s="897">
        <f t="shared" si="63"/>
        <v>0</v>
      </c>
      <c r="M210" s="897">
        <f t="shared" si="63"/>
        <v>0</v>
      </c>
      <c r="N210" s="897">
        <f t="shared" si="64"/>
        <v>0</v>
      </c>
      <c r="O210" s="897"/>
      <c r="P210" s="897">
        <f t="shared" si="60"/>
        <v>0</v>
      </c>
      <c r="Q210" s="898">
        <f t="shared" si="46"/>
        <v>0</v>
      </c>
      <c r="R210" s="936">
        <f t="shared" si="61"/>
        <v>0</v>
      </c>
      <c r="S210" s="935">
        <f t="shared" si="65"/>
        <v>0</v>
      </c>
      <c r="T210" s="935">
        <f t="shared" si="65"/>
        <v>0</v>
      </c>
      <c r="U210" s="935">
        <f t="shared" si="65"/>
        <v>0</v>
      </c>
      <c r="V210" s="935">
        <f t="shared" si="65"/>
        <v>0</v>
      </c>
      <c r="W210" s="935">
        <f t="shared" si="65"/>
        <v>0</v>
      </c>
      <c r="X210" s="935">
        <f t="shared" si="65"/>
        <v>0</v>
      </c>
      <c r="Y210" s="935">
        <f t="shared" si="50"/>
        <v>0</v>
      </c>
      <c r="Z210" s="935">
        <f t="shared" si="51"/>
        <v>0</v>
      </c>
    </row>
    <row r="211" spans="1:26" hidden="1">
      <c r="A211" s="1008" t="s">
        <v>1966</v>
      </c>
      <c r="B211" s="1007" t="s">
        <v>1967</v>
      </c>
      <c r="C211" s="897"/>
      <c r="D211" s="897"/>
      <c r="E211" s="937">
        <f t="shared" si="62"/>
        <v>0</v>
      </c>
      <c r="F211" s="897">
        <f t="shared" si="63"/>
        <v>0</v>
      </c>
      <c r="G211" s="897">
        <f t="shared" si="63"/>
        <v>0</v>
      </c>
      <c r="H211" s="897">
        <f t="shared" si="63"/>
        <v>0</v>
      </c>
      <c r="I211" s="897">
        <f t="shared" si="63"/>
        <v>0</v>
      </c>
      <c r="J211" s="897">
        <f t="shared" si="63"/>
        <v>0</v>
      </c>
      <c r="K211" s="897">
        <f t="shared" si="63"/>
        <v>0</v>
      </c>
      <c r="L211" s="897">
        <f t="shared" si="63"/>
        <v>0</v>
      </c>
      <c r="M211" s="897">
        <f t="shared" si="63"/>
        <v>0</v>
      </c>
      <c r="N211" s="897">
        <f t="shared" si="64"/>
        <v>0</v>
      </c>
      <c r="O211" s="897"/>
      <c r="P211" s="897">
        <f t="shared" si="60"/>
        <v>0</v>
      </c>
      <c r="Q211" s="898">
        <f t="shared" si="46"/>
        <v>0</v>
      </c>
      <c r="R211" s="936">
        <f t="shared" si="61"/>
        <v>0</v>
      </c>
      <c r="S211" s="935">
        <f t="shared" ref="S211:X226" si="66">R211</f>
        <v>0</v>
      </c>
      <c r="T211" s="935">
        <f t="shared" si="66"/>
        <v>0</v>
      </c>
      <c r="U211" s="935">
        <f t="shared" si="66"/>
        <v>0</v>
      </c>
      <c r="V211" s="935">
        <f t="shared" si="66"/>
        <v>0</v>
      </c>
      <c r="W211" s="935">
        <f t="shared" si="66"/>
        <v>0</v>
      </c>
      <c r="X211" s="935">
        <f t="shared" si="66"/>
        <v>0</v>
      </c>
      <c r="Y211" s="935">
        <f t="shared" si="50"/>
        <v>0</v>
      </c>
      <c r="Z211" s="935">
        <f t="shared" si="51"/>
        <v>0</v>
      </c>
    </row>
    <row r="212" spans="1:26" hidden="1">
      <c r="A212" s="1008" t="s">
        <v>1968</v>
      </c>
      <c r="B212" s="1007" t="s">
        <v>1969</v>
      </c>
      <c r="C212" s="897"/>
      <c r="D212" s="897"/>
      <c r="E212" s="937">
        <f t="shared" si="62"/>
        <v>0</v>
      </c>
      <c r="F212" s="897">
        <f t="shared" si="63"/>
        <v>0</v>
      </c>
      <c r="G212" s="897">
        <f t="shared" si="63"/>
        <v>0</v>
      </c>
      <c r="H212" s="897">
        <f t="shared" si="63"/>
        <v>0</v>
      </c>
      <c r="I212" s="897">
        <f t="shared" si="63"/>
        <v>0</v>
      </c>
      <c r="J212" s="897">
        <f t="shared" si="63"/>
        <v>0</v>
      </c>
      <c r="K212" s="897">
        <f t="shared" si="63"/>
        <v>0</v>
      </c>
      <c r="L212" s="897">
        <f t="shared" si="63"/>
        <v>0</v>
      </c>
      <c r="M212" s="897">
        <f t="shared" si="63"/>
        <v>0</v>
      </c>
      <c r="N212" s="897">
        <f t="shared" si="64"/>
        <v>0</v>
      </c>
      <c r="O212" s="897"/>
      <c r="P212" s="897">
        <f t="shared" si="60"/>
        <v>0</v>
      </c>
      <c r="Q212" s="898">
        <f t="shared" si="46"/>
        <v>0</v>
      </c>
      <c r="R212" s="936">
        <f t="shared" si="61"/>
        <v>0</v>
      </c>
      <c r="S212" s="935">
        <f t="shared" si="66"/>
        <v>0</v>
      </c>
      <c r="T212" s="935">
        <f t="shared" si="66"/>
        <v>0</v>
      </c>
      <c r="U212" s="935">
        <f t="shared" si="66"/>
        <v>0</v>
      </c>
      <c r="V212" s="935">
        <f t="shared" si="66"/>
        <v>0</v>
      </c>
      <c r="W212" s="935">
        <f t="shared" si="66"/>
        <v>0</v>
      </c>
      <c r="X212" s="935">
        <f t="shared" si="66"/>
        <v>0</v>
      </c>
      <c r="Y212" s="935">
        <f t="shared" si="50"/>
        <v>0</v>
      </c>
      <c r="Z212" s="935">
        <f t="shared" si="51"/>
        <v>0</v>
      </c>
    </row>
    <row r="213" spans="1:26" hidden="1">
      <c r="A213" s="1008" t="s">
        <v>1970</v>
      </c>
      <c r="B213" s="1007" t="s">
        <v>1971</v>
      </c>
      <c r="C213" s="897"/>
      <c r="D213" s="897"/>
      <c r="E213" s="937">
        <f t="shared" si="62"/>
        <v>0</v>
      </c>
      <c r="F213" s="897">
        <f t="shared" si="63"/>
        <v>0</v>
      </c>
      <c r="G213" s="897">
        <f t="shared" si="63"/>
        <v>0</v>
      </c>
      <c r="H213" s="897">
        <f t="shared" si="63"/>
        <v>0</v>
      </c>
      <c r="I213" s="897">
        <f t="shared" si="63"/>
        <v>0</v>
      </c>
      <c r="J213" s="897">
        <f t="shared" si="63"/>
        <v>0</v>
      </c>
      <c r="K213" s="897">
        <f t="shared" si="63"/>
        <v>0</v>
      </c>
      <c r="L213" s="897">
        <f t="shared" si="63"/>
        <v>0</v>
      </c>
      <c r="M213" s="897">
        <f t="shared" si="63"/>
        <v>0</v>
      </c>
      <c r="N213" s="897">
        <f t="shared" si="64"/>
        <v>0</v>
      </c>
      <c r="O213" s="897"/>
      <c r="P213" s="897">
        <f t="shared" si="60"/>
        <v>0</v>
      </c>
      <c r="Q213" s="898">
        <f t="shared" si="46"/>
        <v>0</v>
      </c>
      <c r="R213" s="936">
        <f t="shared" si="61"/>
        <v>0</v>
      </c>
      <c r="S213" s="935">
        <f t="shared" si="66"/>
        <v>0</v>
      </c>
      <c r="T213" s="935">
        <f t="shared" si="66"/>
        <v>0</v>
      </c>
      <c r="U213" s="935">
        <f t="shared" si="66"/>
        <v>0</v>
      </c>
      <c r="V213" s="935">
        <f t="shared" si="66"/>
        <v>0</v>
      </c>
      <c r="W213" s="935">
        <f t="shared" si="66"/>
        <v>0</v>
      </c>
      <c r="X213" s="935">
        <f t="shared" si="66"/>
        <v>0</v>
      </c>
      <c r="Y213" s="935">
        <f t="shared" si="50"/>
        <v>0</v>
      </c>
      <c r="Z213" s="935">
        <f t="shared" si="51"/>
        <v>0</v>
      </c>
    </row>
    <row r="214" spans="1:26" hidden="1">
      <c r="A214" s="1008" t="s">
        <v>1972</v>
      </c>
      <c r="B214" s="1007" t="s">
        <v>1973</v>
      </c>
      <c r="C214" s="897"/>
      <c r="D214" s="897"/>
      <c r="E214" s="937">
        <f t="shared" si="62"/>
        <v>0</v>
      </c>
      <c r="F214" s="897">
        <f t="shared" si="63"/>
        <v>0</v>
      </c>
      <c r="G214" s="897">
        <f t="shared" si="63"/>
        <v>0</v>
      </c>
      <c r="H214" s="897">
        <f t="shared" si="63"/>
        <v>0</v>
      </c>
      <c r="I214" s="897">
        <f t="shared" si="63"/>
        <v>0</v>
      </c>
      <c r="J214" s="897">
        <f t="shared" si="63"/>
        <v>0</v>
      </c>
      <c r="K214" s="897">
        <f t="shared" si="63"/>
        <v>0</v>
      </c>
      <c r="L214" s="897">
        <f t="shared" si="63"/>
        <v>0</v>
      </c>
      <c r="M214" s="897">
        <f t="shared" si="63"/>
        <v>0</v>
      </c>
      <c r="N214" s="897">
        <f t="shared" si="64"/>
        <v>0</v>
      </c>
      <c r="O214" s="897"/>
      <c r="P214" s="897">
        <f t="shared" si="60"/>
        <v>0</v>
      </c>
      <c r="Q214" s="898">
        <f t="shared" si="46"/>
        <v>0</v>
      </c>
      <c r="R214" s="936">
        <f t="shared" si="61"/>
        <v>0</v>
      </c>
      <c r="S214" s="935">
        <f t="shared" si="66"/>
        <v>0</v>
      </c>
      <c r="T214" s="935">
        <f t="shared" si="66"/>
        <v>0</v>
      </c>
      <c r="U214" s="935">
        <f t="shared" si="66"/>
        <v>0</v>
      </c>
      <c r="V214" s="935">
        <f t="shared" si="66"/>
        <v>0</v>
      </c>
      <c r="W214" s="935">
        <f t="shared" si="66"/>
        <v>0</v>
      </c>
      <c r="X214" s="935">
        <f t="shared" si="66"/>
        <v>0</v>
      </c>
      <c r="Y214" s="935">
        <f t="shared" si="50"/>
        <v>0</v>
      </c>
      <c r="Z214" s="935">
        <f t="shared" si="51"/>
        <v>0</v>
      </c>
    </row>
    <row r="215" spans="1:26" hidden="1">
      <c r="A215" s="1008" t="s">
        <v>1974</v>
      </c>
      <c r="B215" s="1007" t="s">
        <v>1975</v>
      </c>
      <c r="C215" s="897"/>
      <c r="D215" s="897"/>
      <c r="E215" s="937">
        <f t="shared" si="62"/>
        <v>0</v>
      </c>
      <c r="F215" s="897">
        <f t="shared" si="63"/>
        <v>0</v>
      </c>
      <c r="G215" s="897">
        <f t="shared" si="63"/>
        <v>0</v>
      </c>
      <c r="H215" s="897">
        <f t="shared" si="63"/>
        <v>0</v>
      </c>
      <c r="I215" s="897">
        <f t="shared" si="63"/>
        <v>0</v>
      </c>
      <c r="J215" s="897">
        <f t="shared" si="63"/>
        <v>0</v>
      </c>
      <c r="K215" s="897">
        <f t="shared" si="63"/>
        <v>0</v>
      </c>
      <c r="L215" s="897">
        <f t="shared" si="63"/>
        <v>0</v>
      </c>
      <c r="M215" s="897">
        <f t="shared" si="63"/>
        <v>0</v>
      </c>
      <c r="N215" s="897">
        <f t="shared" si="64"/>
        <v>0</v>
      </c>
      <c r="O215" s="897"/>
      <c r="P215" s="897">
        <f t="shared" si="60"/>
        <v>0</v>
      </c>
      <c r="Q215" s="898">
        <f t="shared" si="46"/>
        <v>0</v>
      </c>
      <c r="R215" s="936">
        <f t="shared" si="61"/>
        <v>0</v>
      </c>
      <c r="S215" s="935">
        <f t="shared" si="66"/>
        <v>0</v>
      </c>
      <c r="T215" s="935">
        <f t="shared" si="66"/>
        <v>0</v>
      </c>
      <c r="U215" s="935">
        <f t="shared" si="66"/>
        <v>0</v>
      </c>
      <c r="V215" s="935">
        <f t="shared" si="66"/>
        <v>0</v>
      </c>
      <c r="W215" s="935">
        <f t="shared" si="66"/>
        <v>0</v>
      </c>
      <c r="X215" s="935">
        <f t="shared" si="66"/>
        <v>0</v>
      </c>
      <c r="Y215" s="935">
        <f t="shared" si="50"/>
        <v>0</v>
      </c>
      <c r="Z215" s="935">
        <f t="shared" si="51"/>
        <v>0</v>
      </c>
    </row>
    <row r="216" spans="1:26" hidden="1">
      <c r="A216" s="1008" t="s">
        <v>1976</v>
      </c>
      <c r="B216" s="1007" t="s">
        <v>1977</v>
      </c>
      <c r="C216" s="897"/>
      <c r="D216" s="897"/>
      <c r="E216" s="937">
        <f t="shared" si="62"/>
        <v>0</v>
      </c>
      <c r="F216" s="897">
        <f t="shared" si="63"/>
        <v>0</v>
      </c>
      <c r="G216" s="897">
        <f t="shared" si="63"/>
        <v>0</v>
      </c>
      <c r="H216" s="897">
        <f t="shared" si="63"/>
        <v>0</v>
      </c>
      <c r="I216" s="897">
        <f t="shared" si="63"/>
        <v>0</v>
      </c>
      <c r="J216" s="897">
        <f t="shared" si="63"/>
        <v>0</v>
      </c>
      <c r="K216" s="897">
        <f t="shared" si="63"/>
        <v>0</v>
      </c>
      <c r="L216" s="897">
        <f t="shared" si="63"/>
        <v>0</v>
      </c>
      <c r="M216" s="897">
        <f t="shared" si="63"/>
        <v>0</v>
      </c>
      <c r="N216" s="897">
        <f t="shared" si="64"/>
        <v>0</v>
      </c>
      <c r="O216" s="897"/>
      <c r="P216" s="897">
        <f t="shared" si="60"/>
        <v>0</v>
      </c>
      <c r="Q216" s="898">
        <f t="shared" si="46"/>
        <v>0</v>
      </c>
      <c r="R216" s="936">
        <f t="shared" si="61"/>
        <v>0</v>
      </c>
      <c r="S216" s="935">
        <f t="shared" si="66"/>
        <v>0</v>
      </c>
      <c r="T216" s="935">
        <f t="shared" si="66"/>
        <v>0</v>
      </c>
      <c r="U216" s="935">
        <f t="shared" si="66"/>
        <v>0</v>
      </c>
      <c r="V216" s="935">
        <f t="shared" si="66"/>
        <v>0</v>
      </c>
      <c r="W216" s="935">
        <f t="shared" si="66"/>
        <v>0</v>
      </c>
      <c r="X216" s="935">
        <f t="shared" si="66"/>
        <v>0</v>
      </c>
      <c r="Y216" s="935">
        <f t="shared" si="50"/>
        <v>0</v>
      </c>
      <c r="Z216" s="935">
        <f t="shared" si="51"/>
        <v>0</v>
      </c>
    </row>
    <row r="217" spans="1:26" hidden="1">
      <c r="A217" s="1008" t="s">
        <v>1978</v>
      </c>
      <c r="B217" s="1007" t="s">
        <v>1979</v>
      </c>
      <c r="C217" s="897"/>
      <c r="D217" s="897"/>
      <c r="E217" s="937">
        <f t="shared" si="62"/>
        <v>0</v>
      </c>
      <c r="F217" s="897">
        <f t="shared" si="63"/>
        <v>0</v>
      </c>
      <c r="G217" s="897">
        <f t="shared" si="63"/>
        <v>0</v>
      </c>
      <c r="H217" s="897">
        <f t="shared" si="63"/>
        <v>0</v>
      </c>
      <c r="I217" s="897">
        <f t="shared" si="63"/>
        <v>0</v>
      </c>
      <c r="J217" s="897">
        <f t="shared" si="63"/>
        <v>0</v>
      </c>
      <c r="K217" s="897">
        <f t="shared" si="63"/>
        <v>0</v>
      </c>
      <c r="L217" s="897">
        <f t="shared" si="63"/>
        <v>0</v>
      </c>
      <c r="M217" s="897">
        <f t="shared" si="63"/>
        <v>0</v>
      </c>
      <c r="N217" s="897">
        <f t="shared" si="64"/>
        <v>0</v>
      </c>
      <c r="O217" s="897"/>
      <c r="P217" s="897">
        <f t="shared" si="60"/>
        <v>0</v>
      </c>
      <c r="Q217" s="898">
        <f t="shared" si="46"/>
        <v>0</v>
      </c>
      <c r="R217" s="936">
        <f t="shared" si="61"/>
        <v>0</v>
      </c>
      <c r="S217" s="935">
        <f t="shared" si="66"/>
        <v>0</v>
      </c>
      <c r="T217" s="935">
        <f t="shared" si="66"/>
        <v>0</v>
      </c>
      <c r="U217" s="935">
        <f t="shared" si="66"/>
        <v>0</v>
      </c>
      <c r="V217" s="935">
        <f t="shared" si="66"/>
        <v>0</v>
      </c>
      <c r="W217" s="935">
        <f t="shared" si="66"/>
        <v>0</v>
      </c>
      <c r="X217" s="935">
        <f t="shared" si="66"/>
        <v>0</v>
      </c>
      <c r="Y217" s="935">
        <f t="shared" si="50"/>
        <v>0</v>
      </c>
      <c r="Z217" s="935">
        <f t="shared" si="51"/>
        <v>0</v>
      </c>
    </row>
    <row r="218" spans="1:26" hidden="1">
      <c r="A218" s="1008" t="s">
        <v>1980</v>
      </c>
      <c r="B218" s="1007" t="s">
        <v>1981</v>
      </c>
      <c r="C218" s="897"/>
      <c r="D218" s="897"/>
      <c r="E218" s="937">
        <f t="shared" si="62"/>
        <v>0</v>
      </c>
      <c r="F218" s="897">
        <f t="shared" si="63"/>
        <v>0</v>
      </c>
      <c r="G218" s="897">
        <f t="shared" si="63"/>
        <v>0</v>
      </c>
      <c r="H218" s="897">
        <f t="shared" si="63"/>
        <v>0</v>
      </c>
      <c r="I218" s="897">
        <f t="shared" si="63"/>
        <v>0</v>
      </c>
      <c r="J218" s="897">
        <f t="shared" si="63"/>
        <v>0</v>
      </c>
      <c r="K218" s="897">
        <f t="shared" si="63"/>
        <v>0</v>
      </c>
      <c r="L218" s="897">
        <f t="shared" si="63"/>
        <v>0</v>
      </c>
      <c r="M218" s="897">
        <f t="shared" si="63"/>
        <v>0</v>
      </c>
      <c r="N218" s="897">
        <f t="shared" si="64"/>
        <v>0</v>
      </c>
      <c r="O218" s="897"/>
      <c r="P218" s="897">
        <f t="shared" si="60"/>
        <v>0</v>
      </c>
      <c r="Q218" s="898">
        <f t="shared" si="46"/>
        <v>0</v>
      </c>
      <c r="R218" s="936">
        <f t="shared" si="61"/>
        <v>0</v>
      </c>
      <c r="S218" s="935">
        <f t="shared" si="66"/>
        <v>0</v>
      </c>
      <c r="T218" s="935">
        <f t="shared" si="66"/>
        <v>0</v>
      </c>
      <c r="U218" s="935">
        <f t="shared" si="66"/>
        <v>0</v>
      </c>
      <c r="V218" s="935">
        <f t="shared" si="66"/>
        <v>0</v>
      </c>
      <c r="W218" s="935">
        <f t="shared" si="66"/>
        <v>0</v>
      </c>
      <c r="X218" s="935">
        <f t="shared" si="66"/>
        <v>0</v>
      </c>
      <c r="Y218" s="935">
        <f t="shared" si="50"/>
        <v>0</v>
      </c>
      <c r="Z218" s="935">
        <f t="shared" si="51"/>
        <v>0</v>
      </c>
    </row>
    <row r="219" spans="1:26" hidden="1">
      <c r="A219" s="1008" t="s">
        <v>1982</v>
      </c>
      <c r="B219" s="1007" t="s">
        <v>1983</v>
      </c>
      <c r="C219" s="897"/>
      <c r="D219" s="897"/>
      <c r="E219" s="937">
        <f t="shared" si="62"/>
        <v>0</v>
      </c>
      <c r="F219" s="897">
        <f t="shared" si="63"/>
        <v>0</v>
      </c>
      <c r="G219" s="897">
        <f t="shared" si="63"/>
        <v>0</v>
      </c>
      <c r="H219" s="897">
        <f t="shared" si="63"/>
        <v>0</v>
      </c>
      <c r="I219" s="897">
        <f t="shared" si="63"/>
        <v>0</v>
      </c>
      <c r="J219" s="897">
        <f t="shared" si="63"/>
        <v>0</v>
      </c>
      <c r="K219" s="897">
        <f t="shared" si="63"/>
        <v>0</v>
      </c>
      <c r="L219" s="897">
        <f t="shared" si="63"/>
        <v>0</v>
      </c>
      <c r="M219" s="897">
        <f t="shared" si="63"/>
        <v>0</v>
      </c>
      <c r="N219" s="897">
        <f t="shared" si="64"/>
        <v>0</v>
      </c>
      <c r="O219" s="897"/>
      <c r="P219" s="897">
        <f t="shared" si="60"/>
        <v>0</v>
      </c>
      <c r="Q219" s="898">
        <f t="shared" si="46"/>
        <v>0</v>
      </c>
      <c r="R219" s="936">
        <f t="shared" si="61"/>
        <v>0</v>
      </c>
      <c r="S219" s="935">
        <f t="shared" si="66"/>
        <v>0</v>
      </c>
      <c r="T219" s="935">
        <f t="shared" si="66"/>
        <v>0</v>
      </c>
      <c r="U219" s="935">
        <f t="shared" si="66"/>
        <v>0</v>
      </c>
      <c r="V219" s="935">
        <f t="shared" si="66"/>
        <v>0</v>
      </c>
      <c r="W219" s="935">
        <f t="shared" si="66"/>
        <v>0</v>
      </c>
      <c r="X219" s="935">
        <f t="shared" si="66"/>
        <v>0</v>
      </c>
      <c r="Y219" s="935">
        <f t="shared" si="50"/>
        <v>0</v>
      </c>
      <c r="Z219" s="935">
        <f t="shared" si="51"/>
        <v>0</v>
      </c>
    </row>
    <row r="220" spans="1:26" hidden="1">
      <c r="A220" s="1008" t="s">
        <v>1984</v>
      </c>
      <c r="B220" s="1007" t="s">
        <v>1985</v>
      </c>
      <c r="C220" s="897"/>
      <c r="D220" s="897"/>
      <c r="E220" s="937">
        <f t="shared" si="62"/>
        <v>0</v>
      </c>
      <c r="F220" s="897">
        <f t="shared" si="63"/>
        <v>0</v>
      </c>
      <c r="G220" s="897">
        <f t="shared" si="63"/>
        <v>0</v>
      </c>
      <c r="H220" s="897">
        <f t="shared" si="63"/>
        <v>0</v>
      </c>
      <c r="I220" s="897">
        <f t="shared" si="63"/>
        <v>0</v>
      </c>
      <c r="J220" s="897">
        <f t="shared" si="63"/>
        <v>0</v>
      </c>
      <c r="K220" s="897">
        <f t="shared" si="63"/>
        <v>0</v>
      </c>
      <c r="L220" s="897">
        <f t="shared" si="63"/>
        <v>0</v>
      </c>
      <c r="M220" s="897">
        <f t="shared" si="63"/>
        <v>0</v>
      </c>
      <c r="N220" s="897">
        <f t="shared" si="64"/>
        <v>0</v>
      </c>
      <c r="O220" s="897"/>
      <c r="P220" s="897">
        <f t="shared" si="60"/>
        <v>0</v>
      </c>
      <c r="Q220" s="898">
        <f t="shared" si="46"/>
        <v>0</v>
      </c>
      <c r="R220" s="936">
        <f t="shared" si="61"/>
        <v>0</v>
      </c>
      <c r="S220" s="935">
        <f t="shared" si="66"/>
        <v>0</v>
      </c>
      <c r="T220" s="935">
        <f t="shared" si="66"/>
        <v>0</v>
      </c>
      <c r="U220" s="935">
        <f t="shared" si="66"/>
        <v>0</v>
      </c>
      <c r="V220" s="935">
        <f t="shared" si="66"/>
        <v>0</v>
      </c>
      <c r="W220" s="935">
        <f t="shared" si="66"/>
        <v>0</v>
      </c>
      <c r="X220" s="935">
        <f t="shared" si="66"/>
        <v>0</v>
      </c>
      <c r="Y220" s="935">
        <f t="shared" si="50"/>
        <v>0</v>
      </c>
      <c r="Z220" s="935">
        <f t="shared" si="51"/>
        <v>0</v>
      </c>
    </row>
    <row r="221" spans="1:26" hidden="1">
      <c r="A221" s="986">
        <v>63129</v>
      </c>
      <c r="B221" s="1009" t="s">
        <v>1986</v>
      </c>
      <c r="C221" s="897"/>
      <c r="D221" s="897"/>
      <c r="E221" s="937">
        <f t="shared" si="62"/>
        <v>0</v>
      </c>
      <c r="F221" s="897">
        <f t="shared" si="63"/>
        <v>0</v>
      </c>
      <c r="G221" s="897">
        <f t="shared" si="63"/>
        <v>0</v>
      </c>
      <c r="H221" s="897">
        <f t="shared" si="63"/>
        <v>0</v>
      </c>
      <c r="I221" s="897">
        <f t="shared" si="63"/>
        <v>0</v>
      </c>
      <c r="J221" s="897">
        <f t="shared" si="63"/>
        <v>0</v>
      </c>
      <c r="K221" s="897">
        <f t="shared" si="63"/>
        <v>0</v>
      </c>
      <c r="L221" s="897">
        <f t="shared" si="63"/>
        <v>0</v>
      </c>
      <c r="M221" s="897">
        <f t="shared" ref="M221:N246" si="67">L221/12</f>
        <v>0</v>
      </c>
      <c r="N221" s="897">
        <f t="shared" si="67"/>
        <v>0</v>
      </c>
      <c r="O221" s="897"/>
      <c r="P221" s="897">
        <f t="shared" si="60"/>
        <v>0</v>
      </c>
      <c r="Q221" s="898">
        <f t="shared" ref="Q221:Q284" si="68">C221-P221</f>
        <v>0</v>
      </c>
      <c r="R221" s="936">
        <f t="shared" si="61"/>
        <v>0</v>
      </c>
      <c r="S221" s="935">
        <f t="shared" si="66"/>
        <v>0</v>
      </c>
      <c r="T221" s="935">
        <f t="shared" si="66"/>
        <v>0</v>
      </c>
      <c r="U221" s="935">
        <f t="shared" si="66"/>
        <v>0</v>
      </c>
      <c r="V221" s="935">
        <f t="shared" si="66"/>
        <v>0</v>
      </c>
      <c r="W221" s="935">
        <f t="shared" si="66"/>
        <v>0</v>
      </c>
      <c r="X221" s="935">
        <f t="shared" si="66"/>
        <v>0</v>
      </c>
      <c r="Y221" s="935">
        <f t="shared" si="50"/>
        <v>0</v>
      </c>
      <c r="Z221" s="935">
        <f t="shared" si="51"/>
        <v>0</v>
      </c>
    </row>
    <row r="222" spans="1:26" hidden="1">
      <c r="A222" s="1008" t="s">
        <v>1987</v>
      </c>
      <c r="B222" s="1007" t="s">
        <v>1988</v>
      </c>
      <c r="C222" s="897"/>
      <c r="D222" s="897"/>
      <c r="E222" s="937">
        <f t="shared" si="62"/>
        <v>0</v>
      </c>
      <c r="F222" s="897">
        <f t="shared" ref="F222:L246" si="69">E222/12</f>
        <v>0</v>
      </c>
      <c r="G222" s="897">
        <f t="shared" si="69"/>
        <v>0</v>
      </c>
      <c r="H222" s="897">
        <f t="shared" si="69"/>
        <v>0</v>
      </c>
      <c r="I222" s="897">
        <f t="shared" si="69"/>
        <v>0</v>
      </c>
      <c r="J222" s="897">
        <f t="shared" si="69"/>
        <v>0</v>
      </c>
      <c r="K222" s="897">
        <f t="shared" si="69"/>
        <v>0</v>
      </c>
      <c r="L222" s="897">
        <f t="shared" si="69"/>
        <v>0</v>
      </c>
      <c r="M222" s="897">
        <f t="shared" si="67"/>
        <v>0</v>
      </c>
      <c r="N222" s="897">
        <f t="shared" si="67"/>
        <v>0</v>
      </c>
      <c r="O222" s="897"/>
      <c r="P222" s="897">
        <f t="shared" si="60"/>
        <v>0</v>
      </c>
      <c r="Q222" s="898">
        <f t="shared" si="68"/>
        <v>0</v>
      </c>
      <c r="R222" s="936">
        <f t="shared" si="61"/>
        <v>0</v>
      </c>
      <c r="S222" s="935">
        <f t="shared" si="66"/>
        <v>0</v>
      </c>
      <c r="T222" s="935">
        <f t="shared" si="66"/>
        <v>0</v>
      </c>
      <c r="U222" s="935">
        <f t="shared" si="66"/>
        <v>0</v>
      </c>
      <c r="V222" s="935">
        <f t="shared" si="66"/>
        <v>0</v>
      </c>
      <c r="W222" s="935">
        <f t="shared" si="66"/>
        <v>0</v>
      </c>
      <c r="X222" s="935">
        <f t="shared" si="66"/>
        <v>0</v>
      </c>
      <c r="Y222" s="935">
        <f t="shared" si="50"/>
        <v>0</v>
      </c>
      <c r="Z222" s="935">
        <f t="shared" si="51"/>
        <v>0</v>
      </c>
    </row>
    <row r="223" spans="1:26" hidden="1">
      <c r="A223" s="1008" t="s">
        <v>1989</v>
      </c>
      <c r="B223" s="1007" t="s">
        <v>1990</v>
      </c>
      <c r="C223" s="897"/>
      <c r="D223" s="897"/>
      <c r="E223" s="937">
        <f t="shared" si="62"/>
        <v>0</v>
      </c>
      <c r="F223" s="897">
        <f t="shared" si="69"/>
        <v>0</v>
      </c>
      <c r="G223" s="897">
        <f t="shared" si="69"/>
        <v>0</v>
      </c>
      <c r="H223" s="897">
        <f t="shared" si="69"/>
        <v>0</v>
      </c>
      <c r="I223" s="897">
        <f t="shared" si="69"/>
        <v>0</v>
      </c>
      <c r="J223" s="897">
        <f t="shared" si="69"/>
        <v>0</v>
      </c>
      <c r="K223" s="897">
        <f t="shared" si="69"/>
        <v>0</v>
      </c>
      <c r="L223" s="897">
        <f t="shared" si="69"/>
        <v>0</v>
      </c>
      <c r="M223" s="897">
        <f t="shared" si="67"/>
        <v>0</v>
      </c>
      <c r="N223" s="897">
        <f t="shared" si="67"/>
        <v>0</v>
      </c>
      <c r="O223" s="897"/>
      <c r="P223" s="897">
        <f t="shared" si="60"/>
        <v>0</v>
      </c>
      <c r="Q223" s="898">
        <f t="shared" si="68"/>
        <v>0</v>
      </c>
      <c r="R223" s="936">
        <f t="shared" si="61"/>
        <v>0</v>
      </c>
      <c r="S223" s="935">
        <f t="shared" si="66"/>
        <v>0</v>
      </c>
      <c r="T223" s="935">
        <f t="shared" si="66"/>
        <v>0</v>
      </c>
      <c r="U223" s="935">
        <f t="shared" si="66"/>
        <v>0</v>
      </c>
      <c r="V223" s="935">
        <f t="shared" si="66"/>
        <v>0</v>
      </c>
      <c r="W223" s="935">
        <f t="shared" si="66"/>
        <v>0</v>
      </c>
      <c r="X223" s="935">
        <f t="shared" si="66"/>
        <v>0</v>
      </c>
      <c r="Y223" s="935">
        <f t="shared" si="50"/>
        <v>0</v>
      </c>
      <c r="Z223" s="935">
        <f t="shared" si="51"/>
        <v>0</v>
      </c>
    </row>
    <row r="224" spans="1:26" hidden="1">
      <c r="A224" s="1008" t="s">
        <v>1991</v>
      </c>
      <c r="B224" s="1007" t="s">
        <v>1992</v>
      </c>
      <c r="C224" s="897"/>
      <c r="D224" s="897"/>
      <c r="E224" s="937">
        <f t="shared" si="62"/>
        <v>0</v>
      </c>
      <c r="F224" s="897">
        <f t="shared" si="69"/>
        <v>0</v>
      </c>
      <c r="G224" s="897">
        <f t="shared" si="69"/>
        <v>0</v>
      </c>
      <c r="H224" s="897">
        <f t="shared" si="69"/>
        <v>0</v>
      </c>
      <c r="I224" s="897">
        <f t="shared" si="69"/>
        <v>0</v>
      </c>
      <c r="J224" s="897">
        <f t="shared" si="69"/>
        <v>0</v>
      </c>
      <c r="K224" s="897">
        <f t="shared" si="69"/>
        <v>0</v>
      </c>
      <c r="L224" s="897">
        <f t="shared" si="69"/>
        <v>0</v>
      </c>
      <c r="M224" s="897">
        <f t="shared" si="67"/>
        <v>0</v>
      </c>
      <c r="N224" s="897">
        <f t="shared" si="67"/>
        <v>0</v>
      </c>
      <c r="O224" s="897"/>
      <c r="P224" s="897">
        <f t="shared" si="60"/>
        <v>0</v>
      </c>
      <c r="Q224" s="898">
        <f t="shared" si="68"/>
        <v>0</v>
      </c>
      <c r="R224" s="936">
        <f t="shared" si="61"/>
        <v>0</v>
      </c>
      <c r="S224" s="935">
        <f t="shared" si="66"/>
        <v>0</v>
      </c>
      <c r="T224" s="935">
        <f t="shared" si="66"/>
        <v>0</v>
      </c>
      <c r="U224" s="935">
        <f t="shared" si="66"/>
        <v>0</v>
      </c>
      <c r="V224" s="935">
        <f t="shared" si="66"/>
        <v>0</v>
      </c>
      <c r="W224" s="935">
        <f t="shared" si="66"/>
        <v>0</v>
      </c>
      <c r="X224" s="935">
        <f t="shared" si="66"/>
        <v>0</v>
      </c>
      <c r="Y224" s="935">
        <f t="shared" si="50"/>
        <v>0</v>
      </c>
      <c r="Z224" s="935">
        <f t="shared" si="51"/>
        <v>0</v>
      </c>
    </row>
    <row r="225" spans="1:26" hidden="1">
      <c r="A225" s="1008" t="s">
        <v>1993</v>
      </c>
      <c r="B225" s="1007" t="s">
        <v>1994</v>
      </c>
      <c r="C225" s="897"/>
      <c r="D225" s="897"/>
      <c r="E225" s="937">
        <f t="shared" si="62"/>
        <v>0</v>
      </c>
      <c r="F225" s="897">
        <f t="shared" si="69"/>
        <v>0</v>
      </c>
      <c r="G225" s="897">
        <f t="shared" si="69"/>
        <v>0</v>
      </c>
      <c r="H225" s="897">
        <f t="shared" si="69"/>
        <v>0</v>
      </c>
      <c r="I225" s="897">
        <f t="shared" si="69"/>
        <v>0</v>
      </c>
      <c r="J225" s="897">
        <f t="shared" si="69"/>
        <v>0</v>
      </c>
      <c r="K225" s="897">
        <f t="shared" si="69"/>
        <v>0</v>
      </c>
      <c r="L225" s="897">
        <f t="shared" si="69"/>
        <v>0</v>
      </c>
      <c r="M225" s="897">
        <f t="shared" si="67"/>
        <v>0</v>
      </c>
      <c r="N225" s="897">
        <f t="shared" si="67"/>
        <v>0</v>
      </c>
      <c r="O225" s="897"/>
      <c r="P225" s="897">
        <f t="shared" si="60"/>
        <v>0</v>
      </c>
      <c r="Q225" s="898">
        <f t="shared" si="68"/>
        <v>0</v>
      </c>
      <c r="R225" s="936">
        <f t="shared" si="61"/>
        <v>0</v>
      </c>
      <c r="S225" s="935">
        <f t="shared" si="66"/>
        <v>0</v>
      </c>
      <c r="T225" s="935">
        <f t="shared" si="66"/>
        <v>0</v>
      </c>
      <c r="U225" s="935">
        <f t="shared" si="66"/>
        <v>0</v>
      </c>
      <c r="V225" s="935">
        <f t="shared" si="66"/>
        <v>0</v>
      </c>
      <c r="W225" s="935">
        <f t="shared" si="66"/>
        <v>0</v>
      </c>
      <c r="X225" s="935">
        <f t="shared" si="66"/>
        <v>0</v>
      </c>
      <c r="Y225" s="935">
        <f t="shared" si="50"/>
        <v>0</v>
      </c>
      <c r="Z225" s="935">
        <f t="shared" si="51"/>
        <v>0</v>
      </c>
    </row>
    <row r="226" spans="1:26" hidden="1">
      <c r="A226" s="1008" t="s">
        <v>1995</v>
      </c>
      <c r="B226" s="1007" t="s">
        <v>1996</v>
      </c>
      <c r="C226" s="897"/>
      <c r="D226" s="897"/>
      <c r="E226" s="937">
        <f t="shared" si="62"/>
        <v>0</v>
      </c>
      <c r="F226" s="897">
        <f t="shared" si="69"/>
        <v>0</v>
      </c>
      <c r="G226" s="897">
        <f t="shared" si="69"/>
        <v>0</v>
      </c>
      <c r="H226" s="897">
        <f t="shared" si="69"/>
        <v>0</v>
      </c>
      <c r="I226" s="897">
        <f t="shared" si="69"/>
        <v>0</v>
      </c>
      <c r="J226" s="897">
        <f t="shared" si="69"/>
        <v>0</v>
      </c>
      <c r="K226" s="897">
        <f t="shared" si="69"/>
        <v>0</v>
      </c>
      <c r="L226" s="897">
        <f t="shared" si="69"/>
        <v>0</v>
      </c>
      <c r="M226" s="897">
        <f t="shared" si="67"/>
        <v>0</v>
      </c>
      <c r="N226" s="897">
        <f t="shared" si="67"/>
        <v>0</v>
      </c>
      <c r="O226" s="897"/>
      <c r="P226" s="897">
        <f t="shared" si="60"/>
        <v>0</v>
      </c>
      <c r="Q226" s="898">
        <f t="shared" si="68"/>
        <v>0</v>
      </c>
      <c r="R226" s="936">
        <f t="shared" si="61"/>
        <v>0</v>
      </c>
      <c r="S226" s="935">
        <f t="shared" si="66"/>
        <v>0</v>
      </c>
      <c r="T226" s="935">
        <f t="shared" si="66"/>
        <v>0</v>
      </c>
      <c r="U226" s="935">
        <f t="shared" si="66"/>
        <v>0</v>
      </c>
      <c r="V226" s="935">
        <f t="shared" si="66"/>
        <v>0</v>
      </c>
      <c r="W226" s="935">
        <f t="shared" si="66"/>
        <v>0</v>
      </c>
      <c r="X226" s="935">
        <f t="shared" si="66"/>
        <v>0</v>
      </c>
      <c r="Y226" s="935">
        <f t="shared" si="50"/>
        <v>0</v>
      </c>
      <c r="Z226" s="935">
        <f t="shared" si="51"/>
        <v>0</v>
      </c>
    </row>
    <row r="227" spans="1:26" hidden="1">
      <c r="A227" s="1008" t="s">
        <v>1997</v>
      </c>
      <c r="B227" s="1007" t="s">
        <v>1998</v>
      </c>
      <c r="C227" s="897"/>
      <c r="D227" s="897"/>
      <c r="E227" s="937">
        <f t="shared" si="62"/>
        <v>0</v>
      </c>
      <c r="F227" s="897">
        <f t="shared" si="69"/>
        <v>0</v>
      </c>
      <c r="G227" s="897">
        <f t="shared" si="69"/>
        <v>0</v>
      </c>
      <c r="H227" s="897">
        <f t="shared" si="69"/>
        <v>0</v>
      </c>
      <c r="I227" s="897">
        <f t="shared" si="69"/>
        <v>0</v>
      </c>
      <c r="J227" s="897">
        <f t="shared" si="69"/>
        <v>0</v>
      </c>
      <c r="K227" s="897">
        <f t="shared" si="69"/>
        <v>0</v>
      </c>
      <c r="L227" s="897">
        <f t="shared" si="69"/>
        <v>0</v>
      </c>
      <c r="M227" s="897">
        <f t="shared" si="67"/>
        <v>0</v>
      </c>
      <c r="N227" s="897">
        <f t="shared" si="67"/>
        <v>0</v>
      </c>
      <c r="O227" s="897"/>
      <c r="P227" s="897">
        <f t="shared" si="60"/>
        <v>0</v>
      </c>
      <c r="Q227" s="898">
        <f t="shared" si="68"/>
        <v>0</v>
      </c>
      <c r="R227" s="936">
        <f t="shared" si="61"/>
        <v>0</v>
      </c>
      <c r="S227" s="935">
        <f t="shared" ref="S227:X242" si="70">R227</f>
        <v>0</v>
      </c>
      <c r="T227" s="935">
        <f t="shared" si="70"/>
        <v>0</v>
      </c>
      <c r="U227" s="935">
        <f t="shared" si="70"/>
        <v>0</v>
      </c>
      <c r="V227" s="935">
        <f t="shared" si="70"/>
        <v>0</v>
      </c>
      <c r="W227" s="935">
        <f t="shared" si="70"/>
        <v>0</v>
      </c>
      <c r="X227" s="935">
        <f t="shared" si="70"/>
        <v>0</v>
      </c>
      <c r="Y227" s="935">
        <f t="shared" ref="Y227:Y290" si="71">SUM(R227:X227)</f>
        <v>0</v>
      </c>
      <c r="Z227" s="935">
        <f t="shared" ref="Z227:Z290" si="72">Q227-Y227</f>
        <v>0</v>
      </c>
    </row>
    <row r="228" spans="1:26" hidden="1">
      <c r="A228" s="1008" t="s">
        <v>1999</v>
      </c>
      <c r="B228" s="1007" t="s">
        <v>2000</v>
      </c>
      <c r="C228" s="897"/>
      <c r="D228" s="897"/>
      <c r="E228" s="937">
        <f t="shared" si="62"/>
        <v>0</v>
      </c>
      <c r="F228" s="897">
        <f t="shared" si="69"/>
        <v>0</v>
      </c>
      <c r="G228" s="897">
        <f t="shared" si="69"/>
        <v>0</v>
      </c>
      <c r="H228" s="897">
        <f t="shared" si="69"/>
        <v>0</v>
      </c>
      <c r="I228" s="897">
        <f t="shared" si="69"/>
        <v>0</v>
      </c>
      <c r="J228" s="897">
        <f t="shared" si="69"/>
        <v>0</v>
      </c>
      <c r="K228" s="897">
        <f t="shared" si="69"/>
        <v>0</v>
      </c>
      <c r="L228" s="897">
        <f t="shared" si="69"/>
        <v>0</v>
      </c>
      <c r="M228" s="897">
        <f t="shared" si="67"/>
        <v>0</v>
      </c>
      <c r="N228" s="897">
        <f t="shared" si="67"/>
        <v>0</v>
      </c>
      <c r="O228" s="897"/>
      <c r="P228" s="897">
        <f t="shared" si="60"/>
        <v>0</v>
      </c>
      <c r="Q228" s="898">
        <f t="shared" si="68"/>
        <v>0</v>
      </c>
      <c r="R228" s="936">
        <f t="shared" si="61"/>
        <v>0</v>
      </c>
      <c r="S228" s="935">
        <f t="shared" si="70"/>
        <v>0</v>
      </c>
      <c r="T228" s="935">
        <f t="shared" si="70"/>
        <v>0</v>
      </c>
      <c r="U228" s="935">
        <f t="shared" si="70"/>
        <v>0</v>
      </c>
      <c r="V228" s="935">
        <f t="shared" si="70"/>
        <v>0</v>
      </c>
      <c r="W228" s="935">
        <f t="shared" si="70"/>
        <v>0</v>
      </c>
      <c r="X228" s="935">
        <f t="shared" si="70"/>
        <v>0</v>
      </c>
      <c r="Y228" s="935">
        <f t="shared" si="71"/>
        <v>0</v>
      </c>
      <c r="Z228" s="935">
        <f t="shared" si="72"/>
        <v>0</v>
      </c>
    </row>
    <row r="229" spans="1:26" hidden="1">
      <c r="A229" s="1008" t="s">
        <v>2001</v>
      </c>
      <c r="B229" s="1007" t="s">
        <v>2002</v>
      </c>
      <c r="C229" s="897"/>
      <c r="D229" s="897"/>
      <c r="E229" s="937">
        <f t="shared" si="62"/>
        <v>0</v>
      </c>
      <c r="F229" s="897">
        <f t="shared" si="69"/>
        <v>0</v>
      </c>
      <c r="G229" s="897">
        <f t="shared" si="69"/>
        <v>0</v>
      </c>
      <c r="H229" s="897">
        <f t="shared" si="69"/>
        <v>0</v>
      </c>
      <c r="I229" s="897">
        <f t="shared" si="69"/>
        <v>0</v>
      </c>
      <c r="J229" s="897">
        <f t="shared" si="69"/>
        <v>0</v>
      </c>
      <c r="K229" s="897">
        <f t="shared" si="69"/>
        <v>0</v>
      </c>
      <c r="L229" s="897">
        <f t="shared" si="69"/>
        <v>0</v>
      </c>
      <c r="M229" s="897">
        <f t="shared" si="67"/>
        <v>0</v>
      </c>
      <c r="N229" s="897">
        <f t="shared" si="67"/>
        <v>0</v>
      </c>
      <c r="O229" s="897"/>
      <c r="P229" s="897">
        <f t="shared" si="60"/>
        <v>0</v>
      </c>
      <c r="Q229" s="898">
        <f t="shared" si="68"/>
        <v>0</v>
      </c>
      <c r="R229" s="936">
        <f t="shared" si="61"/>
        <v>0</v>
      </c>
      <c r="S229" s="935">
        <f t="shared" si="70"/>
        <v>0</v>
      </c>
      <c r="T229" s="935">
        <f t="shared" si="70"/>
        <v>0</v>
      </c>
      <c r="U229" s="935">
        <f t="shared" si="70"/>
        <v>0</v>
      </c>
      <c r="V229" s="935">
        <f t="shared" si="70"/>
        <v>0</v>
      </c>
      <c r="W229" s="935">
        <f t="shared" si="70"/>
        <v>0</v>
      </c>
      <c r="X229" s="935">
        <f t="shared" si="70"/>
        <v>0</v>
      </c>
      <c r="Y229" s="935">
        <f t="shared" si="71"/>
        <v>0</v>
      </c>
      <c r="Z229" s="935">
        <f t="shared" si="72"/>
        <v>0</v>
      </c>
    </row>
    <row r="230" spans="1:26" hidden="1">
      <c r="A230" s="1008" t="s">
        <v>2003</v>
      </c>
      <c r="B230" s="1007" t="s">
        <v>2004</v>
      </c>
      <c r="C230" s="897"/>
      <c r="D230" s="897"/>
      <c r="E230" s="937">
        <f t="shared" si="62"/>
        <v>0</v>
      </c>
      <c r="F230" s="897">
        <f t="shared" si="69"/>
        <v>0</v>
      </c>
      <c r="G230" s="897">
        <f t="shared" si="69"/>
        <v>0</v>
      </c>
      <c r="H230" s="897">
        <f t="shared" si="69"/>
        <v>0</v>
      </c>
      <c r="I230" s="897">
        <f t="shared" si="69"/>
        <v>0</v>
      </c>
      <c r="J230" s="897">
        <f t="shared" si="69"/>
        <v>0</v>
      </c>
      <c r="K230" s="897">
        <f t="shared" si="69"/>
        <v>0</v>
      </c>
      <c r="L230" s="897">
        <f t="shared" si="69"/>
        <v>0</v>
      </c>
      <c r="M230" s="897">
        <f t="shared" si="67"/>
        <v>0</v>
      </c>
      <c r="N230" s="897">
        <f t="shared" si="67"/>
        <v>0</v>
      </c>
      <c r="O230" s="897"/>
      <c r="P230" s="897">
        <f t="shared" si="60"/>
        <v>0</v>
      </c>
      <c r="Q230" s="898">
        <f t="shared" si="68"/>
        <v>0</v>
      </c>
      <c r="R230" s="936">
        <f t="shared" si="61"/>
        <v>0</v>
      </c>
      <c r="S230" s="935">
        <f t="shared" si="70"/>
        <v>0</v>
      </c>
      <c r="T230" s="935">
        <f t="shared" si="70"/>
        <v>0</v>
      </c>
      <c r="U230" s="935">
        <f t="shared" si="70"/>
        <v>0</v>
      </c>
      <c r="V230" s="935">
        <f t="shared" si="70"/>
        <v>0</v>
      </c>
      <c r="W230" s="935">
        <f t="shared" si="70"/>
        <v>0</v>
      </c>
      <c r="X230" s="935">
        <f t="shared" si="70"/>
        <v>0</v>
      </c>
      <c r="Y230" s="935">
        <f t="shared" si="71"/>
        <v>0</v>
      </c>
      <c r="Z230" s="935">
        <f t="shared" si="72"/>
        <v>0</v>
      </c>
    </row>
    <row r="231" spans="1:26" hidden="1">
      <c r="A231" s="1008" t="s">
        <v>2005</v>
      </c>
      <c r="B231" s="1007" t="s">
        <v>2006</v>
      </c>
      <c r="C231" s="897"/>
      <c r="D231" s="897"/>
      <c r="E231" s="937">
        <f t="shared" si="62"/>
        <v>0</v>
      </c>
      <c r="F231" s="897">
        <f t="shared" si="69"/>
        <v>0</v>
      </c>
      <c r="G231" s="897">
        <f t="shared" si="69"/>
        <v>0</v>
      </c>
      <c r="H231" s="897">
        <f t="shared" si="69"/>
        <v>0</v>
      </c>
      <c r="I231" s="897">
        <f t="shared" si="69"/>
        <v>0</v>
      </c>
      <c r="J231" s="897">
        <f t="shared" si="69"/>
        <v>0</v>
      </c>
      <c r="K231" s="897">
        <f t="shared" si="69"/>
        <v>0</v>
      </c>
      <c r="L231" s="897">
        <f t="shared" si="69"/>
        <v>0</v>
      </c>
      <c r="M231" s="897">
        <f t="shared" si="67"/>
        <v>0</v>
      </c>
      <c r="N231" s="897">
        <f t="shared" si="67"/>
        <v>0</v>
      </c>
      <c r="O231" s="897"/>
      <c r="P231" s="897">
        <f t="shared" si="60"/>
        <v>0</v>
      </c>
      <c r="Q231" s="898">
        <f t="shared" si="68"/>
        <v>0</v>
      </c>
      <c r="R231" s="936">
        <f t="shared" si="61"/>
        <v>0</v>
      </c>
      <c r="S231" s="935">
        <f t="shared" si="70"/>
        <v>0</v>
      </c>
      <c r="T231" s="935">
        <f t="shared" si="70"/>
        <v>0</v>
      </c>
      <c r="U231" s="935">
        <f t="shared" si="70"/>
        <v>0</v>
      </c>
      <c r="V231" s="935">
        <f t="shared" si="70"/>
        <v>0</v>
      </c>
      <c r="W231" s="935">
        <f t="shared" si="70"/>
        <v>0</v>
      </c>
      <c r="X231" s="935">
        <f t="shared" si="70"/>
        <v>0</v>
      </c>
      <c r="Y231" s="935">
        <f t="shared" si="71"/>
        <v>0</v>
      </c>
      <c r="Z231" s="935">
        <f t="shared" si="72"/>
        <v>0</v>
      </c>
    </row>
    <row r="232" spans="1:26" hidden="1">
      <c r="A232" s="951">
        <v>632</v>
      </c>
      <c r="B232" s="992" t="s">
        <v>2007</v>
      </c>
      <c r="C232" s="897"/>
      <c r="D232" s="897"/>
      <c r="E232" s="937">
        <f t="shared" si="62"/>
        <v>0</v>
      </c>
      <c r="F232" s="897">
        <f t="shared" si="69"/>
        <v>0</v>
      </c>
      <c r="G232" s="897">
        <f t="shared" si="69"/>
        <v>0</v>
      </c>
      <c r="H232" s="897">
        <f t="shared" si="69"/>
        <v>0</v>
      </c>
      <c r="I232" s="897">
        <f t="shared" si="69"/>
        <v>0</v>
      </c>
      <c r="J232" s="897">
        <f t="shared" si="69"/>
        <v>0</v>
      </c>
      <c r="K232" s="897">
        <f t="shared" si="69"/>
        <v>0</v>
      </c>
      <c r="L232" s="897">
        <f t="shared" si="69"/>
        <v>0</v>
      </c>
      <c r="M232" s="897">
        <f t="shared" si="67"/>
        <v>0</v>
      </c>
      <c r="N232" s="897">
        <f t="shared" si="67"/>
        <v>0</v>
      </c>
      <c r="O232" s="897"/>
      <c r="P232" s="897">
        <f t="shared" si="60"/>
        <v>0</v>
      </c>
      <c r="Q232" s="898">
        <f t="shared" si="68"/>
        <v>0</v>
      </c>
      <c r="R232" s="936">
        <f t="shared" si="61"/>
        <v>0</v>
      </c>
      <c r="S232" s="935">
        <f t="shared" si="70"/>
        <v>0</v>
      </c>
      <c r="T232" s="935">
        <f t="shared" si="70"/>
        <v>0</v>
      </c>
      <c r="U232" s="935">
        <f t="shared" si="70"/>
        <v>0</v>
      </c>
      <c r="V232" s="935">
        <f t="shared" si="70"/>
        <v>0</v>
      </c>
      <c r="W232" s="935">
        <f t="shared" si="70"/>
        <v>0</v>
      </c>
      <c r="X232" s="935">
        <f t="shared" si="70"/>
        <v>0</v>
      </c>
      <c r="Y232" s="935">
        <f t="shared" si="71"/>
        <v>0</v>
      </c>
      <c r="Z232" s="935">
        <f t="shared" si="72"/>
        <v>0</v>
      </c>
    </row>
    <row r="233" spans="1:26" hidden="1">
      <c r="A233" s="984">
        <v>6321</v>
      </c>
      <c r="B233" s="991" t="s">
        <v>2008</v>
      </c>
      <c r="C233" s="897"/>
      <c r="D233" s="897"/>
      <c r="E233" s="937">
        <f t="shared" si="62"/>
        <v>0</v>
      </c>
      <c r="F233" s="897">
        <f t="shared" si="69"/>
        <v>0</v>
      </c>
      <c r="G233" s="897">
        <f t="shared" si="69"/>
        <v>0</v>
      </c>
      <c r="H233" s="897">
        <f t="shared" si="69"/>
        <v>0</v>
      </c>
      <c r="I233" s="897">
        <f t="shared" si="69"/>
        <v>0</v>
      </c>
      <c r="J233" s="897">
        <f t="shared" si="69"/>
        <v>0</v>
      </c>
      <c r="K233" s="897">
        <f t="shared" si="69"/>
        <v>0</v>
      </c>
      <c r="L233" s="897">
        <f t="shared" si="69"/>
        <v>0</v>
      </c>
      <c r="M233" s="897">
        <f t="shared" si="67"/>
        <v>0</v>
      </c>
      <c r="N233" s="897">
        <f t="shared" si="67"/>
        <v>0</v>
      </c>
      <c r="O233" s="897"/>
      <c r="P233" s="897">
        <f t="shared" si="60"/>
        <v>0</v>
      </c>
      <c r="Q233" s="898">
        <f t="shared" si="68"/>
        <v>0</v>
      </c>
      <c r="R233" s="936">
        <f t="shared" si="61"/>
        <v>0</v>
      </c>
      <c r="S233" s="935">
        <f t="shared" si="70"/>
        <v>0</v>
      </c>
      <c r="T233" s="935">
        <f t="shared" si="70"/>
        <v>0</v>
      </c>
      <c r="U233" s="935">
        <f t="shared" si="70"/>
        <v>0</v>
      </c>
      <c r="V233" s="935">
        <f t="shared" si="70"/>
        <v>0</v>
      </c>
      <c r="W233" s="935">
        <f t="shared" si="70"/>
        <v>0</v>
      </c>
      <c r="X233" s="935">
        <f t="shared" si="70"/>
        <v>0</v>
      </c>
      <c r="Y233" s="935">
        <f t="shared" si="71"/>
        <v>0</v>
      </c>
      <c r="Z233" s="935">
        <f t="shared" si="72"/>
        <v>0</v>
      </c>
    </row>
    <row r="234" spans="1:26" hidden="1">
      <c r="A234" s="984">
        <v>6322</v>
      </c>
      <c r="B234" s="991" t="s">
        <v>2009</v>
      </c>
      <c r="C234" s="897"/>
      <c r="D234" s="897"/>
      <c r="E234" s="937">
        <f t="shared" si="62"/>
        <v>0</v>
      </c>
      <c r="F234" s="897">
        <f t="shared" si="69"/>
        <v>0</v>
      </c>
      <c r="G234" s="897">
        <f t="shared" si="69"/>
        <v>0</v>
      </c>
      <c r="H234" s="897">
        <f t="shared" si="69"/>
        <v>0</v>
      </c>
      <c r="I234" s="897">
        <f t="shared" si="69"/>
        <v>0</v>
      </c>
      <c r="J234" s="897">
        <f t="shared" si="69"/>
        <v>0</v>
      </c>
      <c r="K234" s="897">
        <f t="shared" si="69"/>
        <v>0</v>
      </c>
      <c r="L234" s="897">
        <f t="shared" si="69"/>
        <v>0</v>
      </c>
      <c r="M234" s="897">
        <f t="shared" si="67"/>
        <v>0</v>
      </c>
      <c r="N234" s="897">
        <f t="shared" si="67"/>
        <v>0</v>
      </c>
      <c r="O234" s="897"/>
      <c r="P234" s="897">
        <f t="shared" si="60"/>
        <v>0</v>
      </c>
      <c r="Q234" s="898">
        <f t="shared" si="68"/>
        <v>0</v>
      </c>
      <c r="R234" s="936">
        <f t="shared" si="61"/>
        <v>0</v>
      </c>
      <c r="S234" s="935">
        <f t="shared" si="70"/>
        <v>0</v>
      </c>
      <c r="T234" s="935">
        <f t="shared" si="70"/>
        <v>0</v>
      </c>
      <c r="U234" s="935">
        <f t="shared" si="70"/>
        <v>0</v>
      </c>
      <c r="V234" s="935">
        <f t="shared" si="70"/>
        <v>0</v>
      </c>
      <c r="W234" s="935">
        <f t="shared" si="70"/>
        <v>0</v>
      </c>
      <c r="X234" s="935">
        <f t="shared" si="70"/>
        <v>0</v>
      </c>
      <c r="Y234" s="935">
        <f t="shared" si="71"/>
        <v>0</v>
      </c>
      <c r="Z234" s="935">
        <f t="shared" si="72"/>
        <v>0</v>
      </c>
    </row>
    <row r="235" spans="1:26" hidden="1">
      <c r="A235" s="984">
        <v>6323</v>
      </c>
      <c r="B235" s="1006" t="s">
        <v>2010</v>
      </c>
      <c r="C235" s="897"/>
      <c r="D235" s="897"/>
      <c r="E235" s="937">
        <f t="shared" si="62"/>
        <v>0</v>
      </c>
      <c r="F235" s="897">
        <f t="shared" si="69"/>
        <v>0</v>
      </c>
      <c r="G235" s="897">
        <f t="shared" si="69"/>
        <v>0</v>
      </c>
      <c r="H235" s="897">
        <f t="shared" si="69"/>
        <v>0</v>
      </c>
      <c r="I235" s="897">
        <f t="shared" si="69"/>
        <v>0</v>
      </c>
      <c r="J235" s="897">
        <f t="shared" si="69"/>
        <v>0</v>
      </c>
      <c r="K235" s="897">
        <f t="shared" si="69"/>
        <v>0</v>
      </c>
      <c r="L235" s="897">
        <f t="shared" si="69"/>
        <v>0</v>
      </c>
      <c r="M235" s="897">
        <f t="shared" si="67"/>
        <v>0</v>
      </c>
      <c r="N235" s="897">
        <f t="shared" si="67"/>
        <v>0</v>
      </c>
      <c r="O235" s="897"/>
      <c r="P235" s="897">
        <f t="shared" si="60"/>
        <v>0</v>
      </c>
      <c r="Q235" s="898">
        <f t="shared" si="68"/>
        <v>0</v>
      </c>
      <c r="R235" s="936">
        <f t="shared" si="61"/>
        <v>0</v>
      </c>
      <c r="S235" s="935">
        <f t="shared" si="70"/>
        <v>0</v>
      </c>
      <c r="T235" s="935">
        <f t="shared" si="70"/>
        <v>0</v>
      </c>
      <c r="U235" s="935">
        <f t="shared" si="70"/>
        <v>0</v>
      </c>
      <c r="V235" s="935">
        <f t="shared" si="70"/>
        <v>0</v>
      </c>
      <c r="W235" s="935">
        <f t="shared" si="70"/>
        <v>0</v>
      </c>
      <c r="X235" s="935">
        <f t="shared" si="70"/>
        <v>0</v>
      </c>
      <c r="Y235" s="935">
        <f t="shared" si="71"/>
        <v>0</v>
      </c>
      <c r="Z235" s="935">
        <f t="shared" si="72"/>
        <v>0</v>
      </c>
    </row>
    <row r="236" spans="1:26" hidden="1">
      <c r="A236" s="984">
        <v>6324</v>
      </c>
      <c r="B236" s="1006" t="s">
        <v>2011</v>
      </c>
      <c r="C236" s="897"/>
      <c r="D236" s="897"/>
      <c r="E236" s="937">
        <f t="shared" si="62"/>
        <v>0</v>
      </c>
      <c r="F236" s="897">
        <f t="shared" si="69"/>
        <v>0</v>
      </c>
      <c r="G236" s="897">
        <f t="shared" si="69"/>
        <v>0</v>
      </c>
      <c r="H236" s="897">
        <f t="shared" si="69"/>
        <v>0</v>
      </c>
      <c r="I236" s="897">
        <f t="shared" si="69"/>
        <v>0</v>
      </c>
      <c r="J236" s="897">
        <f t="shared" si="69"/>
        <v>0</v>
      </c>
      <c r="K236" s="897">
        <f t="shared" si="69"/>
        <v>0</v>
      </c>
      <c r="L236" s="897">
        <f t="shared" si="69"/>
        <v>0</v>
      </c>
      <c r="M236" s="897">
        <f t="shared" si="67"/>
        <v>0</v>
      </c>
      <c r="N236" s="897">
        <f t="shared" si="67"/>
        <v>0</v>
      </c>
      <c r="O236" s="897"/>
      <c r="P236" s="897">
        <f t="shared" si="60"/>
        <v>0</v>
      </c>
      <c r="Q236" s="898">
        <f t="shared" si="68"/>
        <v>0</v>
      </c>
      <c r="R236" s="936">
        <f t="shared" si="61"/>
        <v>0</v>
      </c>
      <c r="S236" s="935">
        <f t="shared" si="70"/>
        <v>0</v>
      </c>
      <c r="T236" s="935">
        <f t="shared" si="70"/>
        <v>0</v>
      </c>
      <c r="U236" s="935">
        <f t="shared" si="70"/>
        <v>0</v>
      </c>
      <c r="V236" s="935">
        <f t="shared" si="70"/>
        <v>0</v>
      </c>
      <c r="W236" s="935">
        <f t="shared" si="70"/>
        <v>0</v>
      </c>
      <c r="X236" s="935">
        <f t="shared" si="70"/>
        <v>0</v>
      </c>
      <c r="Y236" s="935">
        <f t="shared" si="71"/>
        <v>0</v>
      </c>
      <c r="Z236" s="935">
        <f t="shared" si="72"/>
        <v>0</v>
      </c>
    </row>
    <row r="237" spans="1:26" hidden="1">
      <c r="A237" s="984">
        <v>6325</v>
      </c>
      <c r="B237" s="1006" t="s">
        <v>2012</v>
      </c>
      <c r="C237" s="897"/>
      <c r="D237" s="897"/>
      <c r="E237" s="937">
        <f t="shared" si="62"/>
        <v>0</v>
      </c>
      <c r="F237" s="897">
        <f t="shared" si="69"/>
        <v>0</v>
      </c>
      <c r="G237" s="897">
        <f t="shared" si="69"/>
        <v>0</v>
      </c>
      <c r="H237" s="897">
        <f t="shared" si="69"/>
        <v>0</v>
      </c>
      <c r="I237" s="897">
        <f t="shared" si="69"/>
        <v>0</v>
      </c>
      <c r="J237" s="897">
        <f t="shared" si="69"/>
        <v>0</v>
      </c>
      <c r="K237" s="897">
        <f t="shared" si="69"/>
        <v>0</v>
      </c>
      <c r="L237" s="897">
        <f t="shared" si="69"/>
        <v>0</v>
      </c>
      <c r="M237" s="897">
        <f t="shared" si="67"/>
        <v>0</v>
      </c>
      <c r="N237" s="897">
        <f t="shared" si="67"/>
        <v>0</v>
      </c>
      <c r="O237" s="897"/>
      <c r="P237" s="897">
        <f t="shared" si="60"/>
        <v>0</v>
      </c>
      <c r="Q237" s="898">
        <f t="shared" si="68"/>
        <v>0</v>
      </c>
      <c r="R237" s="936">
        <f t="shared" si="61"/>
        <v>0</v>
      </c>
      <c r="S237" s="935">
        <f t="shared" si="70"/>
        <v>0</v>
      </c>
      <c r="T237" s="935">
        <f t="shared" si="70"/>
        <v>0</v>
      </c>
      <c r="U237" s="935">
        <f t="shared" si="70"/>
        <v>0</v>
      </c>
      <c r="V237" s="935">
        <f t="shared" si="70"/>
        <v>0</v>
      </c>
      <c r="W237" s="935">
        <f t="shared" si="70"/>
        <v>0</v>
      </c>
      <c r="X237" s="935">
        <f t="shared" si="70"/>
        <v>0</v>
      </c>
      <c r="Y237" s="935">
        <f t="shared" si="71"/>
        <v>0</v>
      </c>
      <c r="Z237" s="935">
        <f t="shared" si="72"/>
        <v>0</v>
      </c>
    </row>
    <row r="238" spans="1:26" hidden="1">
      <c r="A238" s="984">
        <v>6328</v>
      </c>
      <c r="B238" s="1006" t="s">
        <v>2013</v>
      </c>
      <c r="C238" s="897"/>
      <c r="D238" s="897"/>
      <c r="E238" s="937">
        <f t="shared" si="62"/>
        <v>0</v>
      </c>
      <c r="F238" s="897">
        <f t="shared" si="69"/>
        <v>0</v>
      </c>
      <c r="G238" s="897">
        <f t="shared" si="69"/>
        <v>0</v>
      </c>
      <c r="H238" s="897">
        <f t="shared" si="69"/>
        <v>0</v>
      </c>
      <c r="I238" s="897">
        <f t="shared" si="69"/>
        <v>0</v>
      </c>
      <c r="J238" s="897">
        <f t="shared" si="69"/>
        <v>0</v>
      </c>
      <c r="K238" s="897">
        <f t="shared" si="69"/>
        <v>0</v>
      </c>
      <c r="L238" s="897">
        <f t="shared" si="69"/>
        <v>0</v>
      </c>
      <c r="M238" s="897">
        <f t="shared" si="67"/>
        <v>0</v>
      </c>
      <c r="N238" s="897">
        <f t="shared" si="67"/>
        <v>0</v>
      </c>
      <c r="O238" s="897"/>
      <c r="P238" s="897">
        <f t="shared" si="60"/>
        <v>0</v>
      </c>
      <c r="Q238" s="898">
        <f t="shared" si="68"/>
        <v>0</v>
      </c>
      <c r="R238" s="936">
        <f t="shared" si="61"/>
        <v>0</v>
      </c>
      <c r="S238" s="935">
        <f t="shared" si="70"/>
        <v>0</v>
      </c>
      <c r="T238" s="935">
        <f t="shared" si="70"/>
        <v>0</v>
      </c>
      <c r="U238" s="935">
        <f t="shared" si="70"/>
        <v>0</v>
      </c>
      <c r="V238" s="935">
        <f t="shared" si="70"/>
        <v>0</v>
      </c>
      <c r="W238" s="935">
        <f t="shared" si="70"/>
        <v>0</v>
      </c>
      <c r="X238" s="935">
        <f t="shared" si="70"/>
        <v>0</v>
      </c>
      <c r="Y238" s="935">
        <f t="shared" si="71"/>
        <v>0</v>
      </c>
      <c r="Z238" s="935">
        <f t="shared" si="72"/>
        <v>0</v>
      </c>
    </row>
    <row r="239" spans="1:26" hidden="1">
      <c r="A239" s="951">
        <v>633</v>
      </c>
      <c r="B239" s="992" t="s">
        <v>2014</v>
      </c>
      <c r="C239" s="897"/>
      <c r="D239" s="897"/>
      <c r="E239" s="937">
        <f t="shared" si="62"/>
        <v>0</v>
      </c>
      <c r="F239" s="897">
        <f t="shared" si="69"/>
        <v>0</v>
      </c>
      <c r="G239" s="897">
        <f t="shared" si="69"/>
        <v>0</v>
      </c>
      <c r="H239" s="897">
        <f t="shared" si="69"/>
        <v>0</v>
      </c>
      <c r="I239" s="897">
        <f t="shared" si="69"/>
        <v>0</v>
      </c>
      <c r="J239" s="897">
        <f t="shared" si="69"/>
        <v>0</v>
      </c>
      <c r="K239" s="897">
        <f t="shared" si="69"/>
        <v>0</v>
      </c>
      <c r="L239" s="897">
        <f t="shared" si="69"/>
        <v>0</v>
      </c>
      <c r="M239" s="897">
        <f t="shared" si="67"/>
        <v>0</v>
      </c>
      <c r="N239" s="897">
        <f t="shared" si="67"/>
        <v>0</v>
      </c>
      <c r="O239" s="897"/>
      <c r="P239" s="897">
        <f t="shared" si="60"/>
        <v>0</v>
      </c>
      <c r="Q239" s="898">
        <f t="shared" si="68"/>
        <v>0</v>
      </c>
      <c r="R239" s="936">
        <f t="shared" si="61"/>
        <v>0</v>
      </c>
      <c r="S239" s="935">
        <f t="shared" si="70"/>
        <v>0</v>
      </c>
      <c r="T239" s="935">
        <f t="shared" si="70"/>
        <v>0</v>
      </c>
      <c r="U239" s="935">
        <f t="shared" si="70"/>
        <v>0</v>
      </c>
      <c r="V239" s="935">
        <f t="shared" si="70"/>
        <v>0</v>
      </c>
      <c r="W239" s="935">
        <f t="shared" si="70"/>
        <v>0</v>
      </c>
      <c r="X239" s="935">
        <f t="shared" si="70"/>
        <v>0</v>
      </c>
      <c r="Y239" s="935">
        <f t="shared" si="71"/>
        <v>0</v>
      </c>
      <c r="Z239" s="935">
        <f t="shared" si="72"/>
        <v>0</v>
      </c>
    </row>
    <row r="240" spans="1:26" hidden="1">
      <c r="A240" s="984">
        <v>6331</v>
      </c>
      <c r="B240" s="991" t="s">
        <v>2015</v>
      </c>
      <c r="C240" s="897"/>
      <c r="D240" s="897"/>
      <c r="E240" s="937">
        <f t="shared" si="62"/>
        <v>0</v>
      </c>
      <c r="F240" s="897">
        <f t="shared" si="69"/>
        <v>0</v>
      </c>
      <c r="G240" s="897">
        <f t="shared" si="69"/>
        <v>0</v>
      </c>
      <c r="H240" s="897">
        <f t="shared" si="69"/>
        <v>0</v>
      </c>
      <c r="I240" s="897">
        <f t="shared" si="69"/>
        <v>0</v>
      </c>
      <c r="J240" s="897">
        <f t="shared" si="69"/>
        <v>0</v>
      </c>
      <c r="K240" s="897">
        <f t="shared" si="69"/>
        <v>0</v>
      </c>
      <c r="L240" s="897">
        <f t="shared" si="69"/>
        <v>0</v>
      </c>
      <c r="M240" s="897">
        <f t="shared" si="67"/>
        <v>0</v>
      </c>
      <c r="N240" s="897">
        <f t="shared" si="67"/>
        <v>0</v>
      </c>
      <c r="O240" s="897"/>
      <c r="P240" s="897">
        <f t="shared" si="60"/>
        <v>0</v>
      </c>
      <c r="Q240" s="898">
        <f t="shared" si="68"/>
        <v>0</v>
      </c>
      <c r="R240" s="936">
        <f t="shared" si="61"/>
        <v>0</v>
      </c>
      <c r="S240" s="935">
        <f t="shared" si="70"/>
        <v>0</v>
      </c>
      <c r="T240" s="935">
        <f t="shared" si="70"/>
        <v>0</v>
      </c>
      <c r="U240" s="935">
        <f t="shared" si="70"/>
        <v>0</v>
      </c>
      <c r="V240" s="935">
        <f t="shared" si="70"/>
        <v>0</v>
      </c>
      <c r="W240" s="935">
        <f t="shared" si="70"/>
        <v>0</v>
      </c>
      <c r="X240" s="935">
        <f t="shared" si="70"/>
        <v>0</v>
      </c>
      <c r="Y240" s="935">
        <f t="shared" si="71"/>
        <v>0</v>
      </c>
      <c r="Z240" s="935">
        <f t="shared" si="72"/>
        <v>0</v>
      </c>
    </row>
    <row r="241" spans="1:26" hidden="1">
      <c r="A241" s="984">
        <v>6334</v>
      </c>
      <c r="B241" s="991" t="s">
        <v>2016</v>
      </c>
      <c r="C241" s="897"/>
      <c r="D241" s="897"/>
      <c r="E241" s="937">
        <f t="shared" si="62"/>
        <v>0</v>
      </c>
      <c r="F241" s="897">
        <f t="shared" si="69"/>
        <v>0</v>
      </c>
      <c r="G241" s="897">
        <f t="shared" si="69"/>
        <v>0</v>
      </c>
      <c r="H241" s="897">
        <f t="shared" si="69"/>
        <v>0</v>
      </c>
      <c r="I241" s="897">
        <f t="shared" si="69"/>
        <v>0</v>
      </c>
      <c r="J241" s="897">
        <f t="shared" si="69"/>
        <v>0</v>
      </c>
      <c r="K241" s="897">
        <f t="shared" si="69"/>
        <v>0</v>
      </c>
      <c r="L241" s="897">
        <f t="shared" si="69"/>
        <v>0</v>
      </c>
      <c r="M241" s="897">
        <f t="shared" si="67"/>
        <v>0</v>
      </c>
      <c r="N241" s="897">
        <f t="shared" si="67"/>
        <v>0</v>
      </c>
      <c r="O241" s="897"/>
      <c r="P241" s="897">
        <f t="shared" si="60"/>
        <v>0</v>
      </c>
      <c r="Q241" s="898">
        <f t="shared" si="68"/>
        <v>0</v>
      </c>
      <c r="R241" s="936">
        <f t="shared" si="61"/>
        <v>0</v>
      </c>
      <c r="S241" s="935">
        <f t="shared" si="70"/>
        <v>0</v>
      </c>
      <c r="T241" s="935">
        <f t="shared" si="70"/>
        <v>0</v>
      </c>
      <c r="U241" s="935">
        <f t="shared" si="70"/>
        <v>0</v>
      </c>
      <c r="V241" s="935">
        <f t="shared" si="70"/>
        <v>0</v>
      </c>
      <c r="W241" s="935">
        <f t="shared" si="70"/>
        <v>0</v>
      </c>
      <c r="X241" s="935">
        <f t="shared" si="70"/>
        <v>0</v>
      </c>
      <c r="Y241" s="935">
        <f t="shared" si="71"/>
        <v>0</v>
      </c>
      <c r="Z241" s="935">
        <f t="shared" si="72"/>
        <v>0</v>
      </c>
    </row>
    <row r="242" spans="1:26" hidden="1">
      <c r="A242" s="951">
        <v>634</v>
      </c>
      <c r="B242" s="992" t="s">
        <v>2017</v>
      </c>
      <c r="C242" s="897"/>
      <c r="D242" s="897"/>
      <c r="E242" s="937">
        <f t="shared" si="62"/>
        <v>0</v>
      </c>
      <c r="F242" s="897">
        <f t="shared" si="69"/>
        <v>0</v>
      </c>
      <c r="G242" s="897">
        <f t="shared" si="69"/>
        <v>0</v>
      </c>
      <c r="H242" s="897">
        <f t="shared" si="69"/>
        <v>0</v>
      </c>
      <c r="I242" s="897">
        <f t="shared" si="69"/>
        <v>0</v>
      </c>
      <c r="J242" s="897">
        <f t="shared" si="69"/>
        <v>0</v>
      </c>
      <c r="K242" s="897">
        <f t="shared" si="69"/>
        <v>0</v>
      </c>
      <c r="L242" s="897">
        <f t="shared" si="69"/>
        <v>0</v>
      </c>
      <c r="M242" s="897">
        <f t="shared" si="67"/>
        <v>0</v>
      </c>
      <c r="N242" s="897">
        <f t="shared" si="67"/>
        <v>0</v>
      </c>
      <c r="O242" s="897"/>
      <c r="P242" s="897">
        <f t="shared" si="60"/>
        <v>0</v>
      </c>
      <c r="Q242" s="898">
        <f t="shared" si="68"/>
        <v>0</v>
      </c>
      <c r="R242" s="936">
        <f t="shared" si="61"/>
        <v>0</v>
      </c>
      <c r="S242" s="935">
        <f t="shared" si="70"/>
        <v>0</v>
      </c>
      <c r="T242" s="935">
        <f t="shared" si="70"/>
        <v>0</v>
      </c>
      <c r="U242" s="935">
        <f t="shared" si="70"/>
        <v>0</v>
      </c>
      <c r="V242" s="935">
        <f t="shared" si="70"/>
        <v>0</v>
      </c>
      <c r="W242" s="935">
        <f t="shared" si="70"/>
        <v>0</v>
      </c>
      <c r="X242" s="935">
        <f t="shared" si="70"/>
        <v>0</v>
      </c>
      <c r="Y242" s="935">
        <f t="shared" si="71"/>
        <v>0</v>
      </c>
      <c r="Z242" s="935">
        <f t="shared" si="72"/>
        <v>0</v>
      </c>
    </row>
    <row r="243" spans="1:26" hidden="1">
      <c r="A243" s="984">
        <v>6341</v>
      </c>
      <c r="B243" s="991" t="s">
        <v>2018</v>
      </c>
      <c r="C243" s="897"/>
      <c r="D243" s="897"/>
      <c r="E243" s="937">
        <f t="shared" si="62"/>
        <v>0</v>
      </c>
      <c r="F243" s="897">
        <f t="shared" si="69"/>
        <v>0</v>
      </c>
      <c r="G243" s="897">
        <f t="shared" si="69"/>
        <v>0</v>
      </c>
      <c r="H243" s="897">
        <f t="shared" si="69"/>
        <v>0</v>
      </c>
      <c r="I243" s="897">
        <f t="shared" si="69"/>
        <v>0</v>
      </c>
      <c r="J243" s="897">
        <f t="shared" si="69"/>
        <v>0</v>
      </c>
      <c r="K243" s="897">
        <f t="shared" si="69"/>
        <v>0</v>
      </c>
      <c r="L243" s="897">
        <f t="shared" si="69"/>
        <v>0</v>
      </c>
      <c r="M243" s="897">
        <f t="shared" si="67"/>
        <v>0</v>
      </c>
      <c r="N243" s="897">
        <f t="shared" si="67"/>
        <v>0</v>
      </c>
      <c r="O243" s="897"/>
      <c r="P243" s="897">
        <f t="shared" si="60"/>
        <v>0</v>
      </c>
      <c r="Q243" s="898">
        <f t="shared" si="68"/>
        <v>0</v>
      </c>
      <c r="R243" s="936">
        <f t="shared" si="61"/>
        <v>0</v>
      </c>
      <c r="S243" s="935">
        <f t="shared" ref="S243:X258" si="73">R243</f>
        <v>0</v>
      </c>
      <c r="T243" s="935">
        <f t="shared" si="73"/>
        <v>0</v>
      </c>
      <c r="U243" s="935">
        <f t="shared" si="73"/>
        <v>0</v>
      </c>
      <c r="V243" s="935">
        <f t="shared" si="73"/>
        <v>0</v>
      </c>
      <c r="W243" s="935">
        <f t="shared" si="73"/>
        <v>0</v>
      </c>
      <c r="X243" s="935">
        <f t="shared" si="73"/>
        <v>0</v>
      </c>
      <c r="Y243" s="935">
        <f t="shared" si="71"/>
        <v>0</v>
      </c>
      <c r="Z243" s="935">
        <f t="shared" si="72"/>
        <v>0</v>
      </c>
    </row>
    <row r="244" spans="1:26" hidden="1">
      <c r="A244" s="984">
        <v>6342</v>
      </c>
      <c r="B244" s="991" t="s">
        <v>2019</v>
      </c>
      <c r="C244" s="897"/>
      <c r="D244" s="897"/>
      <c r="E244" s="937">
        <f t="shared" si="62"/>
        <v>0</v>
      </c>
      <c r="F244" s="897">
        <f t="shared" si="69"/>
        <v>0</v>
      </c>
      <c r="G244" s="897">
        <f t="shared" si="69"/>
        <v>0</v>
      </c>
      <c r="H244" s="897">
        <f t="shared" si="69"/>
        <v>0</v>
      </c>
      <c r="I244" s="897">
        <f t="shared" si="69"/>
        <v>0</v>
      </c>
      <c r="J244" s="897">
        <f t="shared" si="69"/>
        <v>0</v>
      </c>
      <c r="K244" s="897">
        <f t="shared" si="69"/>
        <v>0</v>
      </c>
      <c r="L244" s="897">
        <f t="shared" si="69"/>
        <v>0</v>
      </c>
      <c r="M244" s="897">
        <f t="shared" si="67"/>
        <v>0</v>
      </c>
      <c r="N244" s="897">
        <f t="shared" si="67"/>
        <v>0</v>
      </c>
      <c r="O244" s="897"/>
      <c r="P244" s="897">
        <f t="shared" ref="P244:P254" si="74">SUM(E244:N244)</f>
        <v>0</v>
      </c>
      <c r="Q244" s="898">
        <f t="shared" si="68"/>
        <v>0</v>
      </c>
      <c r="R244" s="936">
        <f>Q244/7</f>
        <v>0</v>
      </c>
      <c r="S244" s="935">
        <f t="shared" si="73"/>
        <v>0</v>
      </c>
      <c r="T244" s="935">
        <f t="shared" si="73"/>
        <v>0</v>
      </c>
      <c r="U244" s="935">
        <f t="shared" si="73"/>
        <v>0</v>
      </c>
      <c r="V244" s="935">
        <f t="shared" si="73"/>
        <v>0</v>
      </c>
      <c r="W244" s="935">
        <f t="shared" si="73"/>
        <v>0</v>
      </c>
      <c r="X244" s="935">
        <f t="shared" si="73"/>
        <v>0</v>
      </c>
      <c r="Y244" s="935">
        <f t="shared" si="71"/>
        <v>0</v>
      </c>
      <c r="Z244" s="935">
        <f t="shared" si="72"/>
        <v>0</v>
      </c>
    </row>
    <row r="245" spans="1:26" hidden="1">
      <c r="A245" s="984">
        <v>6343</v>
      </c>
      <c r="B245" s="991" t="s">
        <v>2020</v>
      </c>
      <c r="C245" s="897"/>
      <c r="D245" s="897"/>
      <c r="E245" s="937">
        <f t="shared" si="62"/>
        <v>0</v>
      </c>
      <c r="F245" s="897">
        <f t="shared" si="69"/>
        <v>0</v>
      </c>
      <c r="G245" s="897">
        <f t="shared" si="69"/>
        <v>0</v>
      </c>
      <c r="H245" s="897">
        <f t="shared" si="69"/>
        <v>0</v>
      </c>
      <c r="I245" s="897">
        <f t="shared" si="69"/>
        <v>0</v>
      </c>
      <c r="J245" s="897">
        <f t="shared" si="69"/>
        <v>0</v>
      </c>
      <c r="K245" s="897">
        <f t="shared" si="69"/>
        <v>0</v>
      </c>
      <c r="L245" s="897">
        <f t="shared" si="69"/>
        <v>0</v>
      </c>
      <c r="M245" s="897">
        <f t="shared" si="67"/>
        <v>0</v>
      </c>
      <c r="N245" s="897">
        <f t="shared" si="67"/>
        <v>0</v>
      </c>
      <c r="O245" s="897"/>
      <c r="P245" s="897">
        <f t="shared" si="74"/>
        <v>0</v>
      </c>
      <c r="Q245" s="898">
        <f t="shared" si="68"/>
        <v>0</v>
      </c>
      <c r="R245" s="936">
        <f>Q245/7</f>
        <v>0</v>
      </c>
      <c r="S245" s="935">
        <f t="shared" si="73"/>
        <v>0</v>
      </c>
      <c r="T245" s="935">
        <f t="shared" si="73"/>
        <v>0</v>
      </c>
      <c r="U245" s="935">
        <f t="shared" si="73"/>
        <v>0</v>
      </c>
      <c r="V245" s="935">
        <f t="shared" si="73"/>
        <v>0</v>
      </c>
      <c r="W245" s="935">
        <f t="shared" si="73"/>
        <v>0</v>
      </c>
      <c r="X245" s="935">
        <f t="shared" si="73"/>
        <v>0</v>
      </c>
      <c r="Y245" s="935">
        <f t="shared" si="71"/>
        <v>0</v>
      </c>
      <c r="Z245" s="935">
        <f t="shared" si="72"/>
        <v>0</v>
      </c>
    </row>
    <row r="246" spans="1:26" hidden="1">
      <c r="A246" s="984">
        <v>6349</v>
      </c>
      <c r="B246" s="991" t="s">
        <v>2021</v>
      </c>
      <c r="C246" s="897"/>
      <c r="D246" s="897"/>
      <c r="E246" s="937">
        <f t="shared" si="62"/>
        <v>0</v>
      </c>
      <c r="F246" s="897">
        <f t="shared" si="69"/>
        <v>0</v>
      </c>
      <c r="G246" s="897">
        <f t="shared" si="69"/>
        <v>0</v>
      </c>
      <c r="H246" s="897">
        <f t="shared" si="69"/>
        <v>0</v>
      </c>
      <c r="I246" s="897">
        <f t="shared" si="69"/>
        <v>0</v>
      </c>
      <c r="J246" s="897">
        <f t="shared" si="69"/>
        <v>0</v>
      </c>
      <c r="K246" s="897">
        <f t="shared" si="69"/>
        <v>0</v>
      </c>
      <c r="L246" s="897">
        <f t="shared" si="69"/>
        <v>0</v>
      </c>
      <c r="M246" s="897">
        <f t="shared" si="67"/>
        <v>0</v>
      </c>
      <c r="N246" s="897">
        <f t="shared" si="67"/>
        <v>0</v>
      </c>
      <c r="O246" s="897"/>
      <c r="P246" s="897">
        <f t="shared" si="74"/>
        <v>0</v>
      </c>
      <c r="Q246" s="898">
        <f t="shared" si="68"/>
        <v>0</v>
      </c>
      <c r="R246" s="936">
        <f>Q246/7</f>
        <v>0</v>
      </c>
      <c r="S246" s="935">
        <f t="shared" si="73"/>
        <v>0</v>
      </c>
      <c r="T246" s="935">
        <f t="shared" si="73"/>
        <v>0</v>
      </c>
      <c r="U246" s="935">
        <f t="shared" si="73"/>
        <v>0</v>
      </c>
      <c r="V246" s="935">
        <f t="shared" si="73"/>
        <v>0</v>
      </c>
      <c r="W246" s="935">
        <f t="shared" si="73"/>
        <v>0</v>
      </c>
      <c r="X246" s="935">
        <f t="shared" si="73"/>
        <v>0</v>
      </c>
      <c r="Y246" s="935">
        <f t="shared" si="71"/>
        <v>0</v>
      </c>
      <c r="Z246" s="935">
        <f t="shared" si="72"/>
        <v>0</v>
      </c>
    </row>
    <row r="247" spans="1:26" ht="13.5">
      <c r="A247" s="945" t="s">
        <v>2022</v>
      </c>
      <c r="B247" s="944" t="s">
        <v>2023</v>
      </c>
      <c r="C247" s="908">
        <f>C248</f>
        <v>12878</v>
      </c>
      <c r="D247" s="908"/>
      <c r="E247" s="943">
        <f t="shared" ref="E247:O247" si="75">E248</f>
        <v>3909</v>
      </c>
      <c r="F247" s="908">
        <f t="shared" si="75"/>
        <v>2699</v>
      </c>
      <c r="G247" s="908">
        <f t="shared" si="75"/>
        <v>2699</v>
      </c>
      <c r="H247" s="908">
        <f t="shared" si="75"/>
        <v>4007</v>
      </c>
      <c r="I247" s="908">
        <f t="shared" si="75"/>
        <v>2730</v>
      </c>
      <c r="J247" s="908">
        <f t="shared" si="75"/>
        <v>3889</v>
      </c>
      <c r="K247" s="908">
        <f t="shared" si="75"/>
        <v>0</v>
      </c>
      <c r="L247" s="908">
        <f t="shared" si="75"/>
        <v>0</v>
      </c>
      <c r="M247" s="908">
        <f t="shared" si="75"/>
        <v>0</v>
      </c>
      <c r="N247" s="908">
        <f t="shared" si="75"/>
        <v>0</v>
      </c>
      <c r="O247" s="908">
        <f t="shared" si="75"/>
        <v>0</v>
      </c>
      <c r="P247" s="908">
        <f t="shared" si="74"/>
        <v>19933</v>
      </c>
      <c r="Q247" s="909">
        <f t="shared" si="68"/>
        <v>-7055</v>
      </c>
      <c r="R247" s="960">
        <f>Q247/7</f>
        <v>-1007.8571428571429</v>
      </c>
      <c r="S247" s="959">
        <f t="shared" si="73"/>
        <v>-1007.8571428571429</v>
      </c>
      <c r="T247" s="959">
        <f t="shared" si="73"/>
        <v>-1007.8571428571429</v>
      </c>
      <c r="U247" s="959">
        <f t="shared" si="73"/>
        <v>-1007.8571428571429</v>
      </c>
      <c r="V247" s="959">
        <f t="shared" si="73"/>
        <v>-1007.8571428571429</v>
      </c>
      <c r="W247" s="959">
        <f t="shared" si="73"/>
        <v>-1007.8571428571429</v>
      </c>
      <c r="X247" s="959">
        <f t="shared" si="73"/>
        <v>-1007.8571428571429</v>
      </c>
      <c r="Y247" s="959">
        <f t="shared" si="71"/>
        <v>-7055.0000000000009</v>
      </c>
      <c r="Z247" s="959">
        <f t="shared" si="72"/>
        <v>0</v>
      </c>
    </row>
    <row r="248" spans="1:26">
      <c r="A248" s="1206">
        <v>6391</v>
      </c>
      <c r="B248" s="981" t="s">
        <v>2024</v>
      </c>
      <c r="C248" s="897">
        <v>12878</v>
      </c>
      <c r="D248" s="897"/>
      <c r="E248" s="937">
        <v>3909</v>
      </c>
      <c r="F248" s="897">
        <v>2699</v>
      </c>
      <c r="G248" s="897">
        <v>2699</v>
      </c>
      <c r="H248" s="897">
        <v>4007</v>
      </c>
      <c r="I248" s="915">
        <v>2730</v>
      </c>
      <c r="J248" s="915">
        <v>3889</v>
      </c>
      <c r="K248" s="915"/>
      <c r="L248" s="915"/>
      <c r="M248" s="915"/>
      <c r="N248" s="915"/>
      <c r="O248" s="915"/>
      <c r="P248" s="915">
        <f t="shared" si="74"/>
        <v>19933</v>
      </c>
      <c r="Q248" s="1005">
        <f t="shared" si="68"/>
        <v>-7055</v>
      </c>
      <c r="R248" s="1004">
        <f>P248/5</f>
        <v>3986.6</v>
      </c>
      <c r="S248" s="1003">
        <f t="shared" si="73"/>
        <v>3986.6</v>
      </c>
      <c r="T248" s="1003">
        <f t="shared" si="73"/>
        <v>3986.6</v>
      </c>
      <c r="U248" s="1003">
        <f t="shared" si="73"/>
        <v>3986.6</v>
      </c>
      <c r="V248" s="1003">
        <f t="shared" si="73"/>
        <v>3986.6</v>
      </c>
      <c r="W248" s="1003">
        <f t="shared" si="73"/>
        <v>3986.6</v>
      </c>
      <c r="X248" s="1003">
        <f t="shared" si="73"/>
        <v>3986.6</v>
      </c>
      <c r="Y248" s="1003">
        <f t="shared" si="71"/>
        <v>27906.199999999997</v>
      </c>
      <c r="Z248" s="1003">
        <f t="shared" si="72"/>
        <v>-34961.199999999997</v>
      </c>
    </row>
    <row r="249" spans="1:26">
      <c r="A249" s="958">
        <v>63911</v>
      </c>
      <c r="B249" s="991" t="s">
        <v>2025</v>
      </c>
      <c r="C249" s="897"/>
      <c r="D249" s="897"/>
      <c r="E249" s="937">
        <f>C249/12</f>
        <v>0</v>
      </c>
      <c r="F249" s="897">
        <f t="shared" ref="F249:M251" si="76">E249/12</f>
        <v>0</v>
      </c>
      <c r="G249" s="897">
        <f t="shared" si="76"/>
        <v>0</v>
      </c>
      <c r="H249" s="897">
        <f t="shared" si="76"/>
        <v>0</v>
      </c>
      <c r="I249" s="897">
        <f t="shared" si="76"/>
        <v>0</v>
      </c>
      <c r="J249" s="897">
        <f t="shared" si="76"/>
        <v>0</v>
      </c>
      <c r="K249" s="897">
        <f t="shared" si="76"/>
        <v>0</v>
      </c>
      <c r="L249" s="897">
        <f t="shared" si="76"/>
        <v>0</v>
      </c>
      <c r="M249" s="897">
        <f t="shared" si="76"/>
        <v>0</v>
      </c>
      <c r="N249" s="897"/>
      <c r="O249" s="897"/>
      <c r="P249" s="915">
        <f t="shared" si="74"/>
        <v>0</v>
      </c>
      <c r="Q249" s="898">
        <f t="shared" si="68"/>
        <v>0</v>
      </c>
      <c r="R249" s="936">
        <f>Q249/7</f>
        <v>0</v>
      </c>
      <c r="S249" s="935">
        <f t="shared" si="73"/>
        <v>0</v>
      </c>
      <c r="T249" s="935">
        <f t="shared" si="73"/>
        <v>0</v>
      </c>
      <c r="U249" s="935">
        <f t="shared" si="73"/>
        <v>0</v>
      </c>
      <c r="V249" s="935">
        <f t="shared" si="73"/>
        <v>0</v>
      </c>
      <c r="W249" s="935">
        <f t="shared" si="73"/>
        <v>0</v>
      </c>
      <c r="X249" s="935">
        <f t="shared" si="73"/>
        <v>0</v>
      </c>
      <c r="Y249" s="935">
        <f t="shared" si="71"/>
        <v>0</v>
      </c>
      <c r="Z249" s="935">
        <f t="shared" si="72"/>
        <v>0</v>
      </c>
    </row>
    <row r="250" spans="1:26">
      <c r="A250" s="958">
        <v>63912</v>
      </c>
      <c r="B250" s="991" t="s">
        <v>2024</v>
      </c>
      <c r="C250" s="897"/>
      <c r="D250" s="897"/>
      <c r="E250" s="937">
        <f>C250/12</f>
        <v>0</v>
      </c>
      <c r="F250" s="897">
        <f t="shared" si="76"/>
        <v>0</v>
      </c>
      <c r="G250" s="897">
        <f t="shared" si="76"/>
        <v>0</v>
      </c>
      <c r="H250" s="897">
        <f t="shared" si="76"/>
        <v>0</v>
      </c>
      <c r="I250" s="897">
        <f t="shared" si="76"/>
        <v>0</v>
      </c>
      <c r="J250" s="897">
        <f t="shared" si="76"/>
        <v>0</v>
      </c>
      <c r="K250" s="897">
        <f t="shared" si="76"/>
        <v>0</v>
      </c>
      <c r="L250" s="897">
        <f t="shared" si="76"/>
        <v>0</v>
      </c>
      <c r="M250" s="897">
        <f t="shared" si="76"/>
        <v>0</v>
      </c>
      <c r="N250" s="897"/>
      <c r="O250" s="897"/>
      <c r="P250" s="915">
        <f t="shared" si="74"/>
        <v>0</v>
      </c>
      <c r="Q250" s="898">
        <f t="shared" si="68"/>
        <v>0</v>
      </c>
      <c r="R250" s="936">
        <f>Q250/7</f>
        <v>0</v>
      </c>
      <c r="S250" s="935">
        <f t="shared" si="73"/>
        <v>0</v>
      </c>
      <c r="T250" s="935">
        <f t="shared" si="73"/>
        <v>0</v>
      </c>
      <c r="U250" s="935">
        <f t="shared" si="73"/>
        <v>0</v>
      </c>
      <c r="V250" s="935">
        <f t="shared" si="73"/>
        <v>0</v>
      </c>
      <c r="W250" s="935">
        <f t="shared" si="73"/>
        <v>0</v>
      </c>
      <c r="X250" s="935">
        <f t="shared" si="73"/>
        <v>0</v>
      </c>
      <c r="Y250" s="935">
        <f t="shared" si="71"/>
        <v>0</v>
      </c>
      <c r="Z250" s="935">
        <f t="shared" si="72"/>
        <v>0</v>
      </c>
    </row>
    <row r="251" spans="1:26">
      <c r="A251" s="958">
        <v>63913</v>
      </c>
      <c r="B251" s="991" t="s">
        <v>2026</v>
      </c>
      <c r="C251" s="897"/>
      <c r="D251" s="897"/>
      <c r="E251" s="937">
        <f>C251/12</f>
        <v>0</v>
      </c>
      <c r="F251" s="897">
        <f t="shared" si="76"/>
        <v>0</v>
      </c>
      <c r="G251" s="897">
        <f t="shared" si="76"/>
        <v>0</v>
      </c>
      <c r="H251" s="897">
        <f t="shared" si="76"/>
        <v>0</v>
      </c>
      <c r="I251" s="897">
        <f t="shared" si="76"/>
        <v>0</v>
      </c>
      <c r="J251" s="897">
        <f t="shared" si="76"/>
        <v>0</v>
      </c>
      <c r="K251" s="897">
        <f t="shared" si="76"/>
        <v>0</v>
      </c>
      <c r="L251" s="897">
        <f t="shared" si="76"/>
        <v>0</v>
      </c>
      <c r="M251" s="897">
        <f t="shared" si="76"/>
        <v>0</v>
      </c>
      <c r="N251" s="897"/>
      <c r="O251" s="897"/>
      <c r="P251" s="915">
        <f t="shared" si="74"/>
        <v>0</v>
      </c>
      <c r="Q251" s="898">
        <f t="shared" si="68"/>
        <v>0</v>
      </c>
      <c r="R251" s="936">
        <f>Q251/7</f>
        <v>0</v>
      </c>
      <c r="S251" s="935">
        <f t="shared" si="73"/>
        <v>0</v>
      </c>
      <c r="T251" s="935">
        <f t="shared" si="73"/>
        <v>0</v>
      </c>
      <c r="U251" s="935">
        <f t="shared" si="73"/>
        <v>0</v>
      </c>
      <c r="V251" s="935">
        <f t="shared" si="73"/>
        <v>0</v>
      </c>
      <c r="W251" s="935">
        <f t="shared" si="73"/>
        <v>0</v>
      </c>
      <c r="X251" s="935">
        <f t="shared" si="73"/>
        <v>0</v>
      </c>
      <c r="Y251" s="935">
        <f t="shared" si="71"/>
        <v>0</v>
      </c>
      <c r="Z251" s="935">
        <f t="shared" si="72"/>
        <v>0</v>
      </c>
    </row>
    <row r="252" spans="1:26">
      <c r="A252" s="945" t="s">
        <v>2027</v>
      </c>
      <c r="B252" s="964" t="s">
        <v>2028</v>
      </c>
      <c r="C252" s="916">
        <f>C253+C263+C279+C293+C320</f>
        <v>3073627</v>
      </c>
      <c r="D252" s="916"/>
      <c r="E252" s="963">
        <f t="shared" ref="E252:N252" si="77">E253+E263+E279+E293+E320</f>
        <v>872721</v>
      </c>
      <c r="F252" s="916">
        <f t="shared" si="77"/>
        <v>887671</v>
      </c>
      <c r="G252" s="916">
        <f t="shared" si="77"/>
        <v>1011135</v>
      </c>
      <c r="H252" s="916">
        <f t="shared" si="77"/>
        <v>878885</v>
      </c>
      <c r="I252" s="916">
        <f t="shared" si="77"/>
        <v>901961</v>
      </c>
      <c r="J252" s="916">
        <f t="shared" si="77"/>
        <v>932335</v>
      </c>
      <c r="K252" s="916">
        <f t="shared" si="77"/>
        <v>0</v>
      </c>
      <c r="L252" s="916">
        <f t="shared" si="77"/>
        <v>0</v>
      </c>
      <c r="M252" s="916">
        <f t="shared" si="77"/>
        <v>0</v>
      </c>
      <c r="N252" s="916">
        <f t="shared" si="77"/>
        <v>0</v>
      </c>
      <c r="O252" s="916">
        <f>O253+O263+O279+O293+O320</f>
        <v>0</v>
      </c>
      <c r="P252" s="916">
        <f t="shared" si="74"/>
        <v>5484708</v>
      </c>
      <c r="Q252" s="917">
        <f t="shared" si="68"/>
        <v>-2411081</v>
      </c>
      <c r="R252" s="1002">
        <f>R253+R263+R279+R293+R320</f>
        <v>1095511.2</v>
      </c>
      <c r="S252" s="961">
        <f t="shared" si="73"/>
        <v>1095511.2</v>
      </c>
      <c r="T252" s="961">
        <f t="shared" si="73"/>
        <v>1095511.2</v>
      </c>
      <c r="U252" s="961">
        <f t="shared" si="73"/>
        <v>1095511.2</v>
      </c>
      <c r="V252" s="961">
        <f t="shared" si="73"/>
        <v>1095511.2</v>
      </c>
      <c r="W252" s="961">
        <f t="shared" si="73"/>
        <v>1095511.2</v>
      </c>
      <c r="X252" s="961">
        <f t="shared" si="73"/>
        <v>1095511.2</v>
      </c>
      <c r="Y252" s="961">
        <f t="shared" si="71"/>
        <v>7668578.4000000004</v>
      </c>
      <c r="Z252" s="961">
        <f t="shared" si="72"/>
        <v>-10079659.4</v>
      </c>
    </row>
    <row r="253" spans="1:26" ht="13.5">
      <c r="A253" s="945">
        <v>641</v>
      </c>
      <c r="B253" s="944" t="s">
        <v>2029</v>
      </c>
      <c r="C253" s="908">
        <f>SUM(C254:C261)</f>
        <v>17000</v>
      </c>
      <c r="D253" s="908"/>
      <c r="E253" s="943">
        <f t="shared" ref="E253:N253" si="78">SUM(E254:E261)</f>
        <v>0</v>
      </c>
      <c r="F253" s="908">
        <f t="shared" si="78"/>
        <v>0</v>
      </c>
      <c r="G253" s="908">
        <f t="shared" si="78"/>
        <v>0</v>
      </c>
      <c r="H253" s="908">
        <f t="shared" si="78"/>
        <v>0</v>
      </c>
      <c r="I253" s="908">
        <f t="shared" si="78"/>
        <v>0</v>
      </c>
      <c r="J253" s="908">
        <f t="shared" si="78"/>
        <v>0</v>
      </c>
      <c r="K253" s="908">
        <f t="shared" si="78"/>
        <v>0</v>
      </c>
      <c r="L253" s="908">
        <f t="shared" si="78"/>
        <v>0</v>
      </c>
      <c r="M253" s="908">
        <f t="shared" si="78"/>
        <v>0</v>
      </c>
      <c r="N253" s="908">
        <f t="shared" si="78"/>
        <v>0</v>
      </c>
      <c r="O253" s="908">
        <f>SUM(O254:O261)</f>
        <v>0</v>
      </c>
      <c r="P253" s="908">
        <f t="shared" si="74"/>
        <v>0</v>
      </c>
      <c r="Q253" s="909">
        <f t="shared" si="68"/>
        <v>17000</v>
      </c>
      <c r="R253" s="960"/>
      <c r="S253" s="959">
        <f t="shared" si="73"/>
        <v>0</v>
      </c>
      <c r="T253" s="959">
        <f t="shared" si="73"/>
        <v>0</v>
      </c>
      <c r="U253" s="959">
        <f t="shared" si="73"/>
        <v>0</v>
      </c>
      <c r="V253" s="959">
        <f t="shared" si="73"/>
        <v>0</v>
      </c>
      <c r="W253" s="959">
        <f t="shared" si="73"/>
        <v>0</v>
      </c>
      <c r="X253" s="959">
        <f t="shared" si="73"/>
        <v>0</v>
      </c>
      <c r="Y253" s="959">
        <f t="shared" si="71"/>
        <v>0</v>
      </c>
      <c r="Z253" s="959">
        <f t="shared" si="72"/>
        <v>17000</v>
      </c>
    </row>
    <row r="254" spans="1:26" hidden="1">
      <c r="A254" s="984" t="s">
        <v>2030</v>
      </c>
      <c r="B254" s="991" t="s">
        <v>2031</v>
      </c>
      <c r="C254" s="897">
        <v>2125</v>
      </c>
      <c r="D254" s="897"/>
      <c r="E254" s="937"/>
      <c r="F254" s="897"/>
      <c r="G254" s="897"/>
      <c r="H254" s="897"/>
      <c r="I254" s="897"/>
      <c r="J254" s="897"/>
      <c r="K254" s="897"/>
      <c r="L254" s="897"/>
      <c r="M254" s="897"/>
      <c r="N254" s="897"/>
      <c r="O254" s="897"/>
      <c r="P254" s="897">
        <f t="shared" si="74"/>
        <v>0</v>
      </c>
      <c r="Q254" s="898">
        <f t="shared" si="68"/>
        <v>2125</v>
      </c>
      <c r="R254" s="936"/>
      <c r="S254" s="935">
        <f t="shared" si="73"/>
        <v>0</v>
      </c>
      <c r="T254" s="935">
        <f t="shared" si="73"/>
        <v>0</v>
      </c>
      <c r="U254" s="935">
        <f t="shared" si="73"/>
        <v>0</v>
      </c>
      <c r="V254" s="935">
        <f t="shared" si="73"/>
        <v>0</v>
      </c>
      <c r="W254" s="935">
        <f t="shared" si="73"/>
        <v>0</v>
      </c>
      <c r="X254" s="935">
        <f t="shared" si="73"/>
        <v>0</v>
      </c>
      <c r="Y254" s="935">
        <f t="shared" si="71"/>
        <v>0</v>
      </c>
      <c r="Z254" s="935">
        <f t="shared" si="72"/>
        <v>2125</v>
      </c>
    </row>
    <row r="255" spans="1:26" hidden="1">
      <c r="A255" s="984" t="s">
        <v>2032</v>
      </c>
      <c r="B255" s="991" t="s">
        <v>2033</v>
      </c>
      <c r="C255" s="897">
        <v>2125</v>
      </c>
      <c r="D255" s="897"/>
      <c r="E255" s="937"/>
      <c r="F255" s="897"/>
      <c r="G255" s="897"/>
      <c r="H255" s="897"/>
      <c r="I255" s="897"/>
      <c r="J255" s="897"/>
      <c r="K255" s="897"/>
      <c r="L255" s="897"/>
      <c r="M255" s="897"/>
      <c r="N255" s="897"/>
      <c r="O255" s="897"/>
      <c r="P255" s="897">
        <f t="shared" ref="P255:P262" si="79">SUM(E255:N255)</f>
        <v>0</v>
      </c>
      <c r="Q255" s="898">
        <f t="shared" si="68"/>
        <v>2125</v>
      </c>
      <c r="R255" s="936"/>
      <c r="S255" s="935">
        <f t="shared" si="73"/>
        <v>0</v>
      </c>
      <c r="T255" s="935">
        <f t="shared" si="73"/>
        <v>0</v>
      </c>
      <c r="U255" s="935">
        <f t="shared" si="73"/>
        <v>0</v>
      </c>
      <c r="V255" s="935">
        <f t="shared" si="73"/>
        <v>0</v>
      </c>
      <c r="W255" s="935">
        <f t="shared" si="73"/>
        <v>0</v>
      </c>
      <c r="X255" s="935">
        <f t="shared" si="73"/>
        <v>0</v>
      </c>
      <c r="Y255" s="935">
        <f t="shared" si="71"/>
        <v>0</v>
      </c>
      <c r="Z255" s="935">
        <f t="shared" si="72"/>
        <v>2125</v>
      </c>
    </row>
    <row r="256" spans="1:26" hidden="1">
      <c r="A256" s="984" t="s">
        <v>2034</v>
      </c>
      <c r="B256" s="991" t="s">
        <v>2035</v>
      </c>
      <c r="C256" s="897">
        <v>2125</v>
      </c>
      <c r="D256" s="897"/>
      <c r="E256" s="937"/>
      <c r="F256" s="897"/>
      <c r="G256" s="897"/>
      <c r="H256" s="897"/>
      <c r="I256" s="897"/>
      <c r="J256" s="897"/>
      <c r="K256" s="897"/>
      <c r="L256" s="897"/>
      <c r="M256" s="897"/>
      <c r="N256" s="897"/>
      <c r="O256" s="897"/>
      <c r="P256" s="897">
        <f t="shared" si="79"/>
        <v>0</v>
      </c>
      <c r="Q256" s="898">
        <f t="shared" si="68"/>
        <v>2125</v>
      </c>
      <c r="R256" s="936"/>
      <c r="S256" s="935">
        <f t="shared" si="73"/>
        <v>0</v>
      </c>
      <c r="T256" s="935">
        <f t="shared" si="73"/>
        <v>0</v>
      </c>
      <c r="U256" s="935">
        <f t="shared" si="73"/>
        <v>0</v>
      </c>
      <c r="V256" s="935">
        <f t="shared" si="73"/>
        <v>0</v>
      </c>
      <c r="W256" s="935">
        <f t="shared" si="73"/>
        <v>0</v>
      </c>
      <c r="X256" s="935">
        <f t="shared" si="73"/>
        <v>0</v>
      </c>
      <c r="Y256" s="935">
        <f t="shared" si="71"/>
        <v>0</v>
      </c>
      <c r="Z256" s="935">
        <f t="shared" si="72"/>
        <v>2125</v>
      </c>
    </row>
    <row r="257" spans="1:26" hidden="1">
      <c r="A257" s="984" t="s">
        <v>2036</v>
      </c>
      <c r="B257" s="991" t="s">
        <v>2037</v>
      </c>
      <c r="C257" s="897">
        <v>2125</v>
      </c>
      <c r="D257" s="897"/>
      <c r="E257" s="937"/>
      <c r="F257" s="897"/>
      <c r="G257" s="897"/>
      <c r="H257" s="897"/>
      <c r="I257" s="897"/>
      <c r="J257" s="897"/>
      <c r="K257" s="897"/>
      <c r="L257" s="897"/>
      <c r="M257" s="897"/>
      <c r="N257" s="897"/>
      <c r="O257" s="897"/>
      <c r="P257" s="897">
        <f t="shared" si="79"/>
        <v>0</v>
      </c>
      <c r="Q257" s="898">
        <f t="shared" si="68"/>
        <v>2125</v>
      </c>
      <c r="R257" s="936"/>
      <c r="S257" s="935">
        <f t="shared" si="73"/>
        <v>0</v>
      </c>
      <c r="T257" s="935">
        <f t="shared" si="73"/>
        <v>0</v>
      </c>
      <c r="U257" s="935">
        <f t="shared" si="73"/>
        <v>0</v>
      </c>
      <c r="V257" s="935">
        <f t="shared" si="73"/>
        <v>0</v>
      </c>
      <c r="W257" s="935">
        <f t="shared" si="73"/>
        <v>0</v>
      </c>
      <c r="X257" s="935">
        <f t="shared" si="73"/>
        <v>0</v>
      </c>
      <c r="Y257" s="935">
        <f t="shared" si="71"/>
        <v>0</v>
      </c>
      <c r="Z257" s="935">
        <f t="shared" si="72"/>
        <v>2125</v>
      </c>
    </row>
    <row r="258" spans="1:26" hidden="1">
      <c r="A258" s="984" t="s">
        <v>2038</v>
      </c>
      <c r="B258" s="991" t="s">
        <v>2039</v>
      </c>
      <c r="C258" s="897">
        <v>2125</v>
      </c>
      <c r="D258" s="897"/>
      <c r="E258" s="937"/>
      <c r="F258" s="897"/>
      <c r="G258" s="897"/>
      <c r="H258" s="897"/>
      <c r="I258" s="897"/>
      <c r="J258" s="897"/>
      <c r="K258" s="897"/>
      <c r="L258" s="897"/>
      <c r="M258" s="897"/>
      <c r="N258" s="897"/>
      <c r="O258" s="897"/>
      <c r="P258" s="897">
        <f t="shared" si="79"/>
        <v>0</v>
      </c>
      <c r="Q258" s="898">
        <f t="shared" si="68"/>
        <v>2125</v>
      </c>
      <c r="R258" s="936"/>
      <c r="S258" s="935">
        <f t="shared" si="73"/>
        <v>0</v>
      </c>
      <c r="T258" s="935">
        <f t="shared" si="73"/>
        <v>0</v>
      </c>
      <c r="U258" s="935">
        <f t="shared" si="73"/>
        <v>0</v>
      </c>
      <c r="V258" s="935">
        <f t="shared" si="73"/>
        <v>0</v>
      </c>
      <c r="W258" s="935">
        <f t="shared" si="73"/>
        <v>0</v>
      </c>
      <c r="X258" s="935">
        <f t="shared" si="73"/>
        <v>0</v>
      </c>
      <c r="Y258" s="935">
        <f t="shared" si="71"/>
        <v>0</v>
      </c>
      <c r="Z258" s="935">
        <f t="shared" si="72"/>
        <v>2125</v>
      </c>
    </row>
    <row r="259" spans="1:26" hidden="1">
      <c r="A259" s="984" t="s">
        <v>2040</v>
      </c>
      <c r="B259" s="991" t="s">
        <v>2041</v>
      </c>
      <c r="C259" s="897">
        <v>2125</v>
      </c>
      <c r="D259" s="897"/>
      <c r="E259" s="937"/>
      <c r="F259" s="897"/>
      <c r="G259" s="897"/>
      <c r="H259" s="897"/>
      <c r="I259" s="897"/>
      <c r="J259" s="897"/>
      <c r="K259" s="897"/>
      <c r="L259" s="897"/>
      <c r="M259" s="897"/>
      <c r="N259" s="897"/>
      <c r="O259" s="897"/>
      <c r="P259" s="897">
        <f t="shared" si="79"/>
        <v>0</v>
      </c>
      <c r="Q259" s="898">
        <f t="shared" si="68"/>
        <v>2125</v>
      </c>
      <c r="R259" s="936"/>
      <c r="S259" s="935">
        <f t="shared" ref="S259:X274" si="80">R259</f>
        <v>0</v>
      </c>
      <c r="T259" s="935">
        <f t="shared" si="80"/>
        <v>0</v>
      </c>
      <c r="U259" s="935">
        <f t="shared" si="80"/>
        <v>0</v>
      </c>
      <c r="V259" s="935">
        <f t="shared" si="80"/>
        <v>0</v>
      </c>
      <c r="W259" s="935">
        <f t="shared" si="80"/>
        <v>0</v>
      </c>
      <c r="X259" s="935">
        <f t="shared" si="80"/>
        <v>0</v>
      </c>
      <c r="Y259" s="935">
        <f t="shared" si="71"/>
        <v>0</v>
      </c>
      <c r="Z259" s="935">
        <f t="shared" si="72"/>
        <v>2125</v>
      </c>
    </row>
    <row r="260" spans="1:26" hidden="1">
      <c r="A260" s="984" t="s">
        <v>2042</v>
      </c>
      <c r="B260" s="991" t="s">
        <v>2043</v>
      </c>
      <c r="C260" s="897">
        <v>2125</v>
      </c>
      <c r="D260" s="897"/>
      <c r="E260" s="937"/>
      <c r="F260" s="897"/>
      <c r="G260" s="897"/>
      <c r="H260" s="897"/>
      <c r="I260" s="897"/>
      <c r="J260" s="897"/>
      <c r="K260" s="897"/>
      <c r="L260" s="897"/>
      <c r="M260" s="897"/>
      <c r="N260" s="897"/>
      <c r="O260" s="897"/>
      <c r="P260" s="897">
        <f t="shared" si="79"/>
        <v>0</v>
      </c>
      <c r="Q260" s="898">
        <f t="shared" si="68"/>
        <v>2125</v>
      </c>
      <c r="R260" s="936"/>
      <c r="S260" s="935">
        <f t="shared" si="80"/>
        <v>0</v>
      </c>
      <c r="T260" s="935">
        <f t="shared" si="80"/>
        <v>0</v>
      </c>
      <c r="U260" s="935">
        <f t="shared" si="80"/>
        <v>0</v>
      </c>
      <c r="V260" s="935">
        <f t="shared" si="80"/>
        <v>0</v>
      </c>
      <c r="W260" s="935">
        <f t="shared" si="80"/>
        <v>0</v>
      </c>
      <c r="X260" s="935">
        <f t="shared" si="80"/>
        <v>0</v>
      </c>
      <c r="Y260" s="935">
        <f t="shared" si="71"/>
        <v>0</v>
      </c>
      <c r="Z260" s="935">
        <f t="shared" si="72"/>
        <v>2125</v>
      </c>
    </row>
    <row r="261" spans="1:26" hidden="1">
      <c r="A261" s="984" t="s">
        <v>2044</v>
      </c>
      <c r="B261" s="991" t="s">
        <v>2045</v>
      </c>
      <c r="C261" s="897">
        <v>2125</v>
      </c>
      <c r="D261" s="897"/>
      <c r="E261" s="937"/>
      <c r="F261" s="897"/>
      <c r="G261" s="897"/>
      <c r="H261" s="897"/>
      <c r="I261" s="897"/>
      <c r="J261" s="897"/>
      <c r="K261" s="897"/>
      <c r="L261" s="897"/>
      <c r="M261" s="897"/>
      <c r="N261" s="897"/>
      <c r="O261" s="897"/>
      <c r="P261" s="897">
        <f t="shared" si="79"/>
        <v>0</v>
      </c>
      <c r="Q261" s="898">
        <f t="shared" si="68"/>
        <v>2125</v>
      </c>
      <c r="R261" s="936"/>
      <c r="S261" s="935">
        <f t="shared" si="80"/>
        <v>0</v>
      </c>
      <c r="T261" s="935">
        <f t="shared" si="80"/>
        <v>0</v>
      </c>
      <c r="U261" s="935">
        <f t="shared" si="80"/>
        <v>0</v>
      </c>
      <c r="V261" s="935">
        <f t="shared" si="80"/>
        <v>0</v>
      </c>
      <c r="W261" s="935">
        <f t="shared" si="80"/>
        <v>0</v>
      </c>
      <c r="X261" s="935">
        <f t="shared" si="80"/>
        <v>0</v>
      </c>
      <c r="Y261" s="935">
        <f t="shared" si="71"/>
        <v>0</v>
      </c>
      <c r="Z261" s="935">
        <f t="shared" si="72"/>
        <v>2125</v>
      </c>
    </row>
    <row r="262" spans="1:26" hidden="1">
      <c r="A262" s="984">
        <v>6419</v>
      </c>
      <c r="B262" s="991" t="s">
        <v>2046</v>
      </c>
      <c r="C262" s="897"/>
      <c r="D262" s="897"/>
      <c r="E262" s="937"/>
      <c r="F262" s="897"/>
      <c r="G262" s="897"/>
      <c r="H262" s="897"/>
      <c r="I262" s="897"/>
      <c r="J262" s="897"/>
      <c r="K262" s="897"/>
      <c r="L262" s="897"/>
      <c r="M262" s="897"/>
      <c r="N262" s="897"/>
      <c r="O262" s="897"/>
      <c r="P262" s="897">
        <f t="shared" si="79"/>
        <v>0</v>
      </c>
      <c r="Q262" s="898">
        <f t="shared" si="68"/>
        <v>0</v>
      </c>
      <c r="R262" s="936">
        <f>Q262/7</f>
        <v>0</v>
      </c>
      <c r="S262" s="935">
        <f t="shared" si="80"/>
        <v>0</v>
      </c>
      <c r="T262" s="935">
        <f t="shared" si="80"/>
        <v>0</v>
      </c>
      <c r="U262" s="935">
        <f t="shared" si="80"/>
        <v>0</v>
      </c>
      <c r="V262" s="935">
        <f t="shared" si="80"/>
        <v>0</v>
      </c>
      <c r="W262" s="935">
        <f t="shared" si="80"/>
        <v>0</v>
      </c>
      <c r="X262" s="935">
        <f t="shared" si="80"/>
        <v>0</v>
      </c>
      <c r="Y262" s="935">
        <f t="shared" si="71"/>
        <v>0</v>
      </c>
      <c r="Z262" s="935">
        <f t="shared" si="72"/>
        <v>0</v>
      </c>
    </row>
    <row r="263" spans="1:26" ht="13.5">
      <c r="A263" s="1023">
        <v>642</v>
      </c>
      <c r="B263" s="1022" t="s">
        <v>2047</v>
      </c>
      <c r="C263" s="1020">
        <f>C264+C269+C270+C278</f>
        <v>52793</v>
      </c>
      <c r="D263" s="1020"/>
      <c r="E263" s="1021">
        <f t="shared" ref="E263:O263" si="81">E264+E269+E270+E278</f>
        <v>4613</v>
      </c>
      <c r="F263" s="1020">
        <f t="shared" si="81"/>
        <v>4540</v>
      </c>
      <c r="G263" s="1020">
        <f t="shared" si="81"/>
        <v>4179</v>
      </c>
      <c r="H263" s="1020">
        <f t="shared" si="81"/>
        <v>4540</v>
      </c>
      <c r="I263" s="1020">
        <f t="shared" si="81"/>
        <v>10803</v>
      </c>
      <c r="J263" s="1020">
        <f t="shared" si="81"/>
        <v>4209</v>
      </c>
      <c r="K263" s="1020">
        <f t="shared" si="81"/>
        <v>0</v>
      </c>
      <c r="L263" s="1020">
        <f t="shared" si="81"/>
        <v>0</v>
      </c>
      <c r="M263" s="1020">
        <f t="shared" si="81"/>
        <v>0</v>
      </c>
      <c r="N263" s="1020">
        <f t="shared" si="81"/>
        <v>0</v>
      </c>
      <c r="O263" s="1020">
        <f t="shared" si="81"/>
        <v>0</v>
      </c>
      <c r="P263" s="1020">
        <f>SUM(E263:N263)</f>
        <v>32884</v>
      </c>
      <c r="Q263" s="1019">
        <f t="shared" si="68"/>
        <v>19909</v>
      </c>
      <c r="R263" s="988">
        <f>R264+R269+R270+R278</f>
        <v>5276.4</v>
      </c>
      <c r="S263" s="959">
        <f t="shared" si="80"/>
        <v>5276.4</v>
      </c>
      <c r="T263" s="959">
        <f t="shared" si="80"/>
        <v>5276.4</v>
      </c>
      <c r="U263" s="959">
        <f t="shared" si="80"/>
        <v>5276.4</v>
      </c>
      <c r="V263" s="959">
        <f t="shared" si="80"/>
        <v>5276.4</v>
      </c>
      <c r="W263" s="959">
        <f t="shared" si="80"/>
        <v>5276.4</v>
      </c>
      <c r="X263" s="959">
        <f t="shared" si="80"/>
        <v>5276.4</v>
      </c>
      <c r="Y263" s="959">
        <f t="shared" si="71"/>
        <v>36934.800000000003</v>
      </c>
      <c r="Z263" s="959">
        <f t="shared" si="72"/>
        <v>-17025.800000000003</v>
      </c>
    </row>
    <row r="264" spans="1:26">
      <c r="A264" s="984" t="s">
        <v>2048</v>
      </c>
      <c r="B264" s="991" t="s">
        <v>2049</v>
      </c>
      <c r="C264" s="897">
        <v>12306</v>
      </c>
      <c r="D264" s="897"/>
      <c r="E264" s="937">
        <v>931</v>
      </c>
      <c r="F264" s="897">
        <v>858</v>
      </c>
      <c r="G264" s="897">
        <v>497</v>
      </c>
      <c r="H264" s="897">
        <v>858</v>
      </c>
      <c r="I264" s="897">
        <v>527</v>
      </c>
      <c r="J264" s="897">
        <v>527</v>
      </c>
      <c r="K264" s="897"/>
      <c r="L264" s="897"/>
      <c r="M264" s="897"/>
      <c r="N264" s="897"/>
      <c r="O264" s="897"/>
      <c r="P264" s="897">
        <f>SUM(E264:N264)</f>
        <v>4198</v>
      </c>
      <c r="Q264" s="898">
        <f t="shared" si="68"/>
        <v>8108</v>
      </c>
      <c r="R264" s="936">
        <f>F264</f>
        <v>858</v>
      </c>
      <c r="S264" s="935">
        <f t="shared" si="80"/>
        <v>858</v>
      </c>
      <c r="T264" s="935">
        <f t="shared" si="80"/>
        <v>858</v>
      </c>
      <c r="U264" s="935">
        <f t="shared" si="80"/>
        <v>858</v>
      </c>
      <c r="V264" s="935">
        <f t="shared" si="80"/>
        <v>858</v>
      </c>
      <c r="W264" s="935">
        <f t="shared" si="80"/>
        <v>858</v>
      </c>
      <c r="X264" s="935">
        <f t="shared" si="80"/>
        <v>858</v>
      </c>
      <c r="Y264" s="935">
        <f t="shared" si="71"/>
        <v>6006</v>
      </c>
      <c r="Z264" s="935">
        <f t="shared" si="72"/>
        <v>2102</v>
      </c>
    </row>
    <row r="265" spans="1:26" hidden="1">
      <c r="A265" s="986" t="s">
        <v>2050</v>
      </c>
      <c r="B265" s="991" t="s">
        <v>2051</v>
      </c>
      <c r="C265" s="897"/>
      <c r="D265" s="897"/>
      <c r="E265" s="937"/>
      <c r="F265" s="897"/>
      <c r="G265" s="897"/>
      <c r="H265" s="897"/>
      <c r="I265" s="897"/>
      <c r="J265" s="897"/>
      <c r="K265" s="897"/>
      <c r="L265" s="897"/>
      <c r="M265" s="897"/>
      <c r="N265" s="897"/>
      <c r="O265" s="897"/>
      <c r="P265" s="897">
        <f t="shared" ref="P265:P278" si="82">SUM(E265:N265)</f>
        <v>0</v>
      </c>
      <c r="Q265" s="898">
        <f t="shared" si="68"/>
        <v>0</v>
      </c>
      <c r="R265" s="936">
        <f>Q265/7</f>
        <v>0</v>
      </c>
      <c r="S265" s="935">
        <f t="shared" si="80"/>
        <v>0</v>
      </c>
      <c r="T265" s="935">
        <f t="shared" si="80"/>
        <v>0</v>
      </c>
      <c r="U265" s="935">
        <f t="shared" si="80"/>
        <v>0</v>
      </c>
      <c r="V265" s="935">
        <f t="shared" si="80"/>
        <v>0</v>
      </c>
      <c r="W265" s="935">
        <f t="shared" si="80"/>
        <v>0</v>
      </c>
      <c r="X265" s="935">
        <f t="shared" si="80"/>
        <v>0</v>
      </c>
      <c r="Y265" s="935">
        <f t="shared" si="71"/>
        <v>0</v>
      </c>
      <c r="Z265" s="935">
        <f t="shared" si="72"/>
        <v>0</v>
      </c>
    </row>
    <row r="266" spans="1:26" hidden="1">
      <c r="A266" s="986" t="s">
        <v>2052</v>
      </c>
      <c r="B266" s="991" t="s">
        <v>2053</v>
      </c>
      <c r="C266" s="897"/>
      <c r="D266" s="897"/>
      <c r="E266" s="937"/>
      <c r="F266" s="897"/>
      <c r="G266" s="897"/>
      <c r="H266" s="897"/>
      <c r="I266" s="897"/>
      <c r="J266" s="897"/>
      <c r="K266" s="897"/>
      <c r="L266" s="897"/>
      <c r="M266" s="897"/>
      <c r="N266" s="897"/>
      <c r="O266" s="897"/>
      <c r="P266" s="897">
        <f t="shared" si="82"/>
        <v>0</v>
      </c>
      <c r="Q266" s="898">
        <f t="shared" si="68"/>
        <v>0</v>
      </c>
      <c r="R266" s="936">
        <f>Q266/7</f>
        <v>0</v>
      </c>
      <c r="S266" s="935">
        <f t="shared" si="80"/>
        <v>0</v>
      </c>
      <c r="T266" s="935">
        <f t="shared" si="80"/>
        <v>0</v>
      </c>
      <c r="U266" s="935">
        <f t="shared" si="80"/>
        <v>0</v>
      </c>
      <c r="V266" s="935">
        <f t="shared" si="80"/>
        <v>0</v>
      </c>
      <c r="W266" s="935">
        <f t="shared" si="80"/>
        <v>0</v>
      </c>
      <c r="X266" s="935">
        <f t="shared" si="80"/>
        <v>0</v>
      </c>
      <c r="Y266" s="935">
        <f t="shared" si="71"/>
        <v>0</v>
      </c>
      <c r="Z266" s="935">
        <f t="shared" si="72"/>
        <v>0</v>
      </c>
    </row>
    <row r="267" spans="1:26" hidden="1">
      <c r="A267" s="986" t="s">
        <v>2054</v>
      </c>
      <c r="B267" s="991" t="s">
        <v>2055</v>
      </c>
      <c r="C267" s="897"/>
      <c r="D267" s="897"/>
      <c r="E267" s="937"/>
      <c r="F267" s="897"/>
      <c r="G267" s="897"/>
      <c r="H267" s="897"/>
      <c r="I267" s="897"/>
      <c r="J267" s="897"/>
      <c r="K267" s="897"/>
      <c r="L267" s="897"/>
      <c r="M267" s="897"/>
      <c r="N267" s="897"/>
      <c r="O267" s="897"/>
      <c r="P267" s="897">
        <f t="shared" si="82"/>
        <v>0</v>
      </c>
      <c r="Q267" s="898">
        <f t="shared" si="68"/>
        <v>0</v>
      </c>
      <c r="R267" s="936">
        <f>Q267/7</f>
        <v>0</v>
      </c>
      <c r="S267" s="935">
        <f t="shared" si="80"/>
        <v>0</v>
      </c>
      <c r="T267" s="935">
        <f t="shared" si="80"/>
        <v>0</v>
      </c>
      <c r="U267" s="935">
        <f t="shared" si="80"/>
        <v>0</v>
      </c>
      <c r="V267" s="935">
        <f t="shared" si="80"/>
        <v>0</v>
      </c>
      <c r="W267" s="935">
        <f t="shared" si="80"/>
        <v>0</v>
      </c>
      <c r="X267" s="935">
        <f t="shared" si="80"/>
        <v>0</v>
      </c>
      <c r="Y267" s="935">
        <f t="shared" si="71"/>
        <v>0</v>
      </c>
      <c r="Z267" s="935">
        <f t="shared" si="72"/>
        <v>0</v>
      </c>
    </row>
    <row r="268" spans="1:26" hidden="1">
      <c r="A268" s="986" t="s">
        <v>2056</v>
      </c>
      <c r="B268" s="991" t="s">
        <v>2057</v>
      </c>
      <c r="C268" s="897"/>
      <c r="D268" s="897"/>
      <c r="E268" s="937"/>
      <c r="F268" s="897"/>
      <c r="G268" s="897"/>
      <c r="H268" s="897"/>
      <c r="I268" s="897"/>
      <c r="J268" s="897"/>
      <c r="K268" s="897"/>
      <c r="L268" s="897"/>
      <c r="M268" s="897"/>
      <c r="N268" s="897"/>
      <c r="O268" s="897"/>
      <c r="P268" s="897">
        <f t="shared" si="82"/>
        <v>0</v>
      </c>
      <c r="Q268" s="898">
        <f t="shared" si="68"/>
        <v>0</v>
      </c>
      <c r="R268" s="936">
        <f>Q268/7</f>
        <v>0</v>
      </c>
      <c r="S268" s="935">
        <f t="shared" si="80"/>
        <v>0</v>
      </c>
      <c r="T268" s="935">
        <f t="shared" si="80"/>
        <v>0</v>
      </c>
      <c r="U268" s="935">
        <f t="shared" si="80"/>
        <v>0</v>
      </c>
      <c r="V268" s="935">
        <f t="shared" si="80"/>
        <v>0</v>
      </c>
      <c r="W268" s="935">
        <f t="shared" si="80"/>
        <v>0</v>
      </c>
      <c r="X268" s="935">
        <f t="shared" si="80"/>
        <v>0</v>
      </c>
      <c r="Y268" s="935">
        <f t="shared" si="71"/>
        <v>0</v>
      </c>
      <c r="Z268" s="935">
        <f t="shared" si="72"/>
        <v>0</v>
      </c>
    </row>
    <row r="269" spans="1:26">
      <c r="A269" s="984" t="s">
        <v>2058</v>
      </c>
      <c r="B269" s="991" t="s">
        <v>2059</v>
      </c>
      <c r="C269" s="897">
        <v>22687</v>
      </c>
      <c r="D269" s="897"/>
      <c r="E269" s="937">
        <v>0</v>
      </c>
      <c r="F269" s="897">
        <v>0</v>
      </c>
      <c r="G269" s="897">
        <v>0</v>
      </c>
      <c r="H269" s="897">
        <v>0</v>
      </c>
      <c r="I269" s="897">
        <v>6594</v>
      </c>
      <c r="J269" s="897">
        <v>0</v>
      </c>
      <c r="K269" s="897"/>
      <c r="L269" s="897"/>
      <c r="M269" s="897"/>
      <c r="N269" s="897"/>
      <c r="O269" s="897"/>
      <c r="P269" s="897">
        <f t="shared" si="82"/>
        <v>6594</v>
      </c>
      <c r="Q269" s="898">
        <f t="shared" si="68"/>
        <v>16093</v>
      </c>
      <c r="R269" s="936"/>
      <c r="S269" s="935">
        <f t="shared" si="80"/>
        <v>0</v>
      </c>
      <c r="T269" s="935">
        <f t="shared" si="80"/>
        <v>0</v>
      </c>
      <c r="U269" s="935">
        <f t="shared" si="80"/>
        <v>0</v>
      </c>
      <c r="V269" s="935">
        <f t="shared" si="80"/>
        <v>0</v>
      </c>
      <c r="W269" s="935">
        <f t="shared" si="80"/>
        <v>0</v>
      </c>
      <c r="X269" s="935">
        <f t="shared" si="80"/>
        <v>0</v>
      </c>
      <c r="Y269" s="935">
        <f t="shared" si="71"/>
        <v>0</v>
      </c>
      <c r="Z269" s="935">
        <f t="shared" si="72"/>
        <v>16093</v>
      </c>
    </row>
    <row r="270" spans="1:26">
      <c r="A270" s="984" t="s">
        <v>2060</v>
      </c>
      <c r="B270" s="991" t="s">
        <v>2061</v>
      </c>
      <c r="C270" s="897">
        <v>11050</v>
      </c>
      <c r="D270" s="897"/>
      <c r="E270" s="937">
        <v>3682</v>
      </c>
      <c r="F270" s="897">
        <v>3682</v>
      </c>
      <c r="G270" s="897">
        <v>3682</v>
      </c>
      <c r="H270" s="897">
        <v>3682</v>
      </c>
      <c r="I270" s="897">
        <v>3682</v>
      </c>
      <c r="J270" s="897">
        <v>3682</v>
      </c>
      <c r="K270" s="897"/>
      <c r="L270" s="897"/>
      <c r="M270" s="897"/>
      <c r="N270" s="897"/>
      <c r="O270" s="897"/>
      <c r="P270" s="897">
        <f t="shared" si="82"/>
        <v>22092</v>
      </c>
      <c r="Q270" s="898">
        <f t="shared" si="68"/>
        <v>-11042</v>
      </c>
      <c r="R270" s="936">
        <f>P270/5</f>
        <v>4418.3999999999996</v>
      </c>
      <c r="S270" s="935">
        <f t="shared" si="80"/>
        <v>4418.3999999999996</v>
      </c>
      <c r="T270" s="935">
        <f t="shared" si="80"/>
        <v>4418.3999999999996</v>
      </c>
      <c r="U270" s="935">
        <f t="shared" si="80"/>
        <v>4418.3999999999996</v>
      </c>
      <c r="V270" s="935">
        <f t="shared" si="80"/>
        <v>4418.3999999999996</v>
      </c>
      <c r="W270" s="935">
        <f t="shared" si="80"/>
        <v>4418.3999999999996</v>
      </c>
      <c r="X270" s="935">
        <f t="shared" si="80"/>
        <v>4418.3999999999996</v>
      </c>
      <c r="Y270" s="935">
        <f t="shared" si="71"/>
        <v>30928.800000000003</v>
      </c>
      <c r="Z270" s="935">
        <f t="shared" si="72"/>
        <v>-41970.8</v>
      </c>
    </row>
    <row r="271" spans="1:26" hidden="1">
      <c r="A271" s="986" t="s">
        <v>2062</v>
      </c>
      <c r="B271" s="991" t="s">
        <v>2063</v>
      </c>
      <c r="C271" s="897"/>
      <c r="D271" s="897"/>
      <c r="E271" s="937"/>
      <c r="F271" s="897"/>
      <c r="G271" s="897"/>
      <c r="H271" s="897"/>
      <c r="I271" s="897"/>
      <c r="J271" s="897"/>
      <c r="K271" s="897"/>
      <c r="L271" s="897"/>
      <c r="M271" s="897"/>
      <c r="N271" s="897"/>
      <c r="O271" s="897"/>
      <c r="P271" s="897">
        <f t="shared" si="82"/>
        <v>0</v>
      </c>
      <c r="Q271" s="898">
        <f t="shared" si="68"/>
        <v>0</v>
      </c>
      <c r="R271" s="936">
        <f t="shared" ref="R271:R277" si="83">Q271/7</f>
        <v>0</v>
      </c>
      <c r="S271" s="935">
        <f t="shared" si="80"/>
        <v>0</v>
      </c>
      <c r="T271" s="935">
        <f t="shared" si="80"/>
        <v>0</v>
      </c>
      <c r="U271" s="935">
        <f t="shared" si="80"/>
        <v>0</v>
      </c>
      <c r="V271" s="935">
        <f t="shared" si="80"/>
        <v>0</v>
      </c>
      <c r="W271" s="935">
        <f t="shared" si="80"/>
        <v>0</v>
      </c>
      <c r="X271" s="935">
        <f t="shared" si="80"/>
        <v>0</v>
      </c>
      <c r="Y271" s="935">
        <f t="shared" si="71"/>
        <v>0</v>
      </c>
      <c r="Z271" s="935">
        <f t="shared" si="72"/>
        <v>0</v>
      </c>
    </row>
    <row r="272" spans="1:26" hidden="1">
      <c r="A272" s="986" t="s">
        <v>2064</v>
      </c>
      <c r="B272" s="991" t="s">
        <v>2065</v>
      </c>
      <c r="C272" s="897"/>
      <c r="D272" s="897"/>
      <c r="E272" s="937"/>
      <c r="F272" s="897"/>
      <c r="G272" s="897"/>
      <c r="H272" s="897"/>
      <c r="I272" s="897"/>
      <c r="J272" s="897"/>
      <c r="K272" s="897"/>
      <c r="L272" s="897"/>
      <c r="M272" s="897"/>
      <c r="N272" s="897"/>
      <c r="O272" s="897"/>
      <c r="P272" s="897">
        <f t="shared" si="82"/>
        <v>0</v>
      </c>
      <c r="Q272" s="898">
        <f t="shared" si="68"/>
        <v>0</v>
      </c>
      <c r="R272" s="936">
        <f t="shared" si="83"/>
        <v>0</v>
      </c>
      <c r="S272" s="935">
        <f t="shared" si="80"/>
        <v>0</v>
      </c>
      <c r="T272" s="935">
        <f t="shared" si="80"/>
        <v>0</v>
      </c>
      <c r="U272" s="935">
        <f t="shared" si="80"/>
        <v>0</v>
      </c>
      <c r="V272" s="935">
        <f t="shared" si="80"/>
        <v>0</v>
      </c>
      <c r="W272" s="935">
        <f t="shared" si="80"/>
        <v>0</v>
      </c>
      <c r="X272" s="935">
        <f t="shared" si="80"/>
        <v>0</v>
      </c>
      <c r="Y272" s="935">
        <f t="shared" si="71"/>
        <v>0</v>
      </c>
      <c r="Z272" s="935">
        <f t="shared" si="72"/>
        <v>0</v>
      </c>
    </row>
    <row r="273" spans="1:26" hidden="1">
      <c r="A273" s="986" t="s">
        <v>2066</v>
      </c>
      <c r="B273" s="991" t="s">
        <v>2067</v>
      </c>
      <c r="C273" s="897"/>
      <c r="D273" s="897"/>
      <c r="E273" s="937"/>
      <c r="F273" s="897"/>
      <c r="G273" s="897"/>
      <c r="H273" s="897"/>
      <c r="I273" s="897"/>
      <c r="J273" s="897"/>
      <c r="K273" s="897"/>
      <c r="L273" s="897"/>
      <c r="M273" s="897"/>
      <c r="N273" s="897"/>
      <c r="O273" s="897"/>
      <c r="P273" s="897">
        <f t="shared" si="82"/>
        <v>0</v>
      </c>
      <c r="Q273" s="898">
        <f t="shared" si="68"/>
        <v>0</v>
      </c>
      <c r="R273" s="936">
        <f t="shared" si="83"/>
        <v>0</v>
      </c>
      <c r="S273" s="935">
        <f t="shared" si="80"/>
        <v>0</v>
      </c>
      <c r="T273" s="935">
        <f t="shared" si="80"/>
        <v>0</v>
      </c>
      <c r="U273" s="935">
        <f t="shared" si="80"/>
        <v>0</v>
      </c>
      <c r="V273" s="935">
        <f t="shared" si="80"/>
        <v>0</v>
      </c>
      <c r="W273" s="935">
        <f t="shared" si="80"/>
        <v>0</v>
      </c>
      <c r="X273" s="935">
        <f t="shared" si="80"/>
        <v>0</v>
      </c>
      <c r="Y273" s="935">
        <f t="shared" si="71"/>
        <v>0</v>
      </c>
      <c r="Z273" s="935">
        <f t="shared" si="72"/>
        <v>0</v>
      </c>
    </row>
    <row r="274" spans="1:26" hidden="1">
      <c r="A274" s="986" t="s">
        <v>2068</v>
      </c>
      <c r="B274" s="991" t="s">
        <v>2069</v>
      </c>
      <c r="C274" s="897"/>
      <c r="D274" s="897"/>
      <c r="E274" s="937"/>
      <c r="F274" s="897"/>
      <c r="G274" s="897"/>
      <c r="H274" s="897"/>
      <c r="I274" s="897"/>
      <c r="J274" s="897"/>
      <c r="K274" s="897"/>
      <c r="L274" s="897"/>
      <c r="M274" s="897"/>
      <c r="N274" s="897"/>
      <c r="O274" s="897"/>
      <c r="P274" s="897">
        <f t="shared" si="82"/>
        <v>0</v>
      </c>
      <c r="Q274" s="898">
        <f t="shared" si="68"/>
        <v>0</v>
      </c>
      <c r="R274" s="936">
        <f t="shared" si="83"/>
        <v>0</v>
      </c>
      <c r="S274" s="935">
        <f t="shared" si="80"/>
        <v>0</v>
      </c>
      <c r="T274" s="935">
        <f t="shared" si="80"/>
        <v>0</v>
      </c>
      <c r="U274" s="935">
        <f t="shared" si="80"/>
        <v>0</v>
      </c>
      <c r="V274" s="935">
        <f t="shared" si="80"/>
        <v>0</v>
      </c>
      <c r="W274" s="935">
        <f t="shared" si="80"/>
        <v>0</v>
      </c>
      <c r="X274" s="935">
        <f t="shared" si="80"/>
        <v>0</v>
      </c>
      <c r="Y274" s="935">
        <f t="shared" si="71"/>
        <v>0</v>
      </c>
      <c r="Z274" s="935">
        <f t="shared" si="72"/>
        <v>0</v>
      </c>
    </row>
    <row r="275" spans="1:26" hidden="1">
      <c r="A275" s="986" t="s">
        <v>2070</v>
      </c>
      <c r="B275" s="991" t="s">
        <v>2071</v>
      </c>
      <c r="C275" s="897"/>
      <c r="D275" s="897"/>
      <c r="E275" s="937"/>
      <c r="F275" s="897"/>
      <c r="G275" s="897"/>
      <c r="H275" s="897"/>
      <c r="I275" s="897"/>
      <c r="J275" s="897"/>
      <c r="K275" s="897"/>
      <c r="L275" s="897"/>
      <c r="M275" s="897"/>
      <c r="N275" s="897"/>
      <c r="O275" s="897"/>
      <c r="P275" s="897">
        <f t="shared" si="82"/>
        <v>0</v>
      </c>
      <c r="Q275" s="898">
        <f t="shared" si="68"/>
        <v>0</v>
      </c>
      <c r="R275" s="936">
        <f t="shared" si="83"/>
        <v>0</v>
      </c>
      <c r="S275" s="935">
        <f t="shared" ref="S275:X290" si="84">R275</f>
        <v>0</v>
      </c>
      <c r="T275" s="935">
        <f t="shared" si="84"/>
        <v>0</v>
      </c>
      <c r="U275" s="935">
        <f t="shared" si="84"/>
        <v>0</v>
      </c>
      <c r="V275" s="935">
        <f t="shared" si="84"/>
        <v>0</v>
      </c>
      <c r="W275" s="935">
        <f t="shared" si="84"/>
        <v>0</v>
      </c>
      <c r="X275" s="935">
        <f t="shared" si="84"/>
        <v>0</v>
      </c>
      <c r="Y275" s="935">
        <f t="shared" si="71"/>
        <v>0</v>
      </c>
      <c r="Z275" s="935">
        <f t="shared" si="72"/>
        <v>0</v>
      </c>
    </row>
    <row r="276" spans="1:26" hidden="1">
      <c r="A276" s="986" t="s">
        <v>2072</v>
      </c>
      <c r="B276" s="991" t="s">
        <v>2073</v>
      </c>
      <c r="C276" s="897"/>
      <c r="D276" s="897"/>
      <c r="E276" s="937"/>
      <c r="F276" s="897"/>
      <c r="G276" s="897"/>
      <c r="H276" s="897"/>
      <c r="I276" s="897"/>
      <c r="J276" s="897"/>
      <c r="K276" s="897"/>
      <c r="L276" s="897"/>
      <c r="M276" s="897"/>
      <c r="N276" s="897"/>
      <c r="O276" s="897"/>
      <c r="P276" s="897">
        <f t="shared" si="82"/>
        <v>0</v>
      </c>
      <c r="Q276" s="898">
        <f t="shared" si="68"/>
        <v>0</v>
      </c>
      <c r="R276" s="936">
        <f t="shared" si="83"/>
        <v>0</v>
      </c>
      <c r="S276" s="935">
        <f t="shared" si="84"/>
        <v>0</v>
      </c>
      <c r="T276" s="935">
        <f t="shared" si="84"/>
        <v>0</v>
      </c>
      <c r="U276" s="935">
        <f t="shared" si="84"/>
        <v>0</v>
      </c>
      <c r="V276" s="935">
        <f t="shared" si="84"/>
        <v>0</v>
      </c>
      <c r="W276" s="935">
        <f t="shared" si="84"/>
        <v>0</v>
      </c>
      <c r="X276" s="935">
        <f t="shared" si="84"/>
        <v>0</v>
      </c>
      <c r="Y276" s="935">
        <f t="shared" si="71"/>
        <v>0</v>
      </c>
      <c r="Z276" s="935">
        <f t="shared" si="72"/>
        <v>0</v>
      </c>
    </row>
    <row r="277" spans="1:26" hidden="1">
      <c r="A277" s="986" t="s">
        <v>2074</v>
      </c>
      <c r="B277" s="991" t="s">
        <v>2075</v>
      </c>
      <c r="C277" s="897"/>
      <c r="D277" s="897"/>
      <c r="E277" s="937"/>
      <c r="F277" s="897"/>
      <c r="G277" s="897"/>
      <c r="H277" s="897"/>
      <c r="I277" s="897"/>
      <c r="J277" s="897"/>
      <c r="K277" s="897"/>
      <c r="L277" s="897"/>
      <c r="M277" s="897"/>
      <c r="N277" s="897"/>
      <c r="O277" s="897"/>
      <c r="P277" s="897">
        <f t="shared" si="82"/>
        <v>0</v>
      </c>
      <c r="Q277" s="898">
        <f t="shared" si="68"/>
        <v>0</v>
      </c>
      <c r="R277" s="936">
        <f t="shared" si="83"/>
        <v>0</v>
      </c>
      <c r="S277" s="935">
        <f t="shared" si="84"/>
        <v>0</v>
      </c>
      <c r="T277" s="935">
        <f t="shared" si="84"/>
        <v>0</v>
      </c>
      <c r="U277" s="935">
        <f t="shared" si="84"/>
        <v>0</v>
      </c>
      <c r="V277" s="935">
        <f t="shared" si="84"/>
        <v>0</v>
      </c>
      <c r="W277" s="935">
        <f t="shared" si="84"/>
        <v>0</v>
      </c>
      <c r="X277" s="935">
        <f t="shared" si="84"/>
        <v>0</v>
      </c>
      <c r="Y277" s="935">
        <f t="shared" si="71"/>
        <v>0</v>
      </c>
      <c r="Z277" s="935">
        <f t="shared" si="72"/>
        <v>0</v>
      </c>
    </row>
    <row r="278" spans="1:26">
      <c r="A278" s="984" t="s">
        <v>2076</v>
      </c>
      <c r="B278" s="991" t="s">
        <v>2077</v>
      </c>
      <c r="C278" s="897">
        <v>6750</v>
      </c>
      <c r="D278" s="897"/>
      <c r="E278" s="937"/>
      <c r="F278" s="897"/>
      <c r="G278" s="897"/>
      <c r="H278" s="897"/>
      <c r="I278" s="897"/>
      <c r="J278" s="897"/>
      <c r="K278" s="897"/>
      <c r="L278" s="897"/>
      <c r="M278" s="897"/>
      <c r="N278" s="897"/>
      <c r="O278" s="897"/>
      <c r="P278" s="897">
        <f t="shared" si="82"/>
        <v>0</v>
      </c>
      <c r="Q278" s="898">
        <f t="shared" si="68"/>
        <v>6750</v>
      </c>
      <c r="R278" s="936"/>
      <c r="S278" s="935">
        <f t="shared" si="84"/>
        <v>0</v>
      </c>
      <c r="T278" s="935">
        <f t="shared" si="84"/>
        <v>0</v>
      </c>
      <c r="U278" s="935">
        <f t="shared" si="84"/>
        <v>0</v>
      </c>
      <c r="V278" s="935">
        <f t="shared" si="84"/>
        <v>0</v>
      </c>
      <c r="W278" s="935">
        <f t="shared" si="84"/>
        <v>0</v>
      </c>
      <c r="X278" s="935">
        <f t="shared" si="84"/>
        <v>0</v>
      </c>
      <c r="Y278" s="935">
        <f t="shared" si="71"/>
        <v>0</v>
      </c>
      <c r="Z278" s="935">
        <f t="shared" si="72"/>
        <v>6750</v>
      </c>
    </row>
    <row r="279" spans="1:26" ht="13.5">
      <c r="A279" s="1140">
        <v>643</v>
      </c>
      <c r="B279" s="1141" t="s">
        <v>2078</v>
      </c>
      <c r="C279" s="1142">
        <f>C281+C285+C286+C289+C292</f>
        <v>2201584</v>
      </c>
      <c r="D279" s="1142"/>
      <c r="E279" s="1143">
        <f t="shared" ref="E279:O279" si="85">E281+E285+E286+E289+E292</f>
        <v>687731</v>
      </c>
      <c r="F279" s="1142">
        <f t="shared" si="85"/>
        <v>684186</v>
      </c>
      <c r="G279" s="1142">
        <f t="shared" si="85"/>
        <v>741579</v>
      </c>
      <c r="H279" s="1142">
        <f t="shared" si="85"/>
        <v>681710</v>
      </c>
      <c r="I279" s="1142">
        <f t="shared" si="85"/>
        <v>688283</v>
      </c>
      <c r="J279" s="1142">
        <f t="shared" si="85"/>
        <v>717459</v>
      </c>
      <c r="K279" s="1142">
        <f t="shared" si="85"/>
        <v>0</v>
      </c>
      <c r="L279" s="1142">
        <f t="shared" si="85"/>
        <v>0</v>
      </c>
      <c r="M279" s="1142">
        <f t="shared" si="85"/>
        <v>0</v>
      </c>
      <c r="N279" s="1142">
        <f t="shared" si="85"/>
        <v>0</v>
      </c>
      <c r="O279" s="1142">
        <f t="shared" si="85"/>
        <v>0</v>
      </c>
      <c r="P279" s="1142">
        <f>SUM(E279:N279)</f>
        <v>4200948</v>
      </c>
      <c r="Q279" s="1144">
        <f t="shared" si="68"/>
        <v>-1999364</v>
      </c>
      <c r="R279" s="988">
        <f>R281+R285+R286+R289+R292</f>
        <v>840189.6</v>
      </c>
      <c r="S279" s="959">
        <f t="shared" si="84"/>
        <v>840189.6</v>
      </c>
      <c r="T279" s="959">
        <f t="shared" si="84"/>
        <v>840189.6</v>
      </c>
      <c r="U279" s="959">
        <f t="shared" si="84"/>
        <v>840189.6</v>
      </c>
      <c r="V279" s="959">
        <f t="shared" si="84"/>
        <v>840189.6</v>
      </c>
      <c r="W279" s="959">
        <f t="shared" si="84"/>
        <v>840189.6</v>
      </c>
      <c r="X279" s="959">
        <f t="shared" si="84"/>
        <v>840189.6</v>
      </c>
      <c r="Y279" s="959">
        <f t="shared" si="71"/>
        <v>5881327.1999999993</v>
      </c>
      <c r="Z279" s="959">
        <f t="shared" si="72"/>
        <v>-7880691.1999999993</v>
      </c>
    </row>
    <row r="280" spans="1:26">
      <c r="A280" s="984">
        <v>6431</v>
      </c>
      <c r="B280" s="991" t="s">
        <v>2079</v>
      </c>
      <c r="C280" s="897">
        <v>0</v>
      </c>
      <c r="D280" s="897"/>
      <c r="E280" s="937">
        <f>C280/12</f>
        <v>0</v>
      </c>
      <c r="F280" s="897">
        <f t="shared" ref="F280:M280" si="86">E280/12</f>
        <v>0</v>
      </c>
      <c r="G280" s="897">
        <f t="shared" si="86"/>
        <v>0</v>
      </c>
      <c r="H280" s="897">
        <f t="shared" si="86"/>
        <v>0</v>
      </c>
      <c r="I280" s="897">
        <f t="shared" si="86"/>
        <v>0</v>
      </c>
      <c r="J280" s="897">
        <f t="shared" si="86"/>
        <v>0</v>
      </c>
      <c r="K280" s="897">
        <f t="shared" si="86"/>
        <v>0</v>
      </c>
      <c r="L280" s="897">
        <f t="shared" si="86"/>
        <v>0</v>
      </c>
      <c r="M280" s="897">
        <f t="shared" si="86"/>
        <v>0</v>
      </c>
      <c r="N280" s="897"/>
      <c r="O280" s="897"/>
      <c r="P280" s="897">
        <f>SUM(E280:N280)</f>
        <v>0</v>
      </c>
      <c r="Q280" s="898">
        <f t="shared" si="68"/>
        <v>0</v>
      </c>
      <c r="R280" s="936">
        <f>Q280/7</f>
        <v>0</v>
      </c>
      <c r="S280" s="935">
        <f t="shared" si="84"/>
        <v>0</v>
      </c>
      <c r="T280" s="935">
        <f t="shared" si="84"/>
        <v>0</v>
      </c>
      <c r="U280" s="935">
        <f t="shared" si="84"/>
        <v>0</v>
      </c>
      <c r="V280" s="935">
        <f t="shared" si="84"/>
        <v>0</v>
      </c>
      <c r="W280" s="935">
        <f t="shared" si="84"/>
        <v>0</v>
      </c>
      <c r="X280" s="935">
        <f t="shared" si="84"/>
        <v>0</v>
      </c>
      <c r="Y280" s="935">
        <f t="shared" si="71"/>
        <v>0</v>
      </c>
      <c r="Z280" s="935">
        <f t="shared" si="72"/>
        <v>0</v>
      </c>
    </row>
    <row r="281" spans="1:26">
      <c r="A281" s="984">
        <v>6432</v>
      </c>
      <c r="B281" s="991" t="s">
        <v>1126</v>
      </c>
      <c r="C281" s="897">
        <v>752273</v>
      </c>
      <c r="D281" s="897"/>
      <c r="E281" s="937">
        <v>191062</v>
      </c>
      <c r="F281" s="897">
        <v>175477</v>
      </c>
      <c r="G281" s="897">
        <v>214478</v>
      </c>
      <c r="H281" s="897">
        <v>175614</v>
      </c>
      <c r="I281" s="897">
        <v>175424</v>
      </c>
      <c r="J281" s="897">
        <v>193530</v>
      </c>
      <c r="K281" s="897"/>
      <c r="L281" s="897"/>
      <c r="M281" s="897"/>
      <c r="N281" s="897"/>
      <c r="O281" s="897"/>
      <c r="P281" s="897">
        <f t="shared" ref="P281:P292" si="87">SUM(E281:N281)</f>
        <v>1125585</v>
      </c>
      <c r="Q281" s="898">
        <f t="shared" si="68"/>
        <v>-373312</v>
      </c>
      <c r="R281" s="936">
        <f>P281/5</f>
        <v>225117</v>
      </c>
      <c r="S281" s="935">
        <f t="shared" si="84"/>
        <v>225117</v>
      </c>
      <c r="T281" s="935">
        <f t="shared" si="84"/>
        <v>225117</v>
      </c>
      <c r="U281" s="935">
        <f t="shared" si="84"/>
        <v>225117</v>
      </c>
      <c r="V281" s="935">
        <f t="shared" si="84"/>
        <v>225117</v>
      </c>
      <c r="W281" s="935">
        <f t="shared" si="84"/>
        <v>225117</v>
      </c>
      <c r="X281" s="935">
        <f t="shared" si="84"/>
        <v>225117</v>
      </c>
      <c r="Y281" s="935">
        <f t="shared" si="71"/>
        <v>1575819</v>
      </c>
      <c r="Z281" s="935">
        <f t="shared" si="72"/>
        <v>-1949131</v>
      </c>
    </row>
    <row r="282" spans="1:26" hidden="1">
      <c r="A282" s="986">
        <v>64321</v>
      </c>
      <c r="B282" s="993" t="s">
        <v>2080</v>
      </c>
      <c r="C282" s="897"/>
      <c r="D282" s="897"/>
      <c r="E282" s="937"/>
      <c r="F282" s="897"/>
      <c r="G282" s="897"/>
      <c r="H282" s="897"/>
      <c r="I282" s="897"/>
      <c r="J282" s="897"/>
      <c r="K282" s="897"/>
      <c r="L282" s="897"/>
      <c r="M282" s="897"/>
      <c r="N282" s="897"/>
      <c r="O282" s="897"/>
      <c r="P282" s="897">
        <f t="shared" si="87"/>
        <v>0</v>
      </c>
      <c r="Q282" s="898">
        <f t="shared" si="68"/>
        <v>0</v>
      </c>
      <c r="R282" s="936">
        <f>Q282/7</f>
        <v>0</v>
      </c>
      <c r="S282" s="935">
        <f t="shared" si="84"/>
        <v>0</v>
      </c>
      <c r="T282" s="935">
        <f t="shared" si="84"/>
        <v>0</v>
      </c>
      <c r="U282" s="935">
        <f t="shared" si="84"/>
        <v>0</v>
      </c>
      <c r="V282" s="935">
        <f t="shared" si="84"/>
        <v>0</v>
      </c>
      <c r="W282" s="935">
        <f t="shared" si="84"/>
        <v>0</v>
      </c>
      <c r="X282" s="935">
        <f t="shared" si="84"/>
        <v>0</v>
      </c>
      <c r="Y282" s="935">
        <f t="shared" si="71"/>
        <v>0</v>
      </c>
      <c r="Z282" s="935">
        <f t="shared" si="72"/>
        <v>0</v>
      </c>
    </row>
    <row r="283" spans="1:26" hidden="1">
      <c r="A283" s="986">
        <v>64322</v>
      </c>
      <c r="B283" s="993" t="s">
        <v>2081</v>
      </c>
      <c r="C283" s="897"/>
      <c r="D283" s="897"/>
      <c r="E283" s="937"/>
      <c r="F283" s="897"/>
      <c r="G283" s="897"/>
      <c r="H283" s="897"/>
      <c r="I283" s="897"/>
      <c r="J283" s="897"/>
      <c r="K283" s="897"/>
      <c r="L283" s="897"/>
      <c r="M283" s="897"/>
      <c r="N283" s="897"/>
      <c r="O283" s="897"/>
      <c r="P283" s="897">
        <f t="shared" si="87"/>
        <v>0</v>
      </c>
      <c r="Q283" s="898">
        <f t="shared" si="68"/>
        <v>0</v>
      </c>
      <c r="R283" s="936">
        <f>Q283/7</f>
        <v>0</v>
      </c>
      <c r="S283" s="935">
        <f t="shared" si="84"/>
        <v>0</v>
      </c>
      <c r="T283" s="935">
        <f t="shared" si="84"/>
        <v>0</v>
      </c>
      <c r="U283" s="935">
        <f t="shared" si="84"/>
        <v>0</v>
      </c>
      <c r="V283" s="935">
        <f t="shared" si="84"/>
        <v>0</v>
      </c>
      <c r="W283" s="935">
        <f t="shared" si="84"/>
        <v>0</v>
      </c>
      <c r="X283" s="935">
        <f t="shared" si="84"/>
        <v>0</v>
      </c>
      <c r="Y283" s="935">
        <f t="shared" si="71"/>
        <v>0</v>
      </c>
      <c r="Z283" s="935">
        <f t="shared" si="72"/>
        <v>0</v>
      </c>
    </row>
    <row r="284" spans="1:26" hidden="1">
      <c r="A284" s="986">
        <v>64323</v>
      </c>
      <c r="B284" s="993" t="s">
        <v>2082</v>
      </c>
      <c r="C284" s="897"/>
      <c r="D284" s="897"/>
      <c r="E284" s="937"/>
      <c r="F284" s="897"/>
      <c r="G284" s="897"/>
      <c r="H284" s="897"/>
      <c r="I284" s="897"/>
      <c r="J284" s="897"/>
      <c r="K284" s="897"/>
      <c r="L284" s="897"/>
      <c r="M284" s="897"/>
      <c r="N284" s="897"/>
      <c r="O284" s="897"/>
      <c r="P284" s="897">
        <f t="shared" si="87"/>
        <v>0</v>
      </c>
      <c r="Q284" s="898">
        <f t="shared" si="68"/>
        <v>0</v>
      </c>
      <c r="R284" s="936">
        <f>Q284/7</f>
        <v>0</v>
      </c>
      <c r="S284" s="935">
        <f t="shared" si="84"/>
        <v>0</v>
      </c>
      <c r="T284" s="935">
        <f t="shared" si="84"/>
        <v>0</v>
      </c>
      <c r="U284" s="935">
        <f t="shared" si="84"/>
        <v>0</v>
      </c>
      <c r="V284" s="935">
        <f t="shared" si="84"/>
        <v>0</v>
      </c>
      <c r="W284" s="935">
        <f t="shared" si="84"/>
        <v>0</v>
      </c>
      <c r="X284" s="935">
        <f t="shared" si="84"/>
        <v>0</v>
      </c>
      <c r="Y284" s="935">
        <f t="shared" si="71"/>
        <v>0</v>
      </c>
      <c r="Z284" s="935">
        <f t="shared" si="72"/>
        <v>0</v>
      </c>
    </row>
    <row r="285" spans="1:26" hidden="1">
      <c r="A285" s="986">
        <v>64323</v>
      </c>
      <c r="B285" s="993" t="s">
        <v>2004</v>
      </c>
      <c r="C285" s="897"/>
      <c r="D285" s="897"/>
      <c r="E285" s="937"/>
      <c r="F285" s="897"/>
      <c r="G285" s="897"/>
      <c r="H285" s="897"/>
      <c r="I285" s="897"/>
      <c r="J285" s="897"/>
      <c r="K285" s="897"/>
      <c r="L285" s="897"/>
      <c r="M285" s="897"/>
      <c r="N285" s="897"/>
      <c r="O285" s="897"/>
      <c r="P285" s="897">
        <f t="shared" si="87"/>
        <v>0</v>
      </c>
      <c r="Q285" s="898">
        <f t="shared" ref="Q285:Q354" si="88">C285-P285</f>
        <v>0</v>
      </c>
      <c r="R285" s="936"/>
      <c r="S285" s="935">
        <f t="shared" si="84"/>
        <v>0</v>
      </c>
      <c r="T285" s="935">
        <f t="shared" si="84"/>
        <v>0</v>
      </c>
      <c r="U285" s="935">
        <f t="shared" si="84"/>
        <v>0</v>
      </c>
      <c r="V285" s="935">
        <f t="shared" si="84"/>
        <v>0</v>
      </c>
      <c r="W285" s="935">
        <f t="shared" si="84"/>
        <v>0</v>
      </c>
      <c r="X285" s="935">
        <f t="shared" si="84"/>
        <v>0</v>
      </c>
      <c r="Y285" s="935">
        <f t="shared" si="71"/>
        <v>0</v>
      </c>
      <c r="Z285" s="935">
        <f t="shared" si="72"/>
        <v>0</v>
      </c>
    </row>
    <row r="286" spans="1:26">
      <c r="A286" s="984">
        <v>6433</v>
      </c>
      <c r="B286" s="1000" t="s">
        <v>2083</v>
      </c>
      <c r="C286" s="897">
        <v>1045594</v>
      </c>
      <c r="D286" s="897"/>
      <c r="E286" s="937">
        <v>354265</v>
      </c>
      <c r="F286" s="897">
        <v>365790</v>
      </c>
      <c r="G286" s="897">
        <v>382063</v>
      </c>
      <c r="H286" s="897">
        <v>361298</v>
      </c>
      <c r="I286" s="897">
        <v>368228</v>
      </c>
      <c r="J286" s="897">
        <v>378272</v>
      </c>
      <c r="K286" s="897"/>
      <c r="L286" s="897"/>
      <c r="M286" s="897"/>
      <c r="N286" s="897"/>
      <c r="O286" s="897"/>
      <c r="P286" s="897">
        <f t="shared" si="87"/>
        <v>2209916</v>
      </c>
      <c r="Q286" s="898">
        <f t="shared" si="88"/>
        <v>-1164322</v>
      </c>
      <c r="R286" s="936">
        <f>P286/5</f>
        <v>441983.2</v>
      </c>
      <c r="S286" s="935">
        <f t="shared" si="84"/>
        <v>441983.2</v>
      </c>
      <c r="T286" s="935">
        <f t="shared" si="84"/>
        <v>441983.2</v>
      </c>
      <c r="U286" s="935">
        <f t="shared" si="84"/>
        <v>441983.2</v>
      </c>
      <c r="V286" s="935">
        <f t="shared" si="84"/>
        <v>441983.2</v>
      </c>
      <c r="W286" s="935">
        <f t="shared" si="84"/>
        <v>441983.2</v>
      </c>
      <c r="X286" s="935">
        <f t="shared" si="84"/>
        <v>441983.2</v>
      </c>
      <c r="Y286" s="935">
        <f t="shared" si="71"/>
        <v>3093882.4000000004</v>
      </c>
      <c r="Z286" s="935">
        <f t="shared" si="72"/>
        <v>-4258204.4000000004</v>
      </c>
    </row>
    <row r="287" spans="1:26" hidden="1">
      <c r="A287" s="986">
        <v>64331</v>
      </c>
      <c r="B287" s="1001" t="s">
        <v>2084</v>
      </c>
      <c r="C287" s="897"/>
      <c r="D287" s="897"/>
      <c r="E287" s="937"/>
      <c r="F287" s="897"/>
      <c r="G287" s="897"/>
      <c r="H287" s="897"/>
      <c r="I287" s="897"/>
      <c r="J287" s="897"/>
      <c r="K287" s="897"/>
      <c r="L287" s="897"/>
      <c r="M287" s="897"/>
      <c r="N287" s="897"/>
      <c r="O287" s="897"/>
      <c r="P287" s="897">
        <f t="shared" si="87"/>
        <v>0</v>
      </c>
      <c r="Q287" s="898">
        <f t="shared" si="88"/>
        <v>0</v>
      </c>
      <c r="R287" s="936"/>
      <c r="S287" s="935">
        <f t="shared" si="84"/>
        <v>0</v>
      </c>
      <c r="T287" s="935">
        <f t="shared" si="84"/>
        <v>0</v>
      </c>
      <c r="U287" s="935">
        <f t="shared" si="84"/>
        <v>0</v>
      </c>
      <c r="V287" s="935">
        <f t="shared" si="84"/>
        <v>0</v>
      </c>
      <c r="W287" s="935">
        <f t="shared" si="84"/>
        <v>0</v>
      </c>
      <c r="X287" s="935">
        <f t="shared" si="84"/>
        <v>0</v>
      </c>
      <c r="Y287" s="935">
        <f t="shared" si="71"/>
        <v>0</v>
      </c>
      <c r="Z287" s="935">
        <f t="shared" si="72"/>
        <v>0</v>
      </c>
    </row>
    <row r="288" spans="1:26" hidden="1">
      <c r="A288" s="986">
        <v>64339</v>
      </c>
      <c r="B288" s="1001" t="s">
        <v>2085</v>
      </c>
      <c r="C288" s="897"/>
      <c r="D288" s="897"/>
      <c r="E288" s="937"/>
      <c r="F288" s="897"/>
      <c r="G288" s="897"/>
      <c r="H288" s="897"/>
      <c r="I288" s="897"/>
      <c r="J288" s="897"/>
      <c r="K288" s="897"/>
      <c r="L288" s="897"/>
      <c r="M288" s="897"/>
      <c r="N288" s="897"/>
      <c r="O288" s="897"/>
      <c r="P288" s="897">
        <f t="shared" si="87"/>
        <v>0</v>
      </c>
      <c r="Q288" s="898">
        <f t="shared" si="88"/>
        <v>0</v>
      </c>
      <c r="R288" s="936"/>
      <c r="S288" s="935">
        <f t="shared" si="84"/>
        <v>0</v>
      </c>
      <c r="T288" s="935">
        <f t="shared" si="84"/>
        <v>0</v>
      </c>
      <c r="U288" s="935">
        <f t="shared" si="84"/>
        <v>0</v>
      </c>
      <c r="V288" s="935">
        <f t="shared" si="84"/>
        <v>0</v>
      </c>
      <c r="W288" s="935">
        <f t="shared" si="84"/>
        <v>0</v>
      </c>
      <c r="X288" s="935">
        <f t="shared" si="84"/>
        <v>0</v>
      </c>
      <c r="Y288" s="935">
        <f t="shared" si="71"/>
        <v>0</v>
      </c>
      <c r="Z288" s="935">
        <f t="shared" si="72"/>
        <v>0</v>
      </c>
    </row>
    <row r="289" spans="1:26">
      <c r="A289" s="984">
        <v>6434</v>
      </c>
      <c r="B289" s="1000" t="s">
        <v>2086</v>
      </c>
      <c r="C289" s="897">
        <v>403467</v>
      </c>
      <c r="D289" s="897"/>
      <c r="E289" s="937">
        <v>142404</v>
      </c>
      <c r="F289" s="897">
        <v>142919</v>
      </c>
      <c r="G289" s="897">
        <v>145038</v>
      </c>
      <c r="H289" s="897">
        <v>144798</v>
      </c>
      <c r="I289" s="897">
        <v>144631</v>
      </c>
      <c r="J289" s="897">
        <v>145657</v>
      </c>
      <c r="K289" s="897"/>
      <c r="L289" s="897"/>
      <c r="M289" s="897"/>
      <c r="N289" s="897"/>
      <c r="O289" s="897"/>
      <c r="P289" s="897">
        <f t="shared" si="87"/>
        <v>865447</v>
      </c>
      <c r="Q289" s="898">
        <f t="shared" si="88"/>
        <v>-461980</v>
      </c>
      <c r="R289" s="936">
        <f>P289/5</f>
        <v>173089.4</v>
      </c>
      <c r="S289" s="935">
        <f t="shared" si="84"/>
        <v>173089.4</v>
      </c>
      <c r="T289" s="935">
        <f t="shared" si="84"/>
        <v>173089.4</v>
      </c>
      <c r="U289" s="935">
        <f t="shared" si="84"/>
        <v>173089.4</v>
      </c>
      <c r="V289" s="935">
        <f t="shared" si="84"/>
        <v>173089.4</v>
      </c>
      <c r="W289" s="935">
        <f t="shared" si="84"/>
        <v>173089.4</v>
      </c>
      <c r="X289" s="935">
        <f t="shared" si="84"/>
        <v>173089.4</v>
      </c>
      <c r="Y289" s="935">
        <f t="shared" si="71"/>
        <v>1211625.8</v>
      </c>
      <c r="Z289" s="935">
        <f t="shared" si="72"/>
        <v>-1673605.8</v>
      </c>
    </row>
    <row r="290" spans="1:26" hidden="1">
      <c r="A290" s="986">
        <v>64341</v>
      </c>
      <c r="B290" s="993" t="s">
        <v>2087</v>
      </c>
      <c r="C290" s="897"/>
      <c r="D290" s="897"/>
      <c r="E290" s="937"/>
      <c r="F290" s="897"/>
      <c r="G290" s="897"/>
      <c r="H290" s="897"/>
      <c r="I290" s="897"/>
      <c r="J290" s="897"/>
      <c r="K290" s="897"/>
      <c r="L290" s="897"/>
      <c r="M290" s="897"/>
      <c r="N290" s="897"/>
      <c r="O290" s="897"/>
      <c r="P290" s="897">
        <f t="shared" si="87"/>
        <v>0</v>
      </c>
      <c r="Q290" s="898">
        <f t="shared" si="88"/>
        <v>0</v>
      </c>
      <c r="R290" s="936">
        <f>Q290/7</f>
        <v>0</v>
      </c>
      <c r="S290" s="935">
        <f t="shared" si="84"/>
        <v>0</v>
      </c>
      <c r="T290" s="935">
        <f t="shared" si="84"/>
        <v>0</v>
      </c>
      <c r="U290" s="935">
        <f t="shared" si="84"/>
        <v>0</v>
      </c>
      <c r="V290" s="935">
        <f t="shared" si="84"/>
        <v>0</v>
      </c>
      <c r="W290" s="935">
        <f t="shared" si="84"/>
        <v>0</v>
      </c>
      <c r="X290" s="935">
        <f t="shared" si="84"/>
        <v>0</v>
      </c>
      <c r="Y290" s="935">
        <f t="shared" si="71"/>
        <v>0</v>
      </c>
      <c r="Z290" s="935">
        <f t="shared" si="72"/>
        <v>0</v>
      </c>
    </row>
    <row r="291" spans="1:26" hidden="1">
      <c r="A291" s="986">
        <v>64349</v>
      </c>
      <c r="B291" s="993" t="s">
        <v>2088</v>
      </c>
      <c r="C291" s="897"/>
      <c r="D291" s="897"/>
      <c r="E291" s="937"/>
      <c r="F291" s="897"/>
      <c r="G291" s="897"/>
      <c r="H291" s="897"/>
      <c r="I291" s="897"/>
      <c r="J291" s="897"/>
      <c r="K291" s="897"/>
      <c r="L291" s="897"/>
      <c r="M291" s="897"/>
      <c r="N291" s="897"/>
      <c r="O291" s="897"/>
      <c r="P291" s="897">
        <f t="shared" si="87"/>
        <v>0</v>
      </c>
      <c r="Q291" s="898">
        <f t="shared" si="88"/>
        <v>0</v>
      </c>
      <c r="R291" s="936">
        <f>Q291/7</f>
        <v>0</v>
      </c>
      <c r="S291" s="935">
        <f t="shared" ref="S291:X306" si="89">R291</f>
        <v>0</v>
      </c>
      <c r="T291" s="935">
        <f t="shared" si="89"/>
        <v>0</v>
      </c>
      <c r="U291" s="935">
        <f t="shared" si="89"/>
        <v>0</v>
      </c>
      <c r="V291" s="935">
        <f t="shared" si="89"/>
        <v>0</v>
      </c>
      <c r="W291" s="935">
        <f t="shared" si="89"/>
        <v>0</v>
      </c>
      <c r="X291" s="935">
        <f t="shared" si="89"/>
        <v>0</v>
      </c>
      <c r="Y291" s="935">
        <f t="shared" ref="Y291:Y360" si="90">SUM(R291:X291)</f>
        <v>0</v>
      </c>
      <c r="Z291" s="935">
        <f t="shared" ref="Z291:Z360" si="91">Q291-Y291</f>
        <v>0</v>
      </c>
    </row>
    <row r="292" spans="1:26" hidden="1">
      <c r="A292" s="999">
        <v>6439</v>
      </c>
      <c r="B292" s="998" t="s">
        <v>2089</v>
      </c>
      <c r="C292" s="971">
        <v>250</v>
      </c>
      <c r="D292" s="971"/>
      <c r="E292" s="972">
        <v>0</v>
      </c>
      <c r="F292" s="971">
        <v>0</v>
      </c>
      <c r="G292" s="971">
        <v>0</v>
      </c>
      <c r="H292" s="971"/>
      <c r="I292" s="971"/>
      <c r="J292" s="971"/>
      <c r="K292" s="897"/>
      <c r="L292" s="897"/>
      <c r="M292" s="897"/>
      <c r="N292" s="897"/>
      <c r="O292" s="897"/>
      <c r="P292" s="971">
        <f t="shared" si="87"/>
        <v>0</v>
      </c>
      <c r="Q292" s="970">
        <f t="shared" si="88"/>
        <v>250</v>
      </c>
      <c r="R292" s="936"/>
      <c r="S292" s="935">
        <f t="shared" si="89"/>
        <v>0</v>
      </c>
      <c r="T292" s="935">
        <f t="shared" si="89"/>
        <v>0</v>
      </c>
      <c r="U292" s="935">
        <f t="shared" si="89"/>
        <v>0</v>
      </c>
      <c r="V292" s="935">
        <f t="shared" si="89"/>
        <v>0</v>
      </c>
      <c r="W292" s="935">
        <f t="shared" si="89"/>
        <v>0</v>
      </c>
      <c r="X292" s="935">
        <f t="shared" si="89"/>
        <v>0</v>
      </c>
      <c r="Y292" s="935">
        <f t="shared" si="90"/>
        <v>0</v>
      </c>
      <c r="Z292" s="935">
        <f t="shared" si="91"/>
        <v>250</v>
      </c>
    </row>
    <row r="293" spans="1:26" ht="26.25">
      <c r="A293" s="997">
        <v>645</v>
      </c>
      <c r="B293" s="1139" t="s">
        <v>2090</v>
      </c>
      <c r="C293" s="995">
        <f>C308</f>
        <v>114750</v>
      </c>
      <c r="D293" s="995"/>
      <c r="E293" s="996">
        <f t="shared" ref="E293:O293" si="92">E308</f>
        <v>0</v>
      </c>
      <c r="F293" s="995">
        <f t="shared" si="92"/>
        <v>0</v>
      </c>
      <c r="G293" s="995">
        <f t="shared" si="92"/>
        <v>0</v>
      </c>
      <c r="H293" s="995">
        <f t="shared" si="92"/>
        <v>0</v>
      </c>
      <c r="I293" s="995">
        <f t="shared" si="92"/>
        <v>650</v>
      </c>
      <c r="J293" s="995">
        <f t="shared" si="92"/>
        <v>0</v>
      </c>
      <c r="K293" s="995">
        <f t="shared" si="92"/>
        <v>0</v>
      </c>
      <c r="L293" s="995">
        <f t="shared" si="92"/>
        <v>0</v>
      </c>
      <c r="M293" s="995">
        <f t="shared" si="92"/>
        <v>0</v>
      </c>
      <c r="N293" s="995">
        <f t="shared" si="92"/>
        <v>0</v>
      </c>
      <c r="O293" s="995">
        <f t="shared" si="92"/>
        <v>0</v>
      </c>
      <c r="P293" s="897">
        <f>SUM(E293:N293)</f>
        <v>650</v>
      </c>
      <c r="Q293" s="994">
        <f t="shared" si="88"/>
        <v>114100</v>
      </c>
      <c r="R293" s="960">
        <f>R308</f>
        <v>0</v>
      </c>
      <c r="S293" s="959">
        <f t="shared" si="89"/>
        <v>0</v>
      </c>
      <c r="T293" s="959">
        <f t="shared" si="89"/>
        <v>0</v>
      </c>
      <c r="U293" s="959">
        <f t="shared" si="89"/>
        <v>0</v>
      </c>
      <c r="V293" s="959">
        <f t="shared" si="89"/>
        <v>0</v>
      </c>
      <c r="W293" s="959">
        <f t="shared" si="89"/>
        <v>0</v>
      </c>
      <c r="X293" s="959">
        <f t="shared" si="89"/>
        <v>0</v>
      </c>
      <c r="Y293" s="959">
        <f t="shared" si="90"/>
        <v>0</v>
      </c>
      <c r="Z293" s="959">
        <f t="shared" si="91"/>
        <v>114100</v>
      </c>
    </row>
    <row r="294" spans="1:26" hidden="1">
      <c r="A294" s="984">
        <v>6451</v>
      </c>
      <c r="B294" s="991" t="s">
        <v>2091</v>
      </c>
      <c r="C294" s="897"/>
      <c r="D294" s="897"/>
      <c r="E294" s="937">
        <f t="shared" ref="E294:E307" si="93">C294/12</f>
        <v>0</v>
      </c>
      <c r="F294" s="897">
        <f t="shared" ref="F294:I307" si="94">E294/12</f>
        <v>0</v>
      </c>
      <c r="G294" s="897">
        <f t="shared" si="94"/>
        <v>0</v>
      </c>
      <c r="H294" s="897">
        <f t="shared" si="94"/>
        <v>0</v>
      </c>
      <c r="I294" s="897">
        <f t="shared" si="94"/>
        <v>0</v>
      </c>
      <c r="J294" s="897"/>
      <c r="K294" s="897"/>
      <c r="L294" s="897"/>
      <c r="M294" s="897"/>
      <c r="N294" s="897"/>
      <c r="O294" s="897"/>
      <c r="P294" s="897">
        <f>SUM(E294:N294)</f>
        <v>0</v>
      </c>
      <c r="Q294" s="898">
        <f t="shared" si="88"/>
        <v>0</v>
      </c>
      <c r="R294" s="936">
        <f t="shared" ref="R294:R307" si="95">Q294/7</f>
        <v>0</v>
      </c>
      <c r="S294" s="935">
        <f t="shared" si="89"/>
        <v>0</v>
      </c>
      <c r="T294" s="935">
        <f t="shared" si="89"/>
        <v>0</v>
      </c>
      <c r="U294" s="935">
        <f t="shared" si="89"/>
        <v>0</v>
      </c>
      <c r="V294" s="935">
        <f t="shared" si="89"/>
        <v>0</v>
      </c>
      <c r="W294" s="935">
        <f t="shared" si="89"/>
        <v>0</v>
      </c>
      <c r="X294" s="935">
        <f t="shared" si="89"/>
        <v>0</v>
      </c>
      <c r="Y294" s="935">
        <f t="shared" si="90"/>
        <v>0</v>
      </c>
      <c r="Z294" s="935">
        <f t="shared" si="91"/>
        <v>0</v>
      </c>
    </row>
    <row r="295" spans="1:26" hidden="1">
      <c r="A295" s="986">
        <v>64511</v>
      </c>
      <c r="B295" s="993" t="s">
        <v>2092</v>
      </c>
      <c r="C295" s="897"/>
      <c r="D295" s="897"/>
      <c r="E295" s="937">
        <f t="shared" si="93"/>
        <v>0</v>
      </c>
      <c r="F295" s="897">
        <f t="shared" si="94"/>
        <v>0</v>
      </c>
      <c r="G295" s="897">
        <f t="shared" si="94"/>
        <v>0</v>
      </c>
      <c r="H295" s="897">
        <f t="shared" si="94"/>
        <v>0</v>
      </c>
      <c r="I295" s="897">
        <f t="shared" si="94"/>
        <v>0</v>
      </c>
      <c r="J295" s="897"/>
      <c r="K295" s="897"/>
      <c r="L295" s="897"/>
      <c r="M295" s="897"/>
      <c r="N295" s="897"/>
      <c r="O295" s="897"/>
      <c r="P295" s="897">
        <f t="shared" ref="P295:P319" si="96">SUM(E295:N295)</f>
        <v>0</v>
      </c>
      <c r="Q295" s="898">
        <f t="shared" si="88"/>
        <v>0</v>
      </c>
      <c r="R295" s="936">
        <f t="shared" si="95"/>
        <v>0</v>
      </c>
      <c r="S295" s="935">
        <f t="shared" si="89"/>
        <v>0</v>
      </c>
      <c r="T295" s="935">
        <f t="shared" si="89"/>
        <v>0</v>
      </c>
      <c r="U295" s="935">
        <f t="shared" si="89"/>
        <v>0</v>
      </c>
      <c r="V295" s="935">
        <f t="shared" si="89"/>
        <v>0</v>
      </c>
      <c r="W295" s="935">
        <f t="shared" si="89"/>
        <v>0</v>
      </c>
      <c r="X295" s="935">
        <f t="shared" si="89"/>
        <v>0</v>
      </c>
      <c r="Y295" s="935">
        <f t="shared" si="90"/>
        <v>0</v>
      </c>
      <c r="Z295" s="935">
        <f t="shared" si="91"/>
        <v>0</v>
      </c>
    </row>
    <row r="296" spans="1:26" hidden="1">
      <c r="A296" s="986">
        <v>64512</v>
      </c>
      <c r="B296" s="993" t="s">
        <v>209</v>
      </c>
      <c r="C296" s="897"/>
      <c r="D296" s="897"/>
      <c r="E296" s="937">
        <f t="shared" si="93"/>
        <v>0</v>
      </c>
      <c r="F296" s="897">
        <f t="shared" si="94"/>
        <v>0</v>
      </c>
      <c r="G296" s="897">
        <f t="shared" si="94"/>
        <v>0</v>
      </c>
      <c r="H296" s="897">
        <f t="shared" si="94"/>
        <v>0</v>
      </c>
      <c r="I296" s="897">
        <f t="shared" si="94"/>
        <v>0</v>
      </c>
      <c r="J296" s="897"/>
      <c r="K296" s="897"/>
      <c r="L296" s="897"/>
      <c r="M296" s="897"/>
      <c r="N296" s="897"/>
      <c r="O296" s="897"/>
      <c r="P296" s="897">
        <f t="shared" si="96"/>
        <v>0</v>
      </c>
      <c r="Q296" s="898">
        <f t="shared" si="88"/>
        <v>0</v>
      </c>
      <c r="R296" s="936">
        <f t="shared" si="95"/>
        <v>0</v>
      </c>
      <c r="S296" s="935">
        <f t="shared" si="89"/>
        <v>0</v>
      </c>
      <c r="T296" s="935">
        <f t="shared" si="89"/>
        <v>0</v>
      </c>
      <c r="U296" s="935">
        <f t="shared" si="89"/>
        <v>0</v>
      </c>
      <c r="V296" s="935">
        <f t="shared" si="89"/>
        <v>0</v>
      </c>
      <c r="W296" s="935">
        <f t="shared" si="89"/>
        <v>0</v>
      </c>
      <c r="X296" s="935">
        <f t="shared" si="89"/>
        <v>0</v>
      </c>
      <c r="Y296" s="935">
        <f t="shared" si="90"/>
        <v>0</v>
      </c>
      <c r="Z296" s="935">
        <f t="shared" si="91"/>
        <v>0</v>
      </c>
    </row>
    <row r="297" spans="1:26" hidden="1">
      <c r="A297" s="986">
        <v>64513</v>
      </c>
      <c r="B297" s="993" t="s">
        <v>2093</v>
      </c>
      <c r="C297" s="897"/>
      <c r="D297" s="897"/>
      <c r="E297" s="937">
        <f t="shared" si="93"/>
        <v>0</v>
      </c>
      <c r="F297" s="897">
        <f t="shared" si="94"/>
        <v>0</v>
      </c>
      <c r="G297" s="897">
        <f t="shared" si="94"/>
        <v>0</v>
      </c>
      <c r="H297" s="897">
        <f t="shared" si="94"/>
        <v>0</v>
      </c>
      <c r="I297" s="897">
        <f t="shared" si="94"/>
        <v>0</v>
      </c>
      <c r="J297" s="897"/>
      <c r="K297" s="897"/>
      <c r="L297" s="897"/>
      <c r="M297" s="897"/>
      <c r="N297" s="897"/>
      <c r="O297" s="897"/>
      <c r="P297" s="897">
        <f t="shared" si="96"/>
        <v>0</v>
      </c>
      <c r="Q297" s="898">
        <f t="shared" si="88"/>
        <v>0</v>
      </c>
      <c r="R297" s="936">
        <f t="shared" si="95"/>
        <v>0</v>
      </c>
      <c r="S297" s="935">
        <f t="shared" si="89"/>
        <v>0</v>
      </c>
      <c r="T297" s="935">
        <f t="shared" si="89"/>
        <v>0</v>
      </c>
      <c r="U297" s="935">
        <f t="shared" si="89"/>
        <v>0</v>
      </c>
      <c r="V297" s="935">
        <f t="shared" si="89"/>
        <v>0</v>
      </c>
      <c r="W297" s="935">
        <f t="shared" si="89"/>
        <v>0</v>
      </c>
      <c r="X297" s="935">
        <f t="shared" si="89"/>
        <v>0</v>
      </c>
      <c r="Y297" s="935">
        <f t="shared" si="90"/>
        <v>0</v>
      </c>
      <c r="Z297" s="935">
        <f t="shared" si="91"/>
        <v>0</v>
      </c>
    </row>
    <row r="298" spans="1:26" hidden="1">
      <c r="A298" s="986">
        <v>64514</v>
      </c>
      <c r="B298" s="993" t="s">
        <v>2094</v>
      </c>
      <c r="C298" s="897"/>
      <c r="D298" s="897"/>
      <c r="E298" s="937">
        <f t="shared" si="93"/>
        <v>0</v>
      </c>
      <c r="F298" s="897">
        <f t="shared" si="94"/>
        <v>0</v>
      </c>
      <c r="G298" s="897">
        <f t="shared" si="94"/>
        <v>0</v>
      </c>
      <c r="H298" s="897">
        <f t="shared" si="94"/>
        <v>0</v>
      </c>
      <c r="I298" s="897">
        <f t="shared" si="94"/>
        <v>0</v>
      </c>
      <c r="J298" s="897"/>
      <c r="K298" s="897"/>
      <c r="L298" s="897"/>
      <c r="M298" s="897"/>
      <c r="N298" s="897"/>
      <c r="O298" s="897"/>
      <c r="P298" s="897">
        <f t="shared" si="96"/>
        <v>0</v>
      </c>
      <c r="Q298" s="898">
        <f t="shared" si="88"/>
        <v>0</v>
      </c>
      <c r="R298" s="936">
        <f t="shared" si="95"/>
        <v>0</v>
      </c>
      <c r="S298" s="935">
        <f t="shared" si="89"/>
        <v>0</v>
      </c>
      <c r="T298" s="935">
        <f t="shared" si="89"/>
        <v>0</v>
      </c>
      <c r="U298" s="935">
        <f t="shared" si="89"/>
        <v>0</v>
      </c>
      <c r="V298" s="935">
        <f t="shared" si="89"/>
        <v>0</v>
      </c>
      <c r="W298" s="935">
        <f t="shared" si="89"/>
        <v>0</v>
      </c>
      <c r="X298" s="935">
        <f t="shared" si="89"/>
        <v>0</v>
      </c>
      <c r="Y298" s="935">
        <f t="shared" si="90"/>
        <v>0</v>
      </c>
      <c r="Z298" s="935">
        <f t="shared" si="91"/>
        <v>0</v>
      </c>
    </row>
    <row r="299" spans="1:26" hidden="1">
      <c r="A299" s="984">
        <v>6452</v>
      </c>
      <c r="B299" s="991" t="s">
        <v>2095</v>
      </c>
      <c r="C299" s="897"/>
      <c r="D299" s="897"/>
      <c r="E299" s="937">
        <f t="shared" si="93"/>
        <v>0</v>
      </c>
      <c r="F299" s="897">
        <f t="shared" si="94"/>
        <v>0</v>
      </c>
      <c r="G299" s="897">
        <f t="shared" si="94"/>
        <v>0</v>
      </c>
      <c r="H299" s="897">
        <f t="shared" si="94"/>
        <v>0</v>
      </c>
      <c r="I299" s="897">
        <f t="shared" si="94"/>
        <v>0</v>
      </c>
      <c r="J299" s="897"/>
      <c r="K299" s="897"/>
      <c r="L299" s="897"/>
      <c r="M299" s="897"/>
      <c r="N299" s="897"/>
      <c r="O299" s="897"/>
      <c r="P299" s="897">
        <f t="shared" si="96"/>
        <v>0</v>
      </c>
      <c r="Q299" s="898">
        <f t="shared" si="88"/>
        <v>0</v>
      </c>
      <c r="R299" s="936">
        <f t="shared" si="95"/>
        <v>0</v>
      </c>
      <c r="S299" s="935">
        <f t="shared" si="89"/>
        <v>0</v>
      </c>
      <c r="T299" s="935">
        <f t="shared" si="89"/>
        <v>0</v>
      </c>
      <c r="U299" s="935">
        <f t="shared" si="89"/>
        <v>0</v>
      </c>
      <c r="V299" s="935">
        <f t="shared" si="89"/>
        <v>0</v>
      </c>
      <c r="W299" s="935">
        <f t="shared" si="89"/>
        <v>0</v>
      </c>
      <c r="X299" s="935">
        <f t="shared" si="89"/>
        <v>0</v>
      </c>
      <c r="Y299" s="935">
        <f t="shared" si="90"/>
        <v>0</v>
      </c>
      <c r="Z299" s="935">
        <f t="shared" si="91"/>
        <v>0</v>
      </c>
    </row>
    <row r="300" spans="1:26" hidden="1">
      <c r="A300" s="986">
        <v>64521</v>
      </c>
      <c r="B300" s="993" t="s">
        <v>2096</v>
      </c>
      <c r="C300" s="897"/>
      <c r="D300" s="897"/>
      <c r="E300" s="937">
        <f t="shared" si="93"/>
        <v>0</v>
      </c>
      <c r="F300" s="897">
        <f t="shared" si="94"/>
        <v>0</v>
      </c>
      <c r="G300" s="897">
        <f t="shared" si="94"/>
        <v>0</v>
      </c>
      <c r="H300" s="897">
        <f t="shared" si="94"/>
        <v>0</v>
      </c>
      <c r="I300" s="897">
        <f t="shared" si="94"/>
        <v>0</v>
      </c>
      <c r="J300" s="897"/>
      <c r="K300" s="897"/>
      <c r="L300" s="897"/>
      <c r="M300" s="897"/>
      <c r="N300" s="897"/>
      <c r="O300" s="897"/>
      <c r="P300" s="897">
        <f t="shared" si="96"/>
        <v>0</v>
      </c>
      <c r="Q300" s="898">
        <f t="shared" si="88"/>
        <v>0</v>
      </c>
      <c r="R300" s="936">
        <f t="shared" si="95"/>
        <v>0</v>
      </c>
      <c r="S300" s="935">
        <f t="shared" si="89"/>
        <v>0</v>
      </c>
      <c r="T300" s="935">
        <f t="shared" si="89"/>
        <v>0</v>
      </c>
      <c r="U300" s="935">
        <f t="shared" si="89"/>
        <v>0</v>
      </c>
      <c r="V300" s="935">
        <f t="shared" si="89"/>
        <v>0</v>
      </c>
      <c r="W300" s="935">
        <f t="shared" si="89"/>
        <v>0</v>
      </c>
      <c r="X300" s="935">
        <f t="shared" si="89"/>
        <v>0</v>
      </c>
      <c r="Y300" s="935">
        <f t="shared" si="90"/>
        <v>0</v>
      </c>
      <c r="Z300" s="935">
        <f t="shared" si="91"/>
        <v>0</v>
      </c>
    </row>
    <row r="301" spans="1:26" hidden="1">
      <c r="A301" s="986">
        <v>64522</v>
      </c>
      <c r="B301" s="993" t="s">
        <v>2097</v>
      </c>
      <c r="C301" s="897"/>
      <c r="D301" s="897"/>
      <c r="E301" s="937">
        <f t="shared" si="93"/>
        <v>0</v>
      </c>
      <c r="F301" s="897">
        <f t="shared" si="94"/>
        <v>0</v>
      </c>
      <c r="G301" s="897">
        <f t="shared" si="94"/>
        <v>0</v>
      </c>
      <c r="H301" s="897">
        <f t="shared" si="94"/>
        <v>0</v>
      </c>
      <c r="I301" s="897">
        <f t="shared" si="94"/>
        <v>0</v>
      </c>
      <c r="J301" s="897"/>
      <c r="K301" s="897"/>
      <c r="L301" s="897"/>
      <c r="M301" s="897"/>
      <c r="N301" s="897"/>
      <c r="O301" s="897"/>
      <c r="P301" s="897">
        <f t="shared" si="96"/>
        <v>0</v>
      </c>
      <c r="Q301" s="898">
        <f t="shared" si="88"/>
        <v>0</v>
      </c>
      <c r="R301" s="936">
        <f t="shared" si="95"/>
        <v>0</v>
      </c>
      <c r="S301" s="935">
        <f t="shared" si="89"/>
        <v>0</v>
      </c>
      <c r="T301" s="935">
        <f t="shared" si="89"/>
        <v>0</v>
      </c>
      <c r="U301" s="935">
        <f t="shared" si="89"/>
        <v>0</v>
      </c>
      <c r="V301" s="935">
        <f t="shared" si="89"/>
        <v>0</v>
      </c>
      <c r="W301" s="935">
        <f t="shared" si="89"/>
        <v>0</v>
      </c>
      <c r="X301" s="935">
        <f t="shared" si="89"/>
        <v>0</v>
      </c>
      <c r="Y301" s="935">
        <f t="shared" si="90"/>
        <v>0</v>
      </c>
      <c r="Z301" s="935">
        <f t="shared" si="91"/>
        <v>0</v>
      </c>
    </row>
    <row r="302" spans="1:26" hidden="1">
      <c r="A302" s="986">
        <v>64523</v>
      </c>
      <c r="B302" s="993" t="s">
        <v>2098</v>
      </c>
      <c r="C302" s="897"/>
      <c r="D302" s="897"/>
      <c r="E302" s="937">
        <f t="shared" si="93"/>
        <v>0</v>
      </c>
      <c r="F302" s="897">
        <f t="shared" si="94"/>
        <v>0</v>
      </c>
      <c r="G302" s="897">
        <f t="shared" si="94"/>
        <v>0</v>
      </c>
      <c r="H302" s="897">
        <f t="shared" si="94"/>
        <v>0</v>
      </c>
      <c r="I302" s="897">
        <f t="shared" si="94"/>
        <v>0</v>
      </c>
      <c r="J302" s="897"/>
      <c r="K302" s="897"/>
      <c r="L302" s="897"/>
      <c r="M302" s="897"/>
      <c r="N302" s="897"/>
      <c r="O302" s="897"/>
      <c r="P302" s="897">
        <f t="shared" si="96"/>
        <v>0</v>
      </c>
      <c r="Q302" s="898">
        <f t="shared" si="88"/>
        <v>0</v>
      </c>
      <c r="R302" s="936">
        <f t="shared" si="95"/>
        <v>0</v>
      </c>
      <c r="S302" s="935">
        <f t="shared" si="89"/>
        <v>0</v>
      </c>
      <c r="T302" s="935">
        <f t="shared" si="89"/>
        <v>0</v>
      </c>
      <c r="U302" s="935">
        <f t="shared" si="89"/>
        <v>0</v>
      </c>
      <c r="V302" s="935">
        <f t="shared" si="89"/>
        <v>0</v>
      </c>
      <c r="W302" s="935">
        <f t="shared" si="89"/>
        <v>0</v>
      </c>
      <c r="X302" s="935">
        <f t="shared" si="89"/>
        <v>0</v>
      </c>
      <c r="Y302" s="935">
        <f t="shared" si="90"/>
        <v>0</v>
      </c>
      <c r="Z302" s="935">
        <f t="shared" si="91"/>
        <v>0</v>
      </c>
    </row>
    <row r="303" spans="1:26" hidden="1">
      <c r="A303" s="986">
        <v>64524</v>
      </c>
      <c r="B303" s="993" t="s">
        <v>2099</v>
      </c>
      <c r="C303" s="897"/>
      <c r="D303" s="897"/>
      <c r="E303" s="937">
        <f t="shared" si="93"/>
        <v>0</v>
      </c>
      <c r="F303" s="897">
        <f t="shared" si="94"/>
        <v>0</v>
      </c>
      <c r="G303" s="897">
        <f t="shared" si="94"/>
        <v>0</v>
      </c>
      <c r="H303" s="897">
        <f t="shared" si="94"/>
        <v>0</v>
      </c>
      <c r="I303" s="897">
        <f t="shared" si="94"/>
        <v>0</v>
      </c>
      <c r="J303" s="897"/>
      <c r="K303" s="897"/>
      <c r="L303" s="897"/>
      <c r="M303" s="897"/>
      <c r="N303" s="897"/>
      <c r="O303" s="897"/>
      <c r="P303" s="897">
        <f t="shared" si="96"/>
        <v>0</v>
      </c>
      <c r="Q303" s="898">
        <f t="shared" si="88"/>
        <v>0</v>
      </c>
      <c r="R303" s="936">
        <f t="shared" si="95"/>
        <v>0</v>
      </c>
      <c r="S303" s="935">
        <f t="shared" si="89"/>
        <v>0</v>
      </c>
      <c r="T303" s="935">
        <f t="shared" si="89"/>
        <v>0</v>
      </c>
      <c r="U303" s="935">
        <f t="shared" si="89"/>
        <v>0</v>
      </c>
      <c r="V303" s="935">
        <f t="shared" si="89"/>
        <v>0</v>
      </c>
      <c r="W303" s="935">
        <f t="shared" si="89"/>
        <v>0</v>
      </c>
      <c r="X303" s="935">
        <f t="shared" si="89"/>
        <v>0</v>
      </c>
      <c r="Y303" s="935">
        <f t="shared" si="90"/>
        <v>0</v>
      </c>
      <c r="Z303" s="935">
        <f t="shared" si="91"/>
        <v>0</v>
      </c>
    </row>
    <row r="304" spans="1:26" hidden="1">
      <c r="A304" s="986">
        <v>64525</v>
      </c>
      <c r="B304" s="993" t="s">
        <v>2100</v>
      </c>
      <c r="C304" s="897"/>
      <c r="D304" s="897"/>
      <c r="E304" s="937">
        <f t="shared" si="93"/>
        <v>0</v>
      </c>
      <c r="F304" s="897">
        <f t="shared" si="94"/>
        <v>0</v>
      </c>
      <c r="G304" s="897">
        <f t="shared" si="94"/>
        <v>0</v>
      </c>
      <c r="H304" s="897">
        <f t="shared" si="94"/>
        <v>0</v>
      </c>
      <c r="I304" s="897">
        <f t="shared" si="94"/>
        <v>0</v>
      </c>
      <c r="J304" s="897"/>
      <c r="K304" s="897"/>
      <c r="L304" s="897"/>
      <c r="M304" s="897"/>
      <c r="N304" s="897"/>
      <c r="O304" s="897"/>
      <c r="P304" s="897">
        <f t="shared" si="96"/>
        <v>0</v>
      </c>
      <c r="Q304" s="898">
        <f t="shared" si="88"/>
        <v>0</v>
      </c>
      <c r="R304" s="936">
        <f t="shared" si="95"/>
        <v>0</v>
      </c>
      <c r="S304" s="935">
        <f t="shared" si="89"/>
        <v>0</v>
      </c>
      <c r="T304" s="935">
        <f t="shared" si="89"/>
        <v>0</v>
      </c>
      <c r="U304" s="935">
        <f t="shared" si="89"/>
        <v>0</v>
      </c>
      <c r="V304" s="935">
        <f t="shared" si="89"/>
        <v>0</v>
      </c>
      <c r="W304" s="935">
        <f t="shared" si="89"/>
        <v>0</v>
      </c>
      <c r="X304" s="935">
        <f t="shared" si="89"/>
        <v>0</v>
      </c>
      <c r="Y304" s="935">
        <f t="shared" si="90"/>
        <v>0</v>
      </c>
      <c r="Z304" s="935">
        <f t="shared" si="91"/>
        <v>0</v>
      </c>
    </row>
    <row r="305" spans="1:26" hidden="1">
      <c r="A305" s="986">
        <v>64526</v>
      </c>
      <c r="B305" s="993" t="s">
        <v>131</v>
      </c>
      <c r="C305" s="897"/>
      <c r="D305" s="897"/>
      <c r="E305" s="937">
        <f t="shared" si="93"/>
        <v>0</v>
      </c>
      <c r="F305" s="897">
        <f t="shared" si="94"/>
        <v>0</v>
      </c>
      <c r="G305" s="897">
        <f t="shared" si="94"/>
        <v>0</v>
      </c>
      <c r="H305" s="897">
        <f t="shared" si="94"/>
        <v>0</v>
      </c>
      <c r="I305" s="897">
        <f t="shared" si="94"/>
        <v>0</v>
      </c>
      <c r="J305" s="897"/>
      <c r="K305" s="897"/>
      <c r="L305" s="897"/>
      <c r="M305" s="897"/>
      <c r="N305" s="897"/>
      <c r="O305" s="897"/>
      <c r="P305" s="897">
        <f t="shared" si="96"/>
        <v>0</v>
      </c>
      <c r="Q305" s="898">
        <f t="shared" si="88"/>
        <v>0</v>
      </c>
      <c r="R305" s="936">
        <f t="shared" si="95"/>
        <v>0</v>
      </c>
      <c r="S305" s="935">
        <f t="shared" si="89"/>
        <v>0</v>
      </c>
      <c r="T305" s="935">
        <f t="shared" si="89"/>
        <v>0</v>
      </c>
      <c r="U305" s="935">
        <f t="shared" si="89"/>
        <v>0</v>
      </c>
      <c r="V305" s="935">
        <f t="shared" si="89"/>
        <v>0</v>
      </c>
      <c r="W305" s="935">
        <f t="shared" si="89"/>
        <v>0</v>
      </c>
      <c r="X305" s="935">
        <f t="shared" si="89"/>
        <v>0</v>
      </c>
      <c r="Y305" s="935">
        <f t="shared" si="90"/>
        <v>0</v>
      </c>
      <c r="Z305" s="935">
        <f t="shared" si="91"/>
        <v>0</v>
      </c>
    </row>
    <row r="306" spans="1:26" hidden="1">
      <c r="A306" s="986">
        <v>64527</v>
      </c>
      <c r="B306" s="993" t="s">
        <v>2101</v>
      </c>
      <c r="C306" s="897"/>
      <c r="D306" s="897"/>
      <c r="E306" s="937">
        <f t="shared" si="93"/>
        <v>0</v>
      </c>
      <c r="F306" s="897">
        <f t="shared" si="94"/>
        <v>0</v>
      </c>
      <c r="G306" s="897">
        <f t="shared" si="94"/>
        <v>0</v>
      </c>
      <c r="H306" s="897">
        <f t="shared" si="94"/>
        <v>0</v>
      </c>
      <c r="I306" s="897">
        <f t="shared" si="94"/>
        <v>0</v>
      </c>
      <c r="J306" s="897"/>
      <c r="K306" s="897"/>
      <c r="L306" s="897"/>
      <c r="M306" s="897"/>
      <c r="N306" s="897"/>
      <c r="O306" s="897"/>
      <c r="P306" s="897">
        <f t="shared" si="96"/>
        <v>0</v>
      </c>
      <c r="Q306" s="898">
        <f t="shared" si="88"/>
        <v>0</v>
      </c>
      <c r="R306" s="936">
        <f t="shared" si="95"/>
        <v>0</v>
      </c>
      <c r="S306" s="935">
        <f t="shared" si="89"/>
        <v>0</v>
      </c>
      <c r="T306" s="935">
        <f t="shared" si="89"/>
        <v>0</v>
      </c>
      <c r="U306" s="935">
        <f t="shared" si="89"/>
        <v>0</v>
      </c>
      <c r="V306" s="935">
        <f t="shared" si="89"/>
        <v>0</v>
      </c>
      <c r="W306" s="935">
        <f t="shared" si="89"/>
        <v>0</v>
      </c>
      <c r="X306" s="935">
        <f t="shared" si="89"/>
        <v>0</v>
      </c>
      <c r="Y306" s="935">
        <f t="shared" si="90"/>
        <v>0</v>
      </c>
      <c r="Z306" s="935">
        <f t="shared" si="91"/>
        <v>0</v>
      </c>
    </row>
    <row r="307" spans="1:26" hidden="1">
      <c r="A307" s="986">
        <v>64528</v>
      </c>
      <c r="B307" s="993" t="s">
        <v>2102</v>
      </c>
      <c r="C307" s="897"/>
      <c r="D307" s="897"/>
      <c r="E307" s="937">
        <f t="shared" si="93"/>
        <v>0</v>
      </c>
      <c r="F307" s="897">
        <f t="shared" si="94"/>
        <v>0</v>
      </c>
      <c r="G307" s="897">
        <f t="shared" si="94"/>
        <v>0</v>
      </c>
      <c r="H307" s="897">
        <f t="shared" si="94"/>
        <v>0</v>
      </c>
      <c r="I307" s="897">
        <f t="shared" si="94"/>
        <v>0</v>
      </c>
      <c r="J307" s="897"/>
      <c r="K307" s="897"/>
      <c r="L307" s="897"/>
      <c r="M307" s="897"/>
      <c r="N307" s="897"/>
      <c r="O307" s="897"/>
      <c r="P307" s="897">
        <f t="shared" si="96"/>
        <v>0</v>
      </c>
      <c r="Q307" s="898">
        <f t="shared" si="88"/>
        <v>0</v>
      </c>
      <c r="R307" s="936">
        <f t="shared" si="95"/>
        <v>0</v>
      </c>
      <c r="S307" s="935">
        <f t="shared" ref="S307:X322" si="97">R307</f>
        <v>0</v>
      </c>
      <c r="T307" s="935">
        <f t="shared" si="97"/>
        <v>0</v>
      </c>
      <c r="U307" s="935">
        <f t="shared" si="97"/>
        <v>0</v>
      </c>
      <c r="V307" s="935">
        <f t="shared" si="97"/>
        <v>0</v>
      </c>
      <c r="W307" s="935">
        <f t="shared" si="97"/>
        <v>0</v>
      </c>
      <c r="X307" s="935">
        <f t="shared" si="97"/>
        <v>0</v>
      </c>
      <c r="Y307" s="935">
        <f t="shared" si="90"/>
        <v>0</v>
      </c>
      <c r="Z307" s="935">
        <f t="shared" si="91"/>
        <v>0</v>
      </c>
    </row>
    <row r="308" spans="1:26">
      <c r="A308" s="984">
        <v>6459</v>
      </c>
      <c r="B308" s="991" t="s">
        <v>275</v>
      </c>
      <c r="C308" s="897">
        <v>114750</v>
      </c>
      <c r="D308" s="897"/>
      <c r="E308" s="937"/>
      <c r="F308" s="897"/>
      <c r="G308" s="897"/>
      <c r="H308" s="897"/>
      <c r="I308" s="897">
        <v>650</v>
      </c>
      <c r="J308" s="897"/>
      <c r="K308" s="897"/>
      <c r="L308" s="897"/>
      <c r="M308" s="897"/>
      <c r="N308" s="897"/>
      <c r="O308" s="897"/>
      <c r="P308" s="897">
        <f t="shared" si="96"/>
        <v>650</v>
      </c>
      <c r="Q308" s="898">
        <f t="shared" si="88"/>
        <v>114100</v>
      </c>
      <c r="R308" s="936"/>
      <c r="S308" s="935">
        <f t="shared" si="97"/>
        <v>0</v>
      </c>
      <c r="T308" s="935">
        <f t="shared" si="97"/>
        <v>0</v>
      </c>
      <c r="U308" s="935">
        <f t="shared" si="97"/>
        <v>0</v>
      </c>
      <c r="V308" s="935">
        <f t="shared" si="97"/>
        <v>0</v>
      </c>
      <c r="W308" s="935">
        <f t="shared" si="97"/>
        <v>0</v>
      </c>
      <c r="X308" s="935">
        <f t="shared" si="97"/>
        <v>0</v>
      </c>
      <c r="Y308" s="935">
        <f t="shared" si="90"/>
        <v>0</v>
      </c>
      <c r="Z308" s="935">
        <f t="shared" si="91"/>
        <v>114100</v>
      </c>
    </row>
    <row r="309" spans="1:26" hidden="1">
      <c r="A309" s="986">
        <v>64591</v>
      </c>
      <c r="B309" s="993" t="s">
        <v>2103</v>
      </c>
      <c r="C309" s="897"/>
      <c r="D309" s="897"/>
      <c r="E309" s="937">
        <f t="shared" ref="E309:E319" si="98">C309/12</f>
        <v>0</v>
      </c>
      <c r="F309" s="897">
        <f t="shared" ref="F309:I319" si="99">E309/12</f>
        <v>0</v>
      </c>
      <c r="G309" s="897">
        <f t="shared" si="99"/>
        <v>0</v>
      </c>
      <c r="H309" s="897">
        <f t="shared" si="99"/>
        <v>0</v>
      </c>
      <c r="I309" s="897">
        <f t="shared" si="99"/>
        <v>0</v>
      </c>
      <c r="J309" s="897"/>
      <c r="K309" s="897"/>
      <c r="L309" s="897"/>
      <c r="M309" s="897"/>
      <c r="N309" s="897"/>
      <c r="O309" s="897"/>
      <c r="P309" s="897">
        <f t="shared" si="96"/>
        <v>0</v>
      </c>
      <c r="Q309" s="898">
        <f t="shared" si="88"/>
        <v>0</v>
      </c>
      <c r="R309" s="936">
        <f t="shared" ref="R309:R319" si="100">Q309/7</f>
        <v>0</v>
      </c>
      <c r="S309" s="935">
        <f t="shared" si="97"/>
        <v>0</v>
      </c>
      <c r="T309" s="935">
        <f t="shared" si="97"/>
        <v>0</v>
      </c>
      <c r="U309" s="935">
        <f t="shared" si="97"/>
        <v>0</v>
      </c>
      <c r="V309" s="935">
        <f t="shared" si="97"/>
        <v>0</v>
      </c>
      <c r="W309" s="935">
        <f t="shared" si="97"/>
        <v>0</v>
      </c>
      <c r="X309" s="935">
        <f t="shared" si="97"/>
        <v>0</v>
      </c>
      <c r="Y309" s="935">
        <f t="shared" si="90"/>
        <v>0</v>
      </c>
      <c r="Z309" s="935">
        <f t="shared" si="91"/>
        <v>0</v>
      </c>
    </row>
    <row r="310" spans="1:26" hidden="1">
      <c r="A310" s="986">
        <v>64592</v>
      </c>
      <c r="B310" s="993" t="s">
        <v>2104</v>
      </c>
      <c r="C310" s="897"/>
      <c r="D310" s="897"/>
      <c r="E310" s="937">
        <f t="shared" si="98"/>
        <v>0</v>
      </c>
      <c r="F310" s="897">
        <f t="shared" si="99"/>
        <v>0</v>
      </c>
      <c r="G310" s="897">
        <f t="shared" si="99"/>
        <v>0</v>
      </c>
      <c r="H310" s="897">
        <f t="shared" si="99"/>
        <v>0</v>
      </c>
      <c r="I310" s="897">
        <f t="shared" si="99"/>
        <v>0</v>
      </c>
      <c r="J310" s="897"/>
      <c r="K310" s="897"/>
      <c r="L310" s="897"/>
      <c r="M310" s="897"/>
      <c r="N310" s="897"/>
      <c r="O310" s="897"/>
      <c r="P310" s="897">
        <f t="shared" si="96"/>
        <v>0</v>
      </c>
      <c r="Q310" s="898">
        <f t="shared" si="88"/>
        <v>0</v>
      </c>
      <c r="R310" s="936">
        <f t="shared" si="100"/>
        <v>0</v>
      </c>
      <c r="S310" s="935">
        <f t="shared" si="97"/>
        <v>0</v>
      </c>
      <c r="T310" s="935">
        <f t="shared" si="97"/>
        <v>0</v>
      </c>
      <c r="U310" s="935">
        <f t="shared" si="97"/>
        <v>0</v>
      </c>
      <c r="V310" s="935">
        <f t="shared" si="97"/>
        <v>0</v>
      </c>
      <c r="W310" s="935">
        <f t="shared" si="97"/>
        <v>0</v>
      </c>
      <c r="X310" s="935">
        <f t="shared" si="97"/>
        <v>0</v>
      </c>
      <c r="Y310" s="935">
        <f t="shared" si="90"/>
        <v>0</v>
      </c>
      <c r="Z310" s="935">
        <f t="shared" si="91"/>
        <v>0</v>
      </c>
    </row>
    <row r="311" spans="1:26" hidden="1">
      <c r="A311" s="986">
        <v>64593</v>
      </c>
      <c r="B311" s="993" t="s">
        <v>2105</v>
      </c>
      <c r="C311" s="897"/>
      <c r="D311" s="897"/>
      <c r="E311" s="937">
        <f t="shared" si="98"/>
        <v>0</v>
      </c>
      <c r="F311" s="897">
        <f t="shared" si="99"/>
        <v>0</v>
      </c>
      <c r="G311" s="897">
        <f t="shared" si="99"/>
        <v>0</v>
      </c>
      <c r="H311" s="897">
        <f t="shared" si="99"/>
        <v>0</v>
      </c>
      <c r="I311" s="897">
        <f t="shared" si="99"/>
        <v>0</v>
      </c>
      <c r="J311" s="897"/>
      <c r="K311" s="897"/>
      <c r="L311" s="897"/>
      <c r="M311" s="897"/>
      <c r="N311" s="897"/>
      <c r="O311" s="897"/>
      <c r="P311" s="897">
        <f t="shared" si="96"/>
        <v>0</v>
      </c>
      <c r="Q311" s="898">
        <f t="shared" si="88"/>
        <v>0</v>
      </c>
      <c r="R311" s="936">
        <f t="shared" si="100"/>
        <v>0</v>
      </c>
      <c r="S311" s="935">
        <f t="shared" si="97"/>
        <v>0</v>
      </c>
      <c r="T311" s="935">
        <f t="shared" si="97"/>
        <v>0</v>
      </c>
      <c r="U311" s="935">
        <f t="shared" si="97"/>
        <v>0</v>
      </c>
      <c r="V311" s="935">
        <f t="shared" si="97"/>
        <v>0</v>
      </c>
      <c r="W311" s="935">
        <f t="shared" si="97"/>
        <v>0</v>
      </c>
      <c r="X311" s="935">
        <f t="shared" si="97"/>
        <v>0</v>
      </c>
      <c r="Y311" s="935">
        <f t="shared" si="90"/>
        <v>0</v>
      </c>
      <c r="Z311" s="935">
        <f t="shared" si="91"/>
        <v>0</v>
      </c>
    </row>
    <row r="312" spans="1:26" hidden="1">
      <c r="A312" s="986">
        <v>64594</v>
      </c>
      <c r="B312" s="993" t="s">
        <v>2106</v>
      </c>
      <c r="C312" s="897"/>
      <c r="D312" s="897"/>
      <c r="E312" s="937">
        <f t="shared" si="98"/>
        <v>0</v>
      </c>
      <c r="F312" s="897">
        <f t="shared" si="99"/>
        <v>0</v>
      </c>
      <c r="G312" s="897">
        <f t="shared" si="99"/>
        <v>0</v>
      </c>
      <c r="H312" s="897">
        <f t="shared" si="99"/>
        <v>0</v>
      </c>
      <c r="I312" s="897">
        <f t="shared" si="99"/>
        <v>0</v>
      </c>
      <c r="J312" s="897"/>
      <c r="K312" s="897"/>
      <c r="L312" s="897"/>
      <c r="M312" s="897"/>
      <c r="N312" s="897"/>
      <c r="O312" s="897"/>
      <c r="P312" s="897">
        <f t="shared" si="96"/>
        <v>0</v>
      </c>
      <c r="Q312" s="898">
        <f t="shared" si="88"/>
        <v>0</v>
      </c>
      <c r="R312" s="936">
        <f t="shared" si="100"/>
        <v>0</v>
      </c>
      <c r="S312" s="935">
        <f t="shared" si="97"/>
        <v>0</v>
      </c>
      <c r="T312" s="935">
        <f t="shared" si="97"/>
        <v>0</v>
      </c>
      <c r="U312" s="935">
        <f t="shared" si="97"/>
        <v>0</v>
      </c>
      <c r="V312" s="935">
        <f t="shared" si="97"/>
        <v>0</v>
      </c>
      <c r="W312" s="935">
        <f t="shared" si="97"/>
        <v>0</v>
      </c>
      <c r="X312" s="935">
        <f t="shared" si="97"/>
        <v>0</v>
      </c>
      <c r="Y312" s="935">
        <f t="shared" si="90"/>
        <v>0</v>
      </c>
      <c r="Z312" s="935">
        <f t="shared" si="91"/>
        <v>0</v>
      </c>
    </row>
    <row r="313" spans="1:26" hidden="1">
      <c r="A313" s="986">
        <v>64595</v>
      </c>
      <c r="B313" s="993" t="s">
        <v>2107</v>
      </c>
      <c r="C313" s="897"/>
      <c r="D313" s="897"/>
      <c r="E313" s="937">
        <f t="shared" si="98"/>
        <v>0</v>
      </c>
      <c r="F313" s="897">
        <f t="shared" si="99"/>
        <v>0</v>
      </c>
      <c r="G313" s="897">
        <f t="shared" si="99"/>
        <v>0</v>
      </c>
      <c r="H313" s="897">
        <f t="shared" si="99"/>
        <v>0</v>
      </c>
      <c r="I313" s="897">
        <f t="shared" si="99"/>
        <v>0</v>
      </c>
      <c r="J313" s="897"/>
      <c r="K313" s="897"/>
      <c r="L313" s="897"/>
      <c r="M313" s="897"/>
      <c r="N313" s="897"/>
      <c r="O313" s="897"/>
      <c r="P313" s="897">
        <f t="shared" si="96"/>
        <v>0</v>
      </c>
      <c r="Q313" s="898">
        <f t="shared" si="88"/>
        <v>0</v>
      </c>
      <c r="R313" s="936">
        <f t="shared" si="100"/>
        <v>0</v>
      </c>
      <c r="S313" s="935">
        <f t="shared" si="97"/>
        <v>0</v>
      </c>
      <c r="T313" s="935">
        <f t="shared" si="97"/>
        <v>0</v>
      </c>
      <c r="U313" s="935">
        <f t="shared" si="97"/>
        <v>0</v>
      </c>
      <c r="V313" s="935">
        <f t="shared" si="97"/>
        <v>0</v>
      </c>
      <c r="W313" s="935">
        <f t="shared" si="97"/>
        <v>0</v>
      </c>
      <c r="X313" s="935">
        <f t="shared" si="97"/>
        <v>0</v>
      </c>
      <c r="Y313" s="935">
        <f t="shared" si="90"/>
        <v>0</v>
      </c>
      <c r="Z313" s="935">
        <f t="shared" si="91"/>
        <v>0</v>
      </c>
    </row>
    <row r="314" spans="1:26" hidden="1">
      <c r="A314" s="986">
        <v>64596</v>
      </c>
      <c r="B314" s="993" t="s">
        <v>2108</v>
      </c>
      <c r="C314" s="897"/>
      <c r="D314" s="897"/>
      <c r="E314" s="937">
        <f t="shared" si="98"/>
        <v>0</v>
      </c>
      <c r="F314" s="897">
        <f t="shared" si="99"/>
        <v>0</v>
      </c>
      <c r="G314" s="897">
        <f t="shared" si="99"/>
        <v>0</v>
      </c>
      <c r="H314" s="897">
        <f t="shared" si="99"/>
        <v>0</v>
      </c>
      <c r="I314" s="897">
        <f t="shared" si="99"/>
        <v>0</v>
      </c>
      <c r="J314" s="897"/>
      <c r="K314" s="897"/>
      <c r="L314" s="897"/>
      <c r="M314" s="897"/>
      <c r="N314" s="897"/>
      <c r="O314" s="897"/>
      <c r="P314" s="897">
        <f t="shared" si="96"/>
        <v>0</v>
      </c>
      <c r="Q314" s="898">
        <f t="shared" si="88"/>
        <v>0</v>
      </c>
      <c r="R314" s="936">
        <f t="shared" si="100"/>
        <v>0</v>
      </c>
      <c r="S314" s="935">
        <f t="shared" si="97"/>
        <v>0</v>
      </c>
      <c r="T314" s="935">
        <f t="shared" si="97"/>
        <v>0</v>
      </c>
      <c r="U314" s="935">
        <f t="shared" si="97"/>
        <v>0</v>
      </c>
      <c r="V314" s="935">
        <f t="shared" si="97"/>
        <v>0</v>
      </c>
      <c r="W314" s="935">
        <f t="shared" si="97"/>
        <v>0</v>
      </c>
      <c r="X314" s="935">
        <f t="shared" si="97"/>
        <v>0</v>
      </c>
      <c r="Y314" s="935">
        <f t="shared" si="90"/>
        <v>0</v>
      </c>
      <c r="Z314" s="935">
        <f t="shared" si="91"/>
        <v>0</v>
      </c>
    </row>
    <row r="315" spans="1:26" hidden="1">
      <c r="A315" s="986">
        <v>64597</v>
      </c>
      <c r="B315" s="993" t="s">
        <v>2109</v>
      </c>
      <c r="C315" s="897"/>
      <c r="D315" s="897"/>
      <c r="E315" s="937">
        <f t="shared" si="98"/>
        <v>0</v>
      </c>
      <c r="F315" s="897">
        <f t="shared" si="99"/>
        <v>0</v>
      </c>
      <c r="G315" s="897">
        <f t="shared" si="99"/>
        <v>0</v>
      </c>
      <c r="H315" s="897">
        <f t="shared" si="99"/>
        <v>0</v>
      </c>
      <c r="I315" s="897">
        <f t="shared" si="99"/>
        <v>0</v>
      </c>
      <c r="J315" s="897"/>
      <c r="K315" s="897"/>
      <c r="L315" s="897"/>
      <c r="M315" s="897"/>
      <c r="N315" s="897"/>
      <c r="O315" s="897"/>
      <c r="P315" s="897">
        <f t="shared" si="96"/>
        <v>0</v>
      </c>
      <c r="Q315" s="898">
        <f t="shared" si="88"/>
        <v>0</v>
      </c>
      <c r="R315" s="936">
        <f t="shared" si="100"/>
        <v>0</v>
      </c>
      <c r="S315" s="935">
        <f t="shared" si="97"/>
        <v>0</v>
      </c>
      <c r="T315" s="935">
        <f t="shared" si="97"/>
        <v>0</v>
      </c>
      <c r="U315" s="935">
        <f t="shared" si="97"/>
        <v>0</v>
      </c>
      <c r="V315" s="935">
        <f t="shared" si="97"/>
        <v>0</v>
      </c>
      <c r="W315" s="935">
        <f t="shared" si="97"/>
        <v>0</v>
      </c>
      <c r="X315" s="935">
        <f t="shared" si="97"/>
        <v>0</v>
      </c>
      <c r="Y315" s="935">
        <f t="shared" si="90"/>
        <v>0</v>
      </c>
      <c r="Z315" s="935">
        <f t="shared" si="91"/>
        <v>0</v>
      </c>
    </row>
    <row r="316" spans="1:26" hidden="1">
      <c r="A316" s="986">
        <v>64598</v>
      </c>
      <c r="B316" s="993" t="s">
        <v>2110</v>
      </c>
      <c r="C316" s="897"/>
      <c r="D316" s="897"/>
      <c r="E316" s="937">
        <f t="shared" si="98"/>
        <v>0</v>
      </c>
      <c r="F316" s="897">
        <f t="shared" si="99"/>
        <v>0</v>
      </c>
      <c r="G316" s="897">
        <f t="shared" si="99"/>
        <v>0</v>
      </c>
      <c r="H316" s="897">
        <f t="shared" si="99"/>
        <v>0</v>
      </c>
      <c r="I316" s="897">
        <f t="shared" si="99"/>
        <v>0</v>
      </c>
      <c r="J316" s="897"/>
      <c r="K316" s="897"/>
      <c r="L316" s="897"/>
      <c r="M316" s="897"/>
      <c r="N316" s="897"/>
      <c r="O316" s="897"/>
      <c r="P316" s="897">
        <f t="shared" si="96"/>
        <v>0</v>
      </c>
      <c r="Q316" s="898">
        <f t="shared" si="88"/>
        <v>0</v>
      </c>
      <c r="R316" s="936">
        <f t="shared" si="100"/>
        <v>0</v>
      </c>
      <c r="S316" s="935">
        <f t="shared" si="97"/>
        <v>0</v>
      </c>
      <c r="T316" s="935">
        <f t="shared" si="97"/>
        <v>0</v>
      </c>
      <c r="U316" s="935">
        <f t="shared" si="97"/>
        <v>0</v>
      </c>
      <c r="V316" s="935">
        <f t="shared" si="97"/>
        <v>0</v>
      </c>
      <c r="W316" s="935">
        <f t="shared" si="97"/>
        <v>0</v>
      </c>
      <c r="X316" s="935">
        <f t="shared" si="97"/>
        <v>0</v>
      </c>
      <c r="Y316" s="935">
        <f t="shared" si="90"/>
        <v>0</v>
      </c>
      <c r="Z316" s="935">
        <f t="shared" si="91"/>
        <v>0</v>
      </c>
    </row>
    <row r="317" spans="1:26" hidden="1">
      <c r="A317" s="951">
        <v>646</v>
      </c>
      <c r="B317" s="992" t="s">
        <v>2111</v>
      </c>
      <c r="C317" s="897"/>
      <c r="D317" s="897"/>
      <c r="E317" s="937">
        <f t="shared" si="98"/>
        <v>0</v>
      </c>
      <c r="F317" s="897">
        <f t="shared" si="99"/>
        <v>0</v>
      </c>
      <c r="G317" s="897">
        <f t="shared" si="99"/>
        <v>0</v>
      </c>
      <c r="H317" s="897">
        <f t="shared" si="99"/>
        <v>0</v>
      </c>
      <c r="I317" s="897">
        <f t="shared" si="99"/>
        <v>0</v>
      </c>
      <c r="J317" s="897"/>
      <c r="K317" s="897"/>
      <c r="L317" s="897"/>
      <c r="M317" s="897"/>
      <c r="N317" s="897"/>
      <c r="O317" s="897"/>
      <c r="P317" s="897">
        <f t="shared" si="96"/>
        <v>0</v>
      </c>
      <c r="Q317" s="898">
        <f t="shared" si="88"/>
        <v>0</v>
      </c>
      <c r="R317" s="936">
        <f t="shared" si="100"/>
        <v>0</v>
      </c>
      <c r="S317" s="935">
        <f t="shared" si="97"/>
        <v>0</v>
      </c>
      <c r="T317" s="935">
        <f t="shared" si="97"/>
        <v>0</v>
      </c>
      <c r="U317" s="935">
        <f t="shared" si="97"/>
        <v>0</v>
      </c>
      <c r="V317" s="935">
        <f t="shared" si="97"/>
        <v>0</v>
      </c>
      <c r="W317" s="935">
        <f t="shared" si="97"/>
        <v>0</v>
      </c>
      <c r="X317" s="935">
        <f t="shared" si="97"/>
        <v>0</v>
      </c>
      <c r="Y317" s="935">
        <f t="shared" si="90"/>
        <v>0</v>
      </c>
      <c r="Z317" s="935">
        <f t="shared" si="91"/>
        <v>0</v>
      </c>
    </row>
    <row r="318" spans="1:26" hidden="1">
      <c r="A318" s="984">
        <v>6461</v>
      </c>
      <c r="B318" s="991" t="s">
        <v>2112</v>
      </c>
      <c r="C318" s="897"/>
      <c r="D318" s="897"/>
      <c r="E318" s="937">
        <f t="shared" si="98"/>
        <v>0</v>
      </c>
      <c r="F318" s="897">
        <f t="shared" si="99"/>
        <v>0</v>
      </c>
      <c r="G318" s="897">
        <f t="shared" si="99"/>
        <v>0</v>
      </c>
      <c r="H318" s="897">
        <f t="shared" si="99"/>
        <v>0</v>
      </c>
      <c r="I318" s="897">
        <f t="shared" si="99"/>
        <v>0</v>
      </c>
      <c r="J318" s="897"/>
      <c r="K318" s="897"/>
      <c r="L318" s="897"/>
      <c r="M318" s="897"/>
      <c r="N318" s="897"/>
      <c r="O318" s="897"/>
      <c r="P318" s="897">
        <f t="shared" si="96"/>
        <v>0</v>
      </c>
      <c r="Q318" s="898">
        <f t="shared" si="88"/>
        <v>0</v>
      </c>
      <c r="R318" s="936">
        <f t="shared" si="100"/>
        <v>0</v>
      </c>
      <c r="S318" s="935">
        <f t="shared" si="97"/>
        <v>0</v>
      </c>
      <c r="T318" s="935">
        <f t="shared" si="97"/>
        <v>0</v>
      </c>
      <c r="U318" s="935">
        <f t="shared" si="97"/>
        <v>0</v>
      </c>
      <c r="V318" s="935">
        <f t="shared" si="97"/>
        <v>0</v>
      </c>
      <c r="W318" s="935">
        <f t="shared" si="97"/>
        <v>0</v>
      </c>
      <c r="X318" s="935">
        <f t="shared" si="97"/>
        <v>0</v>
      </c>
      <c r="Y318" s="935">
        <f t="shared" si="90"/>
        <v>0</v>
      </c>
      <c r="Z318" s="935">
        <f t="shared" si="91"/>
        <v>0</v>
      </c>
    </row>
    <row r="319" spans="1:26" hidden="1">
      <c r="A319" s="984">
        <v>6462</v>
      </c>
      <c r="B319" s="991" t="s">
        <v>2113</v>
      </c>
      <c r="C319" s="897"/>
      <c r="D319" s="897"/>
      <c r="E319" s="937">
        <f t="shared" si="98"/>
        <v>0</v>
      </c>
      <c r="F319" s="897">
        <f t="shared" si="99"/>
        <v>0</v>
      </c>
      <c r="G319" s="897">
        <f t="shared" si="99"/>
        <v>0</v>
      </c>
      <c r="H319" s="897">
        <f t="shared" si="99"/>
        <v>0</v>
      </c>
      <c r="I319" s="897">
        <f t="shared" si="99"/>
        <v>0</v>
      </c>
      <c r="J319" s="897"/>
      <c r="K319" s="897"/>
      <c r="L319" s="897"/>
      <c r="M319" s="897"/>
      <c r="N319" s="897"/>
      <c r="O319" s="897"/>
      <c r="P319" s="897">
        <f t="shared" si="96"/>
        <v>0</v>
      </c>
      <c r="Q319" s="898">
        <f t="shared" si="88"/>
        <v>0</v>
      </c>
      <c r="R319" s="936">
        <f t="shared" si="100"/>
        <v>0</v>
      </c>
      <c r="S319" s="935">
        <f t="shared" si="97"/>
        <v>0</v>
      </c>
      <c r="T319" s="935">
        <f t="shared" si="97"/>
        <v>0</v>
      </c>
      <c r="U319" s="935">
        <f t="shared" si="97"/>
        <v>0</v>
      </c>
      <c r="V319" s="935">
        <f t="shared" si="97"/>
        <v>0</v>
      </c>
      <c r="W319" s="935">
        <f t="shared" si="97"/>
        <v>0</v>
      </c>
      <c r="X319" s="935">
        <f t="shared" si="97"/>
        <v>0</v>
      </c>
      <c r="Y319" s="935">
        <f t="shared" si="90"/>
        <v>0</v>
      </c>
      <c r="Z319" s="935">
        <f t="shared" si="91"/>
        <v>0</v>
      </c>
    </row>
    <row r="320" spans="1:26" ht="13.5">
      <c r="A320" s="945">
        <v>649</v>
      </c>
      <c r="B320" s="944" t="s">
        <v>2114</v>
      </c>
      <c r="C320" s="908">
        <f>C321</f>
        <v>687500</v>
      </c>
      <c r="D320" s="908"/>
      <c r="E320" s="943">
        <f t="shared" ref="E320:O320" si="101">E321</f>
        <v>180377</v>
      </c>
      <c r="F320" s="908">
        <f t="shared" si="101"/>
        <v>198945</v>
      </c>
      <c r="G320" s="908">
        <f t="shared" si="101"/>
        <v>265377</v>
      </c>
      <c r="H320" s="908">
        <f t="shared" si="101"/>
        <v>192635</v>
      </c>
      <c r="I320" s="908">
        <f t="shared" si="101"/>
        <v>202225</v>
      </c>
      <c r="J320" s="908">
        <f t="shared" si="101"/>
        <v>210667</v>
      </c>
      <c r="K320" s="908">
        <f t="shared" si="101"/>
        <v>0</v>
      </c>
      <c r="L320" s="908">
        <f t="shared" si="101"/>
        <v>0</v>
      </c>
      <c r="M320" s="908">
        <f t="shared" si="101"/>
        <v>0</v>
      </c>
      <c r="N320" s="908">
        <f t="shared" si="101"/>
        <v>0</v>
      </c>
      <c r="O320" s="908">
        <f t="shared" si="101"/>
        <v>0</v>
      </c>
      <c r="P320" s="897">
        <f t="shared" ref="P320:P325" si="102">SUM(E320:N320)</f>
        <v>1250226</v>
      </c>
      <c r="Q320" s="909">
        <f t="shared" si="88"/>
        <v>-562726</v>
      </c>
      <c r="R320" s="960">
        <f>R321</f>
        <v>250045.2</v>
      </c>
      <c r="S320" s="959">
        <f t="shared" si="97"/>
        <v>250045.2</v>
      </c>
      <c r="T320" s="959">
        <f t="shared" si="97"/>
        <v>250045.2</v>
      </c>
      <c r="U320" s="959">
        <f t="shared" si="97"/>
        <v>250045.2</v>
      </c>
      <c r="V320" s="959">
        <f t="shared" si="97"/>
        <v>250045.2</v>
      </c>
      <c r="W320" s="959">
        <f t="shared" si="97"/>
        <v>250045.2</v>
      </c>
      <c r="X320" s="959">
        <f t="shared" si="97"/>
        <v>250045.2</v>
      </c>
      <c r="Y320" s="959">
        <f t="shared" si="90"/>
        <v>1750316.4</v>
      </c>
      <c r="Z320" s="959">
        <f t="shared" si="91"/>
        <v>-2313042.4</v>
      </c>
    </row>
    <row r="321" spans="1:28">
      <c r="A321" s="984">
        <v>6499</v>
      </c>
      <c r="B321" s="991" t="s">
        <v>2115</v>
      </c>
      <c r="C321" s="897">
        <v>687500</v>
      </c>
      <c r="D321" s="897"/>
      <c r="E321" s="937">
        <v>180377</v>
      </c>
      <c r="F321" s="897">
        <v>198945</v>
      </c>
      <c r="G321" s="897">
        <v>265377</v>
      </c>
      <c r="H321" s="897">
        <v>192635</v>
      </c>
      <c r="I321" s="897">
        <v>202225</v>
      </c>
      <c r="J321" s="897">
        <v>210667</v>
      </c>
      <c r="K321" s="897"/>
      <c r="L321" s="897"/>
      <c r="M321" s="897"/>
      <c r="N321" s="897"/>
      <c r="O321" s="897"/>
      <c r="P321" s="897">
        <f t="shared" si="102"/>
        <v>1250226</v>
      </c>
      <c r="Q321" s="898">
        <f t="shared" si="88"/>
        <v>-562726</v>
      </c>
      <c r="R321" s="936">
        <f>P321/5</f>
        <v>250045.2</v>
      </c>
      <c r="S321" s="935">
        <f t="shared" si="97"/>
        <v>250045.2</v>
      </c>
      <c r="T321" s="935">
        <f t="shared" si="97"/>
        <v>250045.2</v>
      </c>
      <c r="U321" s="935">
        <f t="shared" si="97"/>
        <v>250045.2</v>
      </c>
      <c r="V321" s="935">
        <f t="shared" si="97"/>
        <v>250045.2</v>
      </c>
      <c r="W321" s="935">
        <f t="shared" si="97"/>
        <v>250045.2</v>
      </c>
      <c r="X321" s="935">
        <f t="shared" si="97"/>
        <v>250045.2</v>
      </c>
      <c r="Y321" s="935">
        <f t="shared" si="90"/>
        <v>1750316.4</v>
      </c>
      <c r="Z321" s="935">
        <f t="shared" si="91"/>
        <v>-2313042.4</v>
      </c>
    </row>
    <row r="322" spans="1:28">
      <c r="A322" s="949" t="s">
        <v>2116</v>
      </c>
      <c r="B322" s="948" t="s">
        <v>2117</v>
      </c>
      <c r="C322" s="894">
        <f>+C323+C346</f>
        <v>2506243</v>
      </c>
      <c r="D322" s="894"/>
      <c r="E322" s="947">
        <f t="shared" ref="E322:N322" si="103">E323+E346</f>
        <v>19035</v>
      </c>
      <c r="F322" s="894">
        <f t="shared" si="103"/>
        <v>82371</v>
      </c>
      <c r="G322" s="894">
        <f t="shared" si="103"/>
        <v>59325</v>
      </c>
      <c r="H322" s="894">
        <f t="shared" si="103"/>
        <v>337403</v>
      </c>
      <c r="I322" s="894">
        <f t="shared" si="103"/>
        <v>484401</v>
      </c>
      <c r="J322" s="894">
        <f t="shared" si="103"/>
        <v>85637</v>
      </c>
      <c r="K322" s="894">
        <f t="shared" si="103"/>
        <v>0</v>
      </c>
      <c r="L322" s="894">
        <f t="shared" si="103"/>
        <v>0</v>
      </c>
      <c r="M322" s="894">
        <f t="shared" si="103"/>
        <v>0</v>
      </c>
      <c r="N322" s="894">
        <f t="shared" si="103"/>
        <v>0</v>
      </c>
      <c r="O322" s="894">
        <f>O323+O346</f>
        <v>0</v>
      </c>
      <c r="P322" s="894">
        <f t="shared" si="102"/>
        <v>1068172</v>
      </c>
      <c r="Q322" s="895">
        <f t="shared" si="88"/>
        <v>1438071</v>
      </c>
      <c r="R322" s="990">
        <f>R323+R346</f>
        <v>87798.8</v>
      </c>
      <c r="S322" s="989">
        <f t="shared" si="97"/>
        <v>87798.8</v>
      </c>
      <c r="T322" s="989">
        <f t="shared" si="97"/>
        <v>87798.8</v>
      </c>
      <c r="U322" s="989">
        <f t="shared" si="97"/>
        <v>87798.8</v>
      </c>
      <c r="V322" s="989">
        <f t="shared" si="97"/>
        <v>87798.8</v>
      </c>
      <c r="W322" s="989">
        <f t="shared" si="97"/>
        <v>87798.8</v>
      </c>
      <c r="X322" s="989">
        <f t="shared" si="97"/>
        <v>87798.8</v>
      </c>
      <c r="Y322" s="989">
        <f t="shared" si="90"/>
        <v>614591.60000000009</v>
      </c>
      <c r="Z322" s="989">
        <f t="shared" si="91"/>
        <v>823479.39999999991</v>
      </c>
      <c r="AB322" s="892">
        <f>3141531-P322</f>
        <v>2073359</v>
      </c>
    </row>
    <row r="323" spans="1:28" ht="13.5">
      <c r="A323" s="945">
        <v>66</v>
      </c>
      <c r="B323" s="944" t="s">
        <v>2118</v>
      </c>
      <c r="C323" s="908">
        <f>+C324</f>
        <v>2120781</v>
      </c>
      <c r="D323" s="908"/>
      <c r="E323" s="943">
        <f>E324+E333+E344</f>
        <v>19035</v>
      </c>
      <c r="F323" s="943">
        <f>F324+F333+F344</f>
        <v>82371</v>
      </c>
      <c r="G323" s="908">
        <f t="shared" ref="G323:N323" si="104">G324+G333+G344</f>
        <v>59325</v>
      </c>
      <c r="H323" s="908">
        <f t="shared" si="104"/>
        <v>337403</v>
      </c>
      <c r="I323" s="908">
        <f t="shared" si="104"/>
        <v>484401</v>
      </c>
      <c r="J323" s="908">
        <f t="shared" si="104"/>
        <v>85637</v>
      </c>
      <c r="K323" s="908">
        <f>K324+K332+K344</f>
        <v>0</v>
      </c>
      <c r="L323" s="908">
        <f>L324+L333+L344</f>
        <v>0</v>
      </c>
      <c r="M323" s="908">
        <f t="shared" si="104"/>
        <v>0</v>
      </c>
      <c r="N323" s="908">
        <f t="shared" si="104"/>
        <v>0</v>
      </c>
      <c r="O323" s="908">
        <f>O324+O333+O344</f>
        <v>0</v>
      </c>
      <c r="P323" s="908">
        <f t="shared" si="102"/>
        <v>1068172</v>
      </c>
      <c r="Q323" s="909">
        <f t="shared" si="88"/>
        <v>1052609</v>
      </c>
      <c r="R323" s="988">
        <f>R324+R333+R344</f>
        <v>87798.8</v>
      </c>
      <c r="S323" s="959">
        <f t="shared" ref="S323:X344" si="105">R323</f>
        <v>87798.8</v>
      </c>
      <c r="T323" s="959">
        <f t="shared" si="105"/>
        <v>87798.8</v>
      </c>
      <c r="U323" s="959">
        <f t="shared" si="105"/>
        <v>87798.8</v>
      </c>
      <c r="V323" s="959">
        <f t="shared" si="105"/>
        <v>87798.8</v>
      </c>
      <c r="W323" s="959">
        <f t="shared" si="105"/>
        <v>87798.8</v>
      </c>
      <c r="X323" s="959">
        <f t="shared" si="105"/>
        <v>87798.8</v>
      </c>
      <c r="Y323" s="959">
        <f t="shared" si="90"/>
        <v>614591.60000000009</v>
      </c>
      <c r="Z323" s="959">
        <f t="shared" si="91"/>
        <v>438017.39999999991</v>
      </c>
    </row>
    <row r="324" spans="1:28" s="911" customFormat="1">
      <c r="A324" s="958">
        <v>661</v>
      </c>
      <c r="B324" s="977" t="s">
        <v>2119</v>
      </c>
      <c r="C324" s="1156">
        <f>+C325+C332+C333+C344</f>
        <v>2120781</v>
      </c>
      <c r="D324" s="1156"/>
      <c r="E324" s="1156">
        <f>+E338+E339</f>
        <v>0</v>
      </c>
      <c r="F324" s="1156">
        <f t="shared" ref="F324:M324" si="106">+F338+F339</f>
        <v>0</v>
      </c>
      <c r="G324" s="1156">
        <f t="shared" si="106"/>
        <v>0</v>
      </c>
      <c r="H324" s="1156">
        <f t="shared" si="106"/>
        <v>251856</v>
      </c>
      <c r="I324" s="1156">
        <f t="shared" si="106"/>
        <v>377322</v>
      </c>
      <c r="J324" s="1156">
        <f t="shared" si="106"/>
        <v>0</v>
      </c>
      <c r="K324" s="1156">
        <f t="shared" si="106"/>
        <v>0</v>
      </c>
      <c r="L324" s="1156">
        <f t="shared" si="106"/>
        <v>0</v>
      </c>
      <c r="M324" s="1156">
        <f t="shared" si="106"/>
        <v>0</v>
      </c>
      <c r="N324" s="1156">
        <f>+N325+N332</f>
        <v>0</v>
      </c>
      <c r="O324" s="1156">
        <f>+O325+O332</f>
        <v>0</v>
      </c>
      <c r="P324" s="1156">
        <f t="shared" si="102"/>
        <v>629178</v>
      </c>
      <c r="Q324" s="1157">
        <f t="shared" si="88"/>
        <v>1491603</v>
      </c>
      <c r="R324" s="956">
        <f>R325+R332</f>
        <v>0</v>
      </c>
      <c r="S324" s="987">
        <f t="shared" si="105"/>
        <v>0</v>
      </c>
      <c r="T324" s="987">
        <f t="shared" si="105"/>
        <v>0</v>
      </c>
      <c r="U324" s="987">
        <f t="shared" si="105"/>
        <v>0</v>
      </c>
      <c r="V324" s="987">
        <f t="shared" si="105"/>
        <v>0</v>
      </c>
      <c r="W324" s="987">
        <f t="shared" si="105"/>
        <v>0</v>
      </c>
      <c r="X324" s="987">
        <f t="shared" si="105"/>
        <v>0</v>
      </c>
      <c r="Y324" s="987">
        <f t="shared" si="90"/>
        <v>0</v>
      </c>
      <c r="Z324" s="987">
        <f t="shared" si="91"/>
        <v>1491603</v>
      </c>
    </row>
    <row r="325" spans="1:28" s="911" customFormat="1" hidden="1">
      <c r="A325" s="984">
        <v>6611</v>
      </c>
      <c r="B325" s="983" t="s">
        <v>2120</v>
      </c>
      <c r="C325" s="900">
        <v>1303772</v>
      </c>
      <c r="D325" s="900"/>
      <c r="E325" s="956"/>
      <c r="F325" s="900"/>
      <c r="G325" s="900"/>
      <c r="H325" s="900"/>
      <c r="I325" s="900"/>
      <c r="J325" s="900"/>
      <c r="K325" s="900"/>
      <c r="L325" s="900"/>
      <c r="M325" s="900"/>
      <c r="N325" s="900"/>
      <c r="O325" s="900"/>
      <c r="P325" s="900">
        <f t="shared" si="102"/>
        <v>0</v>
      </c>
      <c r="Q325" s="910">
        <f t="shared" si="88"/>
        <v>1303772</v>
      </c>
      <c r="R325" s="936">
        <f>P325/5</f>
        <v>0</v>
      </c>
      <c r="S325" s="954">
        <f t="shared" si="105"/>
        <v>0</v>
      </c>
      <c r="T325" s="954">
        <f t="shared" si="105"/>
        <v>0</v>
      </c>
      <c r="U325" s="954">
        <f t="shared" si="105"/>
        <v>0</v>
      </c>
      <c r="V325" s="954">
        <f t="shared" si="105"/>
        <v>0</v>
      </c>
      <c r="W325" s="954">
        <f t="shared" si="105"/>
        <v>0</v>
      </c>
      <c r="X325" s="954">
        <f t="shared" si="105"/>
        <v>0</v>
      </c>
      <c r="Y325" s="954">
        <f t="shared" si="90"/>
        <v>0</v>
      </c>
      <c r="Z325" s="954">
        <f t="shared" si="91"/>
        <v>1303772</v>
      </c>
    </row>
    <row r="326" spans="1:28" s="911" customFormat="1" hidden="1">
      <c r="A326" s="986" t="s">
        <v>2121</v>
      </c>
      <c r="B326" s="985" t="s">
        <v>2122</v>
      </c>
      <c r="C326" s="900"/>
      <c r="D326" s="900"/>
      <c r="E326" s="956"/>
      <c r="F326" s="900"/>
      <c r="G326" s="900"/>
      <c r="H326" s="900"/>
      <c r="I326" s="900"/>
      <c r="J326" s="900"/>
      <c r="K326" s="900"/>
      <c r="L326" s="900"/>
      <c r="M326" s="900"/>
      <c r="N326" s="900"/>
      <c r="O326" s="900"/>
      <c r="P326" s="900">
        <f t="shared" ref="P326:P339" si="107">SUM(E326:N326)</f>
        <v>0</v>
      </c>
      <c r="Q326" s="910">
        <f t="shared" si="88"/>
        <v>0</v>
      </c>
      <c r="R326" s="955">
        <f t="shared" ref="R326:R331" si="108">Q326/7</f>
        <v>0</v>
      </c>
      <c r="S326" s="954">
        <f t="shared" si="105"/>
        <v>0</v>
      </c>
      <c r="T326" s="954">
        <f t="shared" si="105"/>
        <v>0</v>
      </c>
      <c r="U326" s="954">
        <f t="shared" si="105"/>
        <v>0</v>
      </c>
      <c r="V326" s="954">
        <f t="shared" si="105"/>
        <v>0</v>
      </c>
      <c r="W326" s="954">
        <f t="shared" si="105"/>
        <v>0</v>
      </c>
      <c r="X326" s="954">
        <f t="shared" si="105"/>
        <v>0</v>
      </c>
      <c r="Y326" s="954">
        <f t="shared" si="90"/>
        <v>0</v>
      </c>
      <c r="Z326" s="954">
        <f t="shared" si="91"/>
        <v>0</v>
      </c>
    </row>
    <row r="327" spans="1:28" s="911" customFormat="1" hidden="1">
      <c r="A327" s="986" t="s">
        <v>2123</v>
      </c>
      <c r="B327" s="985" t="s">
        <v>2124</v>
      </c>
      <c r="C327" s="900"/>
      <c r="D327" s="900"/>
      <c r="E327" s="956"/>
      <c r="F327" s="900"/>
      <c r="G327" s="900"/>
      <c r="H327" s="900"/>
      <c r="I327" s="900"/>
      <c r="J327" s="900"/>
      <c r="K327" s="900"/>
      <c r="L327" s="900"/>
      <c r="M327" s="900"/>
      <c r="N327" s="900"/>
      <c r="O327" s="900"/>
      <c r="P327" s="900">
        <f t="shared" si="107"/>
        <v>0</v>
      </c>
      <c r="Q327" s="910">
        <f t="shared" si="88"/>
        <v>0</v>
      </c>
      <c r="R327" s="955">
        <f t="shared" si="108"/>
        <v>0</v>
      </c>
      <c r="S327" s="954">
        <f t="shared" si="105"/>
        <v>0</v>
      </c>
      <c r="T327" s="954">
        <f t="shared" si="105"/>
        <v>0</v>
      </c>
      <c r="U327" s="954">
        <f t="shared" si="105"/>
        <v>0</v>
      </c>
      <c r="V327" s="954">
        <f t="shared" si="105"/>
        <v>0</v>
      </c>
      <c r="W327" s="954">
        <f t="shared" si="105"/>
        <v>0</v>
      </c>
      <c r="X327" s="954">
        <f t="shared" si="105"/>
        <v>0</v>
      </c>
      <c r="Y327" s="954">
        <f t="shared" si="90"/>
        <v>0</v>
      </c>
      <c r="Z327" s="954">
        <f t="shared" si="91"/>
        <v>0</v>
      </c>
    </row>
    <row r="328" spans="1:28" s="911" customFormat="1" hidden="1">
      <c r="A328" s="986" t="s">
        <v>2125</v>
      </c>
      <c r="B328" s="985" t="s">
        <v>2126</v>
      </c>
      <c r="C328" s="900"/>
      <c r="D328" s="900"/>
      <c r="E328" s="956"/>
      <c r="F328" s="900"/>
      <c r="G328" s="900"/>
      <c r="H328" s="900"/>
      <c r="I328" s="900"/>
      <c r="J328" s="900"/>
      <c r="K328" s="900"/>
      <c r="L328" s="900"/>
      <c r="M328" s="900"/>
      <c r="N328" s="900"/>
      <c r="O328" s="900"/>
      <c r="P328" s="900">
        <f t="shared" si="107"/>
        <v>0</v>
      </c>
      <c r="Q328" s="910">
        <f t="shared" si="88"/>
        <v>0</v>
      </c>
      <c r="R328" s="955">
        <f t="shared" si="108"/>
        <v>0</v>
      </c>
      <c r="S328" s="954">
        <f t="shared" si="105"/>
        <v>0</v>
      </c>
      <c r="T328" s="954">
        <f t="shared" si="105"/>
        <v>0</v>
      </c>
      <c r="U328" s="954">
        <f t="shared" si="105"/>
        <v>0</v>
      </c>
      <c r="V328" s="954">
        <f t="shared" si="105"/>
        <v>0</v>
      </c>
      <c r="W328" s="954">
        <f t="shared" si="105"/>
        <v>0</v>
      </c>
      <c r="X328" s="954">
        <f t="shared" si="105"/>
        <v>0</v>
      </c>
      <c r="Y328" s="954">
        <f t="shared" si="90"/>
        <v>0</v>
      </c>
      <c r="Z328" s="954">
        <f t="shared" si="91"/>
        <v>0</v>
      </c>
    </row>
    <row r="329" spans="1:28" s="911" customFormat="1" hidden="1">
      <c r="A329" s="986" t="s">
        <v>2127</v>
      </c>
      <c r="B329" s="985" t="s">
        <v>1726</v>
      </c>
      <c r="C329" s="900"/>
      <c r="D329" s="900"/>
      <c r="E329" s="956"/>
      <c r="F329" s="900"/>
      <c r="G329" s="900"/>
      <c r="H329" s="900"/>
      <c r="I329" s="900"/>
      <c r="J329" s="900"/>
      <c r="K329" s="900"/>
      <c r="L329" s="900"/>
      <c r="M329" s="900"/>
      <c r="N329" s="900"/>
      <c r="O329" s="900"/>
      <c r="P329" s="900">
        <f t="shared" si="107"/>
        <v>0</v>
      </c>
      <c r="Q329" s="910">
        <f t="shared" si="88"/>
        <v>0</v>
      </c>
      <c r="R329" s="955">
        <f t="shared" si="108"/>
        <v>0</v>
      </c>
      <c r="S329" s="954">
        <f t="shared" si="105"/>
        <v>0</v>
      </c>
      <c r="T329" s="954">
        <f t="shared" si="105"/>
        <v>0</v>
      </c>
      <c r="U329" s="954">
        <f t="shared" si="105"/>
        <v>0</v>
      </c>
      <c r="V329" s="954">
        <f t="shared" si="105"/>
        <v>0</v>
      </c>
      <c r="W329" s="954">
        <f t="shared" si="105"/>
        <v>0</v>
      </c>
      <c r="X329" s="954">
        <f t="shared" si="105"/>
        <v>0</v>
      </c>
      <c r="Y329" s="954">
        <f t="shared" si="90"/>
        <v>0</v>
      </c>
      <c r="Z329" s="954">
        <f t="shared" si="91"/>
        <v>0</v>
      </c>
    </row>
    <row r="330" spans="1:28" s="911" customFormat="1" hidden="1">
      <c r="A330" s="986" t="s">
        <v>2128</v>
      </c>
      <c r="B330" s="985" t="s">
        <v>2129</v>
      </c>
      <c r="C330" s="900"/>
      <c r="D330" s="900"/>
      <c r="E330" s="956"/>
      <c r="F330" s="900"/>
      <c r="G330" s="900"/>
      <c r="H330" s="900"/>
      <c r="I330" s="900"/>
      <c r="J330" s="900"/>
      <c r="K330" s="900"/>
      <c r="L330" s="900"/>
      <c r="M330" s="900"/>
      <c r="N330" s="900"/>
      <c r="O330" s="900"/>
      <c r="P330" s="900">
        <f t="shared" si="107"/>
        <v>0</v>
      </c>
      <c r="Q330" s="910">
        <f t="shared" si="88"/>
        <v>0</v>
      </c>
      <c r="R330" s="955">
        <f t="shared" si="108"/>
        <v>0</v>
      </c>
      <c r="S330" s="954">
        <f t="shared" si="105"/>
        <v>0</v>
      </c>
      <c r="T330" s="954">
        <f t="shared" si="105"/>
        <v>0</v>
      </c>
      <c r="U330" s="954">
        <f t="shared" si="105"/>
        <v>0</v>
      </c>
      <c r="V330" s="954">
        <f t="shared" si="105"/>
        <v>0</v>
      </c>
      <c r="W330" s="954">
        <f t="shared" si="105"/>
        <v>0</v>
      </c>
      <c r="X330" s="954">
        <f t="shared" si="105"/>
        <v>0</v>
      </c>
      <c r="Y330" s="954">
        <f t="shared" si="90"/>
        <v>0</v>
      </c>
      <c r="Z330" s="954">
        <f t="shared" si="91"/>
        <v>0</v>
      </c>
    </row>
    <row r="331" spans="1:28" s="911" customFormat="1" hidden="1">
      <c r="A331" s="986" t="s">
        <v>2130</v>
      </c>
      <c r="B331" s="985" t="s">
        <v>2131</v>
      </c>
      <c r="C331" s="900"/>
      <c r="D331" s="900"/>
      <c r="E331" s="956"/>
      <c r="F331" s="900"/>
      <c r="G331" s="900"/>
      <c r="H331" s="900"/>
      <c r="I331" s="900"/>
      <c r="J331" s="900"/>
      <c r="K331" s="900"/>
      <c r="L331" s="900"/>
      <c r="M331" s="900"/>
      <c r="N331" s="900"/>
      <c r="O331" s="900"/>
      <c r="P331" s="900">
        <f t="shared" si="107"/>
        <v>0</v>
      </c>
      <c r="Q331" s="910">
        <f t="shared" si="88"/>
        <v>0</v>
      </c>
      <c r="R331" s="955">
        <f t="shared" si="108"/>
        <v>0</v>
      </c>
      <c r="S331" s="954">
        <f t="shared" si="105"/>
        <v>0</v>
      </c>
      <c r="T331" s="954">
        <f t="shared" si="105"/>
        <v>0</v>
      </c>
      <c r="U331" s="954">
        <f t="shared" si="105"/>
        <v>0</v>
      </c>
      <c r="V331" s="954">
        <f t="shared" si="105"/>
        <v>0</v>
      </c>
      <c r="W331" s="954">
        <f t="shared" si="105"/>
        <v>0</v>
      </c>
      <c r="X331" s="954">
        <f t="shared" si="105"/>
        <v>0</v>
      </c>
      <c r="Y331" s="954">
        <f t="shared" si="90"/>
        <v>0</v>
      </c>
      <c r="Z331" s="954">
        <f t="shared" si="91"/>
        <v>0</v>
      </c>
    </row>
    <row r="332" spans="1:28" s="911" customFormat="1" hidden="1">
      <c r="A332" s="984">
        <v>6612</v>
      </c>
      <c r="B332" s="983" t="s">
        <v>2132</v>
      </c>
      <c r="C332" s="900">
        <v>250000</v>
      </c>
      <c r="D332" s="900"/>
      <c r="E332" s="956"/>
      <c r="F332" s="900"/>
      <c r="G332" s="900"/>
      <c r="H332" s="900"/>
      <c r="I332" s="900"/>
      <c r="J332" s="900"/>
      <c r="K332" s="900"/>
      <c r="L332" s="900"/>
      <c r="M332" s="900"/>
      <c r="N332" s="900"/>
      <c r="O332" s="900"/>
      <c r="P332" s="900">
        <f t="shared" si="107"/>
        <v>0</v>
      </c>
      <c r="Q332" s="910">
        <f t="shared" si="88"/>
        <v>250000</v>
      </c>
      <c r="R332" s="936">
        <f>P332/5</f>
        <v>0</v>
      </c>
      <c r="S332" s="954">
        <f t="shared" si="105"/>
        <v>0</v>
      </c>
      <c r="T332" s="954">
        <f t="shared" si="105"/>
        <v>0</v>
      </c>
      <c r="U332" s="954">
        <f t="shared" si="105"/>
        <v>0</v>
      </c>
      <c r="V332" s="954">
        <f t="shared" si="105"/>
        <v>0</v>
      </c>
      <c r="W332" s="954">
        <f t="shared" si="105"/>
        <v>0</v>
      </c>
      <c r="X332" s="954">
        <f t="shared" si="105"/>
        <v>0</v>
      </c>
      <c r="Y332" s="954">
        <f t="shared" si="90"/>
        <v>0</v>
      </c>
      <c r="Z332" s="954">
        <f t="shared" si="91"/>
        <v>250000</v>
      </c>
    </row>
    <row r="333" spans="1:28" hidden="1">
      <c r="A333" s="982">
        <v>662</v>
      </c>
      <c r="B333" s="1203" t="s">
        <v>2133</v>
      </c>
      <c r="C333" s="913">
        <f>+C334+C335+C336</f>
        <v>51854</v>
      </c>
      <c r="D333" s="913"/>
      <c r="E333" s="1013"/>
      <c r="F333" s="913"/>
      <c r="G333" s="913"/>
      <c r="H333" s="913"/>
      <c r="I333" s="913"/>
      <c r="J333" s="913"/>
      <c r="K333" s="913"/>
      <c r="L333" s="913"/>
      <c r="M333" s="913"/>
      <c r="N333" s="913"/>
      <c r="O333" s="913"/>
      <c r="P333" s="913">
        <f t="shared" si="107"/>
        <v>0</v>
      </c>
      <c r="Q333" s="914">
        <f t="shared" si="88"/>
        <v>51854</v>
      </c>
      <c r="R333" s="936"/>
      <c r="S333" s="935">
        <f t="shared" si="105"/>
        <v>0</v>
      </c>
      <c r="T333" s="935">
        <f t="shared" si="105"/>
        <v>0</v>
      </c>
      <c r="U333" s="935">
        <f t="shared" si="105"/>
        <v>0</v>
      </c>
      <c r="V333" s="935">
        <f t="shared" si="105"/>
        <v>0</v>
      </c>
      <c r="W333" s="935">
        <f t="shared" si="105"/>
        <v>0</v>
      </c>
      <c r="X333" s="935">
        <f t="shared" si="105"/>
        <v>0</v>
      </c>
      <c r="Y333" s="935">
        <f t="shared" si="90"/>
        <v>0</v>
      </c>
      <c r="Z333" s="935">
        <f t="shared" si="91"/>
        <v>51854</v>
      </c>
    </row>
    <row r="334" spans="1:28" hidden="1">
      <c r="A334" s="939">
        <v>6621</v>
      </c>
      <c r="B334" s="938" t="s">
        <v>2134</v>
      </c>
      <c r="C334" s="897">
        <v>37500</v>
      </c>
      <c r="D334" s="897"/>
      <c r="E334" s="937"/>
      <c r="F334" s="897"/>
      <c r="G334" s="897"/>
      <c r="H334" s="897"/>
      <c r="I334" s="897"/>
      <c r="J334" s="897"/>
      <c r="K334" s="897"/>
      <c r="L334" s="897"/>
      <c r="M334" s="897"/>
      <c r="N334" s="897"/>
      <c r="O334" s="897"/>
      <c r="P334" s="900">
        <f t="shared" si="107"/>
        <v>0</v>
      </c>
      <c r="Q334" s="898">
        <f t="shared" si="88"/>
        <v>37500</v>
      </c>
      <c r="R334" s="936"/>
      <c r="S334" s="935">
        <f t="shared" si="105"/>
        <v>0</v>
      </c>
      <c r="T334" s="935">
        <f t="shared" si="105"/>
        <v>0</v>
      </c>
      <c r="U334" s="935">
        <f t="shared" si="105"/>
        <v>0</v>
      </c>
      <c r="V334" s="935">
        <f t="shared" si="105"/>
        <v>0</v>
      </c>
      <c r="W334" s="935">
        <f t="shared" si="105"/>
        <v>0</v>
      </c>
      <c r="X334" s="935">
        <f t="shared" si="105"/>
        <v>0</v>
      </c>
      <c r="Y334" s="935">
        <f t="shared" si="90"/>
        <v>0</v>
      </c>
      <c r="Z334" s="935">
        <f t="shared" si="91"/>
        <v>37500</v>
      </c>
    </row>
    <row r="335" spans="1:28" hidden="1">
      <c r="A335" s="939">
        <v>6622</v>
      </c>
      <c r="B335" s="977" t="s">
        <v>2135</v>
      </c>
      <c r="C335" s="897">
        <v>12500</v>
      </c>
      <c r="D335" s="897"/>
      <c r="E335" s="937"/>
      <c r="F335" s="897"/>
      <c r="G335" s="897"/>
      <c r="H335" s="897"/>
      <c r="I335" s="897"/>
      <c r="J335" s="897"/>
      <c r="K335" s="897"/>
      <c r="L335" s="897">
        <v>0</v>
      </c>
      <c r="M335" s="897"/>
      <c r="N335" s="897"/>
      <c r="O335" s="897"/>
      <c r="P335" s="900">
        <f t="shared" si="107"/>
        <v>0</v>
      </c>
      <c r="Q335" s="898">
        <f t="shared" si="88"/>
        <v>12500</v>
      </c>
      <c r="R335" s="936"/>
      <c r="S335" s="935">
        <f t="shared" si="105"/>
        <v>0</v>
      </c>
      <c r="T335" s="935">
        <f t="shared" si="105"/>
        <v>0</v>
      </c>
      <c r="U335" s="935">
        <f t="shared" si="105"/>
        <v>0</v>
      </c>
      <c r="V335" s="935">
        <f t="shared" si="105"/>
        <v>0</v>
      </c>
      <c r="W335" s="935">
        <f t="shared" si="105"/>
        <v>0</v>
      </c>
      <c r="X335" s="935">
        <f t="shared" si="105"/>
        <v>0</v>
      </c>
      <c r="Y335" s="935">
        <f t="shared" si="90"/>
        <v>0</v>
      </c>
      <c r="Z335" s="935">
        <f t="shared" si="91"/>
        <v>12500</v>
      </c>
    </row>
    <row r="336" spans="1:28" hidden="1">
      <c r="A336" s="980">
        <v>6623</v>
      </c>
      <c r="B336" s="973" t="s">
        <v>2136</v>
      </c>
      <c r="C336" s="971">
        <v>1854</v>
      </c>
      <c r="D336" s="971"/>
      <c r="E336" s="972"/>
      <c r="F336" s="971"/>
      <c r="G336" s="971"/>
      <c r="H336" s="971"/>
      <c r="I336" s="971"/>
      <c r="J336" s="971"/>
      <c r="K336" s="971"/>
      <c r="L336" s="971"/>
      <c r="M336" s="971"/>
      <c r="N336" s="971"/>
      <c r="O336" s="971"/>
      <c r="P336" s="1072">
        <f t="shared" si="107"/>
        <v>0</v>
      </c>
      <c r="Q336" s="970">
        <f t="shared" si="88"/>
        <v>1854</v>
      </c>
      <c r="R336" s="936"/>
      <c r="S336" s="935">
        <f t="shared" si="105"/>
        <v>0</v>
      </c>
      <c r="T336" s="935">
        <f t="shared" si="105"/>
        <v>0</v>
      </c>
      <c r="U336" s="935">
        <f t="shared" si="105"/>
        <v>0</v>
      </c>
      <c r="V336" s="935">
        <f t="shared" si="105"/>
        <v>0</v>
      </c>
      <c r="W336" s="935">
        <f t="shared" si="105"/>
        <v>0</v>
      </c>
      <c r="X336" s="935">
        <f t="shared" si="105"/>
        <v>0</v>
      </c>
      <c r="Y336" s="935">
        <f t="shared" si="90"/>
        <v>0</v>
      </c>
      <c r="Z336" s="935">
        <f t="shared" si="91"/>
        <v>1854</v>
      </c>
    </row>
    <row r="337" spans="1:28" hidden="1">
      <c r="A337" s="976">
        <v>663</v>
      </c>
      <c r="B337" s="975" t="s">
        <v>2137</v>
      </c>
      <c r="C337" s="897"/>
      <c r="D337" s="897"/>
      <c r="E337" s="937">
        <f>C337/12</f>
        <v>0</v>
      </c>
      <c r="F337" s="897">
        <f>E337/12</f>
        <v>0</v>
      </c>
      <c r="G337" s="897">
        <f>F337/12</f>
        <v>0</v>
      </c>
      <c r="H337" s="897">
        <f>G337/12</f>
        <v>0</v>
      </c>
      <c r="I337" s="897">
        <f>H337/12</f>
        <v>0</v>
      </c>
      <c r="J337" s="897">
        <v>0</v>
      </c>
      <c r="K337" s="897">
        <v>0</v>
      </c>
      <c r="L337" s="897">
        <v>0</v>
      </c>
      <c r="M337" s="897"/>
      <c r="N337" s="897"/>
      <c r="O337" s="897"/>
      <c r="P337" s="900">
        <f t="shared" si="107"/>
        <v>0</v>
      </c>
      <c r="Q337" s="898">
        <f t="shared" si="88"/>
        <v>0</v>
      </c>
      <c r="R337" s="936">
        <f>Q337/7</f>
        <v>0</v>
      </c>
      <c r="S337" s="935">
        <f t="shared" si="105"/>
        <v>0</v>
      </c>
      <c r="T337" s="935">
        <f t="shared" si="105"/>
        <v>0</v>
      </c>
      <c r="U337" s="935">
        <f t="shared" si="105"/>
        <v>0</v>
      </c>
      <c r="V337" s="935">
        <f t="shared" si="105"/>
        <v>0</v>
      </c>
      <c r="W337" s="935">
        <f t="shared" si="105"/>
        <v>0</v>
      </c>
      <c r="X337" s="935">
        <f t="shared" si="105"/>
        <v>0</v>
      </c>
      <c r="Y337" s="935">
        <f t="shared" si="90"/>
        <v>0</v>
      </c>
      <c r="Z337" s="935">
        <f t="shared" si="91"/>
        <v>0</v>
      </c>
      <c r="AB337" s="892">
        <f>+F323+F348</f>
        <v>82371</v>
      </c>
    </row>
    <row r="338" spans="1:28">
      <c r="A338" s="984">
        <v>6611</v>
      </c>
      <c r="B338" s="983" t="s">
        <v>2120</v>
      </c>
      <c r="C338" s="897"/>
      <c r="D338" s="897"/>
      <c r="E338" s="937"/>
      <c r="F338" s="897"/>
      <c r="G338" s="897"/>
      <c r="H338" s="897">
        <v>251856</v>
      </c>
      <c r="I338" s="897">
        <v>370175</v>
      </c>
      <c r="J338" s="897"/>
      <c r="K338" s="897"/>
      <c r="L338" s="897"/>
      <c r="M338" s="897"/>
      <c r="N338" s="897"/>
      <c r="O338" s="897"/>
      <c r="P338" s="900">
        <f t="shared" si="107"/>
        <v>622031</v>
      </c>
      <c r="Q338" s="898">
        <f t="shared" si="88"/>
        <v>-622031</v>
      </c>
      <c r="R338" s="1124"/>
      <c r="S338" s="935"/>
      <c r="T338" s="935"/>
      <c r="U338" s="935"/>
      <c r="V338" s="935"/>
      <c r="W338" s="935"/>
      <c r="X338" s="935"/>
      <c r="Y338" s="935"/>
      <c r="Z338" s="935"/>
      <c r="AB338" s="892"/>
    </row>
    <row r="339" spans="1:28">
      <c r="A339" s="984">
        <v>6612</v>
      </c>
      <c r="B339" s="983" t="s">
        <v>2132</v>
      </c>
      <c r="C339" s="897"/>
      <c r="D339" s="897"/>
      <c r="E339" s="937"/>
      <c r="F339" s="897"/>
      <c r="G339" s="897"/>
      <c r="H339" s="897"/>
      <c r="I339" s="897">
        <v>7147</v>
      </c>
      <c r="J339" s="897"/>
      <c r="K339" s="897"/>
      <c r="L339" s="897"/>
      <c r="M339" s="897"/>
      <c r="N339" s="897"/>
      <c r="O339" s="897"/>
      <c r="P339" s="900">
        <f t="shared" si="107"/>
        <v>7147</v>
      </c>
      <c r="Q339" s="898">
        <f t="shared" si="88"/>
        <v>-7147</v>
      </c>
      <c r="R339" s="1124"/>
      <c r="S339" s="935"/>
      <c r="T339" s="935"/>
      <c r="U339" s="935"/>
      <c r="V339" s="935"/>
      <c r="W339" s="935"/>
      <c r="X339" s="935"/>
      <c r="Y339" s="935"/>
      <c r="Z339" s="935"/>
      <c r="AB339" s="892"/>
    </row>
    <row r="340" spans="1:28">
      <c r="A340" s="1204"/>
      <c r="B340" s="1205"/>
      <c r="C340" s="1204"/>
      <c r="D340" s="1205"/>
      <c r="E340" s="1204"/>
      <c r="F340" s="1205"/>
      <c r="G340" s="1204"/>
      <c r="H340" s="1205"/>
      <c r="I340" s="1204"/>
      <c r="J340" s="1205"/>
      <c r="K340" s="1204"/>
      <c r="L340" s="1205"/>
      <c r="M340" s="1204"/>
      <c r="N340" s="1205"/>
      <c r="O340" s="1204"/>
      <c r="P340" s="1205"/>
      <c r="Q340" s="898"/>
      <c r="R340" s="1124"/>
      <c r="S340" s="935"/>
      <c r="T340" s="935"/>
      <c r="U340" s="935"/>
      <c r="V340" s="935"/>
      <c r="W340" s="935"/>
      <c r="X340" s="935"/>
      <c r="Y340" s="935"/>
      <c r="Z340" s="935"/>
      <c r="AB340" s="892"/>
    </row>
    <row r="341" spans="1:28">
      <c r="A341" s="984"/>
      <c r="B341" s="983"/>
      <c r="C341" s="897"/>
      <c r="D341" s="897"/>
      <c r="E341" s="937"/>
      <c r="F341" s="897"/>
      <c r="G341" s="897"/>
      <c r="H341" s="897"/>
      <c r="I341" s="897"/>
      <c r="J341" s="897"/>
      <c r="K341" s="897"/>
      <c r="L341" s="897"/>
      <c r="M341" s="897"/>
      <c r="N341" s="897"/>
      <c r="O341" s="897"/>
      <c r="P341" s="900"/>
      <c r="Q341" s="898"/>
      <c r="R341" s="1124"/>
      <c r="S341" s="935"/>
      <c r="T341" s="935"/>
      <c r="U341" s="935"/>
      <c r="V341" s="935"/>
      <c r="W341" s="935"/>
      <c r="X341" s="935"/>
      <c r="Y341" s="935"/>
      <c r="Z341" s="935"/>
      <c r="AB341" s="892"/>
    </row>
    <row r="342" spans="1:28">
      <c r="A342" s="984"/>
      <c r="B342" s="983"/>
      <c r="C342" s="897"/>
      <c r="D342" s="897"/>
      <c r="E342" s="937"/>
      <c r="F342" s="897"/>
      <c r="G342" s="897"/>
      <c r="H342" s="897"/>
      <c r="I342" s="897"/>
      <c r="J342" s="897"/>
      <c r="K342" s="897"/>
      <c r="L342" s="897"/>
      <c r="M342" s="897"/>
      <c r="N342" s="897"/>
      <c r="O342" s="897"/>
      <c r="P342" s="900"/>
      <c r="Q342" s="898"/>
      <c r="R342" s="1124"/>
      <c r="S342" s="935"/>
      <c r="T342" s="935"/>
      <c r="U342" s="935"/>
      <c r="V342" s="935"/>
      <c r="W342" s="935"/>
      <c r="X342" s="935"/>
      <c r="Y342" s="935"/>
      <c r="Z342" s="935"/>
      <c r="AB342" s="892"/>
    </row>
    <row r="343" spans="1:28">
      <c r="A343" s="984"/>
      <c r="B343" s="983"/>
      <c r="C343" s="897"/>
      <c r="D343" s="897"/>
      <c r="E343" s="937"/>
      <c r="F343" s="897"/>
      <c r="G343" s="897"/>
      <c r="H343" s="897"/>
      <c r="I343" s="897"/>
      <c r="J343" s="897"/>
      <c r="K343" s="897"/>
      <c r="L343" s="897"/>
      <c r="M343" s="897"/>
      <c r="N343" s="897"/>
      <c r="O343" s="897"/>
      <c r="P343" s="900"/>
      <c r="Q343" s="898"/>
      <c r="R343" s="1124"/>
      <c r="S343" s="935"/>
      <c r="T343" s="935"/>
      <c r="U343" s="935"/>
      <c r="V343" s="935"/>
      <c r="W343" s="935"/>
      <c r="X343" s="935"/>
      <c r="Y343" s="935"/>
      <c r="Z343" s="935"/>
      <c r="AB343" s="892"/>
    </row>
    <row r="344" spans="1:28">
      <c r="A344" s="1204">
        <v>669</v>
      </c>
      <c r="B344" s="1205" t="s">
        <v>2138</v>
      </c>
      <c r="C344" s="1158">
        <f>C345</f>
        <v>515155</v>
      </c>
      <c r="D344" s="1158"/>
      <c r="E344" s="1159">
        <f t="shared" ref="E344:O344" si="109">E345</f>
        <v>19035</v>
      </c>
      <c r="F344" s="1158">
        <f t="shared" si="109"/>
        <v>82371</v>
      </c>
      <c r="G344" s="1158">
        <f t="shared" si="109"/>
        <v>59325</v>
      </c>
      <c r="H344" s="1158">
        <f t="shared" si="109"/>
        <v>85547</v>
      </c>
      <c r="I344" s="1158">
        <f t="shared" si="109"/>
        <v>107079</v>
      </c>
      <c r="J344" s="1158">
        <f t="shared" si="109"/>
        <v>85637</v>
      </c>
      <c r="K344" s="1158">
        <f t="shared" si="109"/>
        <v>0</v>
      </c>
      <c r="L344" s="1158">
        <f t="shared" si="109"/>
        <v>0</v>
      </c>
      <c r="M344" s="1158">
        <f t="shared" si="109"/>
        <v>0</v>
      </c>
      <c r="N344" s="1158">
        <f t="shared" si="109"/>
        <v>0</v>
      </c>
      <c r="O344" s="1158">
        <f t="shared" si="109"/>
        <v>0</v>
      </c>
      <c r="P344" s="1158">
        <f t="shared" ref="P344:P354" si="110">SUM(E344:N344)</f>
        <v>438994</v>
      </c>
      <c r="Q344" s="1160">
        <f t="shared" si="88"/>
        <v>76161</v>
      </c>
      <c r="R344" s="937">
        <f>R345</f>
        <v>87798.8</v>
      </c>
      <c r="S344" s="935">
        <f t="shared" si="105"/>
        <v>87798.8</v>
      </c>
      <c r="T344" s="935">
        <f t="shared" si="105"/>
        <v>87798.8</v>
      </c>
      <c r="U344" s="935">
        <f t="shared" si="105"/>
        <v>87798.8</v>
      </c>
      <c r="V344" s="935">
        <f t="shared" si="105"/>
        <v>87798.8</v>
      </c>
      <c r="W344" s="935">
        <f t="shared" si="105"/>
        <v>87798.8</v>
      </c>
      <c r="X344" s="935">
        <f t="shared" si="105"/>
        <v>87798.8</v>
      </c>
      <c r="Y344" s="935">
        <f t="shared" si="90"/>
        <v>614591.60000000009</v>
      </c>
      <c r="Z344" s="935">
        <f t="shared" si="91"/>
        <v>-538430.60000000009</v>
      </c>
    </row>
    <row r="345" spans="1:28">
      <c r="A345" s="1178">
        <v>6691</v>
      </c>
      <c r="B345" s="977" t="s">
        <v>2139</v>
      </c>
      <c r="C345" s="897">
        <v>515155</v>
      </c>
      <c r="D345" s="897"/>
      <c r="E345" s="937">
        <v>19035</v>
      </c>
      <c r="F345" s="897">
        <v>82371</v>
      </c>
      <c r="G345" s="897">
        <v>59325</v>
      </c>
      <c r="H345" s="897">
        <v>85547</v>
      </c>
      <c r="I345" s="897">
        <v>107079</v>
      </c>
      <c r="J345" s="897">
        <v>85637</v>
      </c>
      <c r="K345" s="897"/>
      <c r="L345" s="897"/>
      <c r="M345" s="897"/>
      <c r="N345" s="897"/>
      <c r="O345" s="897"/>
      <c r="P345" s="900">
        <f t="shared" si="110"/>
        <v>438994</v>
      </c>
      <c r="Q345" s="898">
        <f t="shared" si="88"/>
        <v>76161</v>
      </c>
      <c r="R345" s="936">
        <f>P345/5</f>
        <v>87798.8</v>
      </c>
      <c r="S345" s="935">
        <f t="shared" ref="S345:X360" si="111">R345</f>
        <v>87798.8</v>
      </c>
      <c r="T345" s="935">
        <f t="shared" si="111"/>
        <v>87798.8</v>
      </c>
      <c r="U345" s="935">
        <f t="shared" si="111"/>
        <v>87798.8</v>
      </c>
      <c r="V345" s="935">
        <f t="shared" si="111"/>
        <v>87798.8</v>
      </c>
      <c r="W345" s="935">
        <f t="shared" si="111"/>
        <v>87798.8</v>
      </c>
      <c r="X345" s="935">
        <f t="shared" si="111"/>
        <v>87798.8</v>
      </c>
      <c r="Y345" s="935">
        <f t="shared" si="90"/>
        <v>614591.60000000009</v>
      </c>
      <c r="Z345" s="935">
        <f t="shared" si="91"/>
        <v>-538430.60000000009</v>
      </c>
    </row>
    <row r="346" spans="1:28" ht="13.5">
      <c r="A346" s="1023">
        <v>69</v>
      </c>
      <c r="B346" s="1022" t="s">
        <v>2140</v>
      </c>
      <c r="C346" s="1020">
        <f>C347</f>
        <v>385462</v>
      </c>
      <c r="D346" s="1020"/>
      <c r="E346" s="1021">
        <f t="shared" ref="E346:O347" si="112">E347</f>
        <v>0</v>
      </c>
      <c r="F346" s="1020">
        <f t="shared" si="112"/>
        <v>0</v>
      </c>
      <c r="G346" s="1020">
        <f t="shared" si="112"/>
        <v>0</v>
      </c>
      <c r="H346" s="1020">
        <f t="shared" si="112"/>
        <v>0</v>
      </c>
      <c r="I346" s="1020">
        <f t="shared" si="112"/>
        <v>0</v>
      </c>
      <c r="J346" s="1020">
        <f t="shared" si="112"/>
        <v>0</v>
      </c>
      <c r="K346" s="1020">
        <f t="shared" si="112"/>
        <v>0</v>
      </c>
      <c r="L346" s="1020">
        <f t="shared" si="112"/>
        <v>0</v>
      </c>
      <c r="M346" s="1020">
        <f t="shared" si="112"/>
        <v>0</v>
      </c>
      <c r="N346" s="1020">
        <f t="shared" si="112"/>
        <v>0</v>
      </c>
      <c r="O346" s="1020">
        <f t="shared" si="112"/>
        <v>0</v>
      </c>
      <c r="P346" s="1072">
        <f t="shared" si="110"/>
        <v>0</v>
      </c>
      <c r="Q346" s="1019">
        <f t="shared" si="88"/>
        <v>385462</v>
      </c>
      <c r="R346" s="943">
        <f>R347</f>
        <v>0</v>
      </c>
      <c r="S346" s="941">
        <f t="shared" si="111"/>
        <v>0</v>
      </c>
      <c r="T346" s="941">
        <f t="shared" si="111"/>
        <v>0</v>
      </c>
      <c r="U346" s="941">
        <f t="shared" si="111"/>
        <v>0</v>
      </c>
      <c r="V346" s="941">
        <f t="shared" si="111"/>
        <v>0</v>
      </c>
      <c r="W346" s="941">
        <f t="shared" si="111"/>
        <v>0</v>
      </c>
      <c r="X346" s="941">
        <f t="shared" si="111"/>
        <v>0</v>
      </c>
      <c r="Y346" s="941">
        <f t="shared" si="90"/>
        <v>0</v>
      </c>
      <c r="Z346" s="941">
        <f t="shared" si="91"/>
        <v>385462</v>
      </c>
    </row>
    <row r="347" spans="1:28" ht="25.5" hidden="1">
      <c r="A347" s="1188">
        <v>691</v>
      </c>
      <c r="B347" s="1189" t="s">
        <v>2141</v>
      </c>
      <c r="C347" s="1061">
        <f>C348</f>
        <v>385462</v>
      </c>
      <c r="D347" s="1061"/>
      <c r="E347" s="1186">
        <f t="shared" si="112"/>
        <v>0</v>
      </c>
      <c r="F347" s="1061">
        <f t="shared" si="112"/>
        <v>0</v>
      </c>
      <c r="G347" s="1061">
        <f t="shared" si="112"/>
        <v>0</v>
      </c>
      <c r="H347" s="1061">
        <f t="shared" si="112"/>
        <v>0</v>
      </c>
      <c r="I347" s="1061">
        <f t="shared" si="112"/>
        <v>0</v>
      </c>
      <c r="J347" s="1061">
        <f t="shared" si="112"/>
        <v>0</v>
      </c>
      <c r="K347" s="1061">
        <f t="shared" si="112"/>
        <v>0</v>
      </c>
      <c r="L347" s="1061">
        <f t="shared" si="112"/>
        <v>0</v>
      </c>
      <c r="M347" s="1061">
        <f t="shared" si="112"/>
        <v>0</v>
      </c>
      <c r="N347" s="1061"/>
      <c r="O347" s="1061"/>
      <c r="P347" s="1190">
        <f t="shared" si="110"/>
        <v>0</v>
      </c>
      <c r="Q347" s="1187">
        <f t="shared" si="88"/>
        <v>385462</v>
      </c>
      <c r="R347" s="937">
        <f>R348</f>
        <v>0</v>
      </c>
      <c r="S347" s="979">
        <f t="shared" si="111"/>
        <v>0</v>
      </c>
      <c r="T347" s="979">
        <f t="shared" si="111"/>
        <v>0</v>
      </c>
      <c r="U347" s="979">
        <f t="shared" si="111"/>
        <v>0</v>
      </c>
      <c r="V347" s="979">
        <f t="shared" si="111"/>
        <v>0</v>
      </c>
      <c r="W347" s="979">
        <f t="shared" si="111"/>
        <v>0</v>
      </c>
      <c r="X347" s="979">
        <f t="shared" si="111"/>
        <v>0</v>
      </c>
      <c r="Y347" s="979">
        <f t="shared" si="90"/>
        <v>0</v>
      </c>
      <c r="Z347" s="979">
        <f t="shared" si="91"/>
        <v>385462</v>
      </c>
    </row>
    <row r="348" spans="1:28" hidden="1">
      <c r="A348" s="978">
        <v>6911</v>
      </c>
      <c r="B348" s="1136" t="s">
        <v>2142</v>
      </c>
      <c r="C348" s="897">
        <v>385462</v>
      </c>
      <c r="D348" s="897"/>
      <c r="E348" s="937"/>
      <c r="F348" s="897"/>
      <c r="G348" s="897"/>
      <c r="H348" s="897"/>
      <c r="I348" s="897"/>
      <c r="J348" s="897">
        <v>0</v>
      </c>
      <c r="K348" s="897">
        <v>0</v>
      </c>
      <c r="L348" s="897">
        <v>0</v>
      </c>
      <c r="M348" s="897">
        <v>0</v>
      </c>
      <c r="N348" s="897"/>
      <c r="O348" s="897"/>
      <c r="P348" s="900">
        <f t="shared" si="110"/>
        <v>0</v>
      </c>
      <c r="Q348" s="898">
        <f t="shared" si="88"/>
        <v>385462</v>
      </c>
      <c r="R348" s="936">
        <f>P348/5</f>
        <v>0</v>
      </c>
      <c r="S348" s="935">
        <f t="shared" si="111"/>
        <v>0</v>
      </c>
      <c r="T348" s="935">
        <f t="shared" si="111"/>
        <v>0</v>
      </c>
      <c r="U348" s="935">
        <f t="shared" si="111"/>
        <v>0</v>
      </c>
      <c r="V348" s="935">
        <f t="shared" si="111"/>
        <v>0</v>
      </c>
      <c r="W348" s="935">
        <f t="shared" si="111"/>
        <v>0</v>
      </c>
      <c r="X348" s="935">
        <f t="shared" si="111"/>
        <v>0</v>
      </c>
      <c r="Y348" s="935">
        <f t="shared" si="90"/>
        <v>0</v>
      </c>
      <c r="Z348" s="935">
        <f t="shared" si="91"/>
        <v>385462</v>
      </c>
    </row>
    <row r="349" spans="1:28" ht="25.5" hidden="1">
      <c r="A349" s="976">
        <v>692</v>
      </c>
      <c r="B349" s="1135" t="s">
        <v>2143</v>
      </c>
      <c r="C349" s="897"/>
      <c r="D349" s="897"/>
      <c r="E349" s="937">
        <f>C349/12</f>
        <v>0</v>
      </c>
      <c r="F349" s="897">
        <f t="shared" ref="F349:M350" si="113">E349/12</f>
        <v>0</v>
      </c>
      <c r="G349" s="897">
        <f t="shared" si="113"/>
        <v>0</v>
      </c>
      <c r="H349" s="897">
        <f t="shared" si="113"/>
        <v>0</v>
      </c>
      <c r="I349" s="897">
        <f t="shared" si="113"/>
        <v>0</v>
      </c>
      <c r="J349" s="897">
        <f t="shared" si="113"/>
        <v>0</v>
      </c>
      <c r="K349" s="897">
        <f t="shared" si="113"/>
        <v>0</v>
      </c>
      <c r="L349" s="897">
        <f t="shared" si="113"/>
        <v>0</v>
      </c>
      <c r="M349" s="897">
        <f t="shared" si="113"/>
        <v>0</v>
      </c>
      <c r="N349" s="897"/>
      <c r="O349" s="897"/>
      <c r="P349" s="900">
        <f t="shared" si="110"/>
        <v>0</v>
      </c>
      <c r="Q349" s="898">
        <f t="shared" si="88"/>
        <v>0</v>
      </c>
      <c r="R349" s="936">
        <f>Q349/7</f>
        <v>0</v>
      </c>
      <c r="S349" s="935">
        <f t="shared" si="111"/>
        <v>0</v>
      </c>
      <c r="T349" s="935">
        <f t="shared" si="111"/>
        <v>0</v>
      </c>
      <c r="U349" s="935">
        <f t="shared" si="111"/>
        <v>0</v>
      </c>
      <c r="V349" s="935">
        <f t="shared" si="111"/>
        <v>0</v>
      </c>
      <c r="W349" s="935">
        <f t="shared" si="111"/>
        <v>0</v>
      </c>
      <c r="X349" s="935">
        <f t="shared" si="111"/>
        <v>0</v>
      </c>
      <c r="Y349" s="935">
        <f t="shared" si="90"/>
        <v>0</v>
      </c>
      <c r="Z349" s="935">
        <f t="shared" si="91"/>
        <v>0</v>
      </c>
    </row>
    <row r="350" spans="1:28" hidden="1">
      <c r="A350" s="974">
        <v>6921</v>
      </c>
      <c r="B350" s="973" t="s">
        <v>2144</v>
      </c>
      <c r="C350" s="971"/>
      <c r="D350" s="971"/>
      <c r="E350" s="972">
        <f>C350/12</f>
        <v>0</v>
      </c>
      <c r="F350" s="971">
        <f t="shared" si="113"/>
        <v>0</v>
      </c>
      <c r="G350" s="971">
        <f t="shared" si="113"/>
        <v>0</v>
      </c>
      <c r="H350" s="971">
        <f t="shared" si="113"/>
        <v>0</v>
      </c>
      <c r="I350" s="971">
        <f t="shared" si="113"/>
        <v>0</v>
      </c>
      <c r="J350" s="971">
        <f t="shared" si="113"/>
        <v>0</v>
      </c>
      <c r="K350" s="971">
        <f t="shared" si="113"/>
        <v>0</v>
      </c>
      <c r="L350" s="971">
        <f t="shared" si="113"/>
        <v>0</v>
      </c>
      <c r="M350" s="971">
        <f t="shared" si="113"/>
        <v>0</v>
      </c>
      <c r="N350" s="897"/>
      <c r="O350" s="897"/>
      <c r="P350" s="900">
        <f t="shared" si="110"/>
        <v>0</v>
      </c>
      <c r="Q350" s="970">
        <f t="shared" si="88"/>
        <v>0</v>
      </c>
      <c r="R350" s="936">
        <f>Q350/7</f>
        <v>0</v>
      </c>
      <c r="S350" s="935">
        <f t="shared" si="111"/>
        <v>0</v>
      </c>
      <c r="T350" s="935">
        <f t="shared" si="111"/>
        <v>0</v>
      </c>
      <c r="U350" s="935">
        <f t="shared" si="111"/>
        <v>0</v>
      </c>
      <c r="V350" s="935">
        <f t="shared" si="111"/>
        <v>0</v>
      </c>
      <c r="W350" s="935">
        <f t="shared" si="111"/>
        <v>0</v>
      </c>
      <c r="X350" s="935">
        <f t="shared" si="111"/>
        <v>0</v>
      </c>
      <c r="Y350" s="935">
        <f t="shared" si="90"/>
        <v>0</v>
      </c>
      <c r="Z350" s="935">
        <f t="shared" si="91"/>
        <v>0</v>
      </c>
    </row>
    <row r="351" spans="1:28">
      <c r="A351" s="969" t="s">
        <v>2145</v>
      </c>
      <c r="B351" s="968" t="s">
        <v>2146</v>
      </c>
      <c r="C351" s="966">
        <f>C352</f>
        <v>65084</v>
      </c>
      <c r="D351" s="966"/>
      <c r="E351" s="967">
        <f t="shared" ref="E351:O352" si="114">E352</f>
        <v>0</v>
      </c>
      <c r="F351" s="966">
        <f t="shared" si="114"/>
        <v>0</v>
      </c>
      <c r="G351" s="966">
        <f t="shared" si="114"/>
        <v>0</v>
      </c>
      <c r="H351" s="966">
        <f t="shared" si="114"/>
        <v>0</v>
      </c>
      <c r="I351" s="966">
        <f t="shared" si="114"/>
        <v>0</v>
      </c>
      <c r="J351" s="966">
        <f t="shared" si="114"/>
        <v>0</v>
      </c>
      <c r="K351" s="966">
        <f t="shared" si="114"/>
        <v>0</v>
      </c>
      <c r="L351" s="966">
        <f t="shared" si="114"/>
        <v>0</v>
      </c>
      <c r="M351" s="966">
        <f t="shared" si="114"/>
        <v>0</v>
      </c>
      <c r="N351" s="966">
        <f t="shared" si="114"/>
        <v>0</v>
      </c>
      <c r="O351" s="966">
        <f t="shared" si="114"/>
        <v>0</v>
      </c>
      <c r="P351" s="966">
        <f t="shared" si="110"/>
        <v>0</v>
      </c>
      <c r="Q351" s="965">
        <f t="shared" si="88"/>
        <v>65084</v>
      </c>
      <c r="R351" s="947">
        <f>R352</f>
        <v>0</v>
      </c>
      <c r="S351" s="946">
        <f t="shared" si="111"/>
        <v>0</v>
      </c>
      <c r="T351" s="946">
        <f t="shared" si="111"/>
        <v>0</v>
      </c>
      <c r="U351" s="946">
        <f t="shared" si="111"/>
        <v>0</v>
      </c>
      <c r="V351" s="946">
        <f t="shared" si="111"/>
        <v>0</v>
      </c>
      <c r="W351" s="946">
        <f t="shared" si="111"/>
        <v>0</v>
      </c>
      <c r="X351" s="946">
        <f t="shared" si="111"/>
        <v>0</v>
      </c>
      <c r="Y351" s="946">
        <f t="shared" si="90"/>
        <v>0</v>
      </c>
      <c r="Z351" s="946">
        <f t="shared" si="91"/>
        <v>65084</v>
      </c>
    </row>
    <row r="352" spans="1:28">
      <c r="A352" s="945">
        <v>65</v>
      </c>
      <c r="B352" s="964" t="s">
        <v>2147</v>
      </c>
      <c r="C352" s="916">
        <f>C353</f>
        <v>65084</v>
      </c>
      <c r="D352" s="916"/>
      <c r="E352" s="963">
        <f t="shared" si="114"/>
        <v>0</v>
      </c>
      <c r="F352" s="916">
        <f t="shared" si="114"/>
        <v>0</v>
      </c>
      <c r="G352" s="916">
        <f t="shared" si="114"/>
        <v>0</v>
      </c>
      <c r="H352" s="916">
        <f t="shared" si="114"/>
        <v>0</v>
      </c>
      <c r="I352" s="916">
        <f t="shared" si="114"/>
        <v>0</v>
      </c>
      <c r="J352" s="916">
        <f t="shared" si="114"/>
        <v>0</v>
      </c>
      <c r="K352" s="916">
        <f t="shared" si="114"/>
        <v>0</v>
      </c>
      <c r="L352" s="916">
        <f t="shared" si="114"/>
        <v>0</v>
      </c>
      <c r="M352" s="916">
        <f t="shared" si="114"/>
        <v>0</v>
      </c>
      <c r="N352" s="916">
        <f t="shared" si="114"/>
        <v>0</v>
      </c>
      <c r="O352" s="916">
        <f t="shared" si="114"/>
        <v>0</v>
      </c>
      <c r="P352" s="916">
        <f t="shared" si="110"/>
        <v>0</v>
      </c>
      <c r="Q352" s="917">
        <f t="shared" si="88"/>
        <v>65084</v>
      </c>
      <c r="R352" s="962"/>
      <c r="S352" s="961">
        <f t="shared" si="111"/>
        <v>0</v>
      </c>
      <c r="T352" s="961">
        <f t="shared" si="111"/>
        <v>0</v>
      </c>
      <c r="U352" s="961">
        <f t="shared" si="111"/>
        <v>0</v>
      </c>
      <c r="V352" s="961">
        <f t="shared" si="111"/>
        <v>0</v>
      </c>
      <c r="W352" s="961">
        <f t="shared" si="111"/>
        <v>0</v>
      </c>
      <c r="X352" s="961">
        <f t="shared" si="111"/>
        <v>0</v>
      </c>
      <c r="Y352" s="961">
        <f t="shared" si="90"/>
        <v>0</v>
      </c>
      <c r="Z352" s="961">
        <f t="shared" si="91"/>
        <v>65084</v>
      </c>
    </row>
    <row r="353" spans="1:26" ht="13.5" hidden="1">
      <c r="A353" s="945">
        <v>651</v>
      </c>
      <c r="B353" s="944" t="s">
        <v>2148</v>
      </c>
      <c r="C353" s="908">
        <f>SUM(C354:C359)</f>
        <v>65084</v>
      </c>
      <c r="D353" s="908"/>
      <c r="E353" s="908">
        <f t="shared" ref="E353:L353" si="115">SUM(E354:E359)</f>
        <v>0</v>
      </c>
      <c r="F353" s="908">
        <f t="shared" si="115"/>
        <v>0</v>
      </c>
      <c r="G353" s="908">
        <f t="shared" si="115"/>
        <v>0</v>
      </c>
      <c r="H353" s="908">
        <f t="shared" si="115"/>
        <v>0</v>
      </c>
      <c r="I353" s="908">
        <f t="shared" si="115"/>
        <v>0</v>
      </c>
      <c r="J353" s="908">
        <f t="shared" si="115"/>
        <v>0</v>
      </c>
      <c r="K353" s="908">
        <f t="shared" si="115"/>
        <v>0</v>
      </c>
      <c r="L353" s="908">
        <f t="shared" si="115"/>
        <v>0</v>
      </c>
      <c r="M353" s="908">
        <f>SUM(M354:M359)</f>
        <v>0</v>
      </c>
      <c r="N353" s="908">
        <f>SUM(N354:N359)</f>
        <v>0</v>
      </c>
      <c r="O353" s="908">
        <f>SUM(O354:O359)</f>
        <v>0</v>
      </c>
      <c r="P353" s="908">
        <f t="shared" si="110"/>
        <v>0</v>
      </c>
      <c r="Q353" s="909">
        <f t="shared" si="88"/>
        <v>65084</v>
      </c>
      <c r="R353" s="960"/>
      <c r="S353" s="959">
        <f t="shared" si="111"/>
        <v>0</v>
      </c>
      <c r="T353" s="959">
        <f t="shared" si="111"/>
        <v>0</v>
      </c>
      <c r="U353" s="959">
        <f t="shared" si="111"/>
        <v>0</v>
      </c>
      <c r="V353" s="959">
        <f t="shared" si="111"/>
        <v>0</v>
      </c>
      <c r="W353" s="959">
        <f t="shared" si="111"/>
        <v>0</v>
      </c>
      <c r="X353" s="959">
        <f t="shared" si="111"/>
        <v>0</v>
      </c>
      <c r="Y353" s="959">
        <f t="shared" si="90"/>
        <v>0</v>
      </c>
      <c r="Z353" s="959">
        <f t="shared" si="91"/>
        <v>65084</v>
      </c>
    </row>
    <row r="354" spans="1:26" hidden="1">
      <c r="A354" s="939">
        <v>6511</v>
      </c>
      <c r="B354" s="953" t="s">
        <v>2149</v>
      </c>
      <c r="C354" s="897">
        <v>759</v>
      </c>
      <c r="D354" s="897"/>
      <c r="E354" s="937">
        <v>0</v>
      </c>
      <c r="F354" s="897">
        <v>0</v>
      </c>
      <c r="G354" s="897">
        <v>0</v>
      </c>
      <c r="H354" s="897">
        <v>0</v>
      </c>
      <c r="I354" s="897">
        <v>0</v>
      </c>
      <c r="J354" s="897">
        <v>0</v>
      </c>
      <c r="K354" s="897">
        <v>0</v>
      </c>
      <c r="L354" s="937">
        <v>0</v>
      </c>
      <c r="M354" s="937">
        <v>0</v>
      </c>
      <c r="N354" s="937">
        <v>0</v>
      </c>
      <c r="O354" s="937"/>
      <c r="P354" s="897">
        <f t="shared" si="110"/>
        <v>0</v>
      </c>
      <c r="Q354" s="898">
        <f t="shared" si="88"/>
        <v>759</v>
      </c>
      <c r="R354" s="898">
        <f t="shared" ref="R354:R359" si="116">D354-Q354</f>
        <v>-759</v>
      </c>
      <c r="S354" s="898">
        <f>E354-R354</f>
        <v>759</v>
      </c>
      <c r="T354" s="935">
        <f t="shared" si="111"/>
        <v>759</v>
      </c>
      <c r="U354" s="935">
        <f t="shared" si="111"/>
        <v>759</v>
      </c>
      <c r="V354" s="935">
        <f t="shared" si="111"/>
        <v>759</v>
      </c>
      <c r="W354" s="935">
        <f t="shared" si="111"/>
        <v>759</v>
      </c>
      <c r="X354" s="935">
        <f t="shared" si="111"/>
        <v>759</v>
      </c>
      <c r="Y354" s="935">
        <f t="shared" si="90"/>
        <v>3795</v>
      </c>
      <c r="Z354" s="935">
        <f t="shared" si="91"/>
        <v>-3036</v>
      </c>
    </row>
    <row r="355" spans="1:26" hidden="1">
      <c r="A355" s="939">
        <v>6512</v>
      </c>
      <c r="B355" s="953" t="s">
        <v>2150</v>
      </c>
      <c r="C355" s="897"/>
      <c r="D355" s="897"/>
      <c r="E355" s="937">
        <v>0</v>
      </c>
      <c r="F355" s="897">
        <v>0</v>
      </c>
      <c r="G355" s="897">
        <v>0</v>
      </c>
      <c r="H355" s="897">
        <v>0</v>
      </c>
      <c r="I355" s="897">
        <v>0</v>
      </c>
      <c r="J355" s="897">
        <v>0</v>
      </c>
      <c r="K355" s="897">
        <v>0</v>
      </c>
      <c r="L355" s="937">
        <v>0</v>
      </c>
      <c r="M355" s="937">
        <v>0</v>
      </c>
      <c r="N355" s="937">
        <v>0</v>
      </c>
      <c r="O355" s="937"/>
      <c r="P355" s="897">
        <f t="shared" ref="P355:P385" si="117">SUM(E355:N355)</f>
        <v>0</v>
      </c>
      <c r="Q355" s="898">
        <f t="shared" ref="Q355:Q398" si="118">C355-P355</f>
        <v>0</v>
      </c>
      <c r="R355" s="898">
        <f t="shared" si="116"/>
        <v>0</v>
      </c>
      <c r="S355" s="935">
        <f t="shared" si="111"/>
        <v>0</v>
      </c>
      <c r="T355" s="935">
        <f t="shared" si="111"/>
        <v>0</v>
      </c>
      <c r="U355" s="935">
        <f t="shared" si="111"/>
        <v>0</v>
      </c>
      <c r="V355" s="935">
        <f t="shared" si="111"/>
        <v>0</v>
      </c>
      <c r="W355" s="935">
        <f t="shared" si="111"/>
        <v>0</v>
      </c>
      <c r="X355" s="935">
        <f t="shared" si="111"/>
        <v>0</v>
      </c>
      <c r="Y355" s="935">
        <f t="shared" si="90"/>
        <v>0</v>
      </c>
      <c r="Z355" s="935">
        <f t="shared" si="91"/>
        <v>0</v>
      </c>
    </row>
    <row r="356" spans="1:26" hidden="1">
      <c r="A356" s="939">
        <v>6513</v>
      </c>
      <c r="B356" s="953" t="s">
        <v>2151</v>
      </c>
      <c r="C356" s="897"/>
      <c r="D356" s="897"/>
      <c r="E356" s="937">
        <v>0</v>
      </c>
      <c r="F356" s="897">
        <v>0</v>
      </c>
      <c r="G356" s="897">
        <v>0</v>
      </c>
      <c r="H356" s="897">
        <v>0</v>
      </c>
      <c r="I356" s="897">
        <v>0</v>
      </c>
      <c r="J356" s="897">
        <v>0</v>
      </c>
      <c r="K356" s="897">
        <v>0</v>
      </c>
      <c r="L356" s="937">
        <v>0</v>
      </c>
      <c r="M356" s="937">
        <v>0</v>
      </c>
      <c r="N356" s="937">
        <v>0</v>
      </c>
      <c r="O356" s="937"/>
      <c r="P356" s="897">
        <f t="shared" si="117"/>
        <v>0</v>
      </c>
      <c r="Q356" s="898">
        <f t="shared" si="118"/>
        <v>0</v>
      </c>
      <c r="R356" s="898">
        <f t="shared" si="116"/>
        <v>0</v>
      </c>
      <c r="S356" s="935">
        <f t="shared" si="111"/>
        <v>0</v>
      </c>
      <c r="T356" s="935">
        <f t="shared" si="111"/>
        <v>0</v>
      </c>
      <c r="U356" s="935">
        <f t="shared" si="111"/>
        <v>0</v>
      </c>
      <c r="V356" s="935">
        <f t="shared" si="111"/>
        <v>0</v>
      </c>
      <c r="W356" s="935">
        <f t="shared" si="111"/>
        <v>0</v>
      </c>
      <c r="X356" s="935">
        <f t="shared" si="111"/>
        <v>0</v>
      </c>
      <c r="Y356" s="935">
        <f t="shared" si="90"/>
        <v>0</v>
      </c>
      <c r="Z356" s="935">
        <f t="shared" si="91"/>
        <v>0</v>
      </c>
    </row>
    <row r="357" spans="1:26" hidden="1">
      <c r="A357" s="939">
        <v>6514</v>
      </c>
      <c r="B357" s="953" t="s">
        <v>2152</v>
      </c>
      <c r="C357" s="897">
        <v>10200</v>
      </c>
      <c r="D357" s="897"/>
      <c r="E357" s="937">
        <v>0</v>
      </c>
      <c r="F357" s="897">
        <v>0</v>
      </c>
      <c r="G357" s="897">
        <v>0</v>
      </c>
      <c r="H357" s="897">
        <v>0</v>
      </c>
      <c r="I357" s="897">
        <v>0</v>
      </c>
      <c r="J357" s="897">
        <v>0</v>
      </c>
      <c r="K357" s="897">
        <v>0</v>
      </c>
      <c r="L357" s="937">
        <v>0</v>
      </c>
      <c r="M357" s="937">
        <v>0</v>
      </c>
      <c r="N357" s="937">
        <v>0</v>
      </c>
      <c r="O357" s="937"/>
      <c r="P357" s="897">
        <f t="shared" si="117"/>
        <v>0</v>
      </c>
      <c r="Q357" s="898">
        <f t="shared" si="118"/>
        <v>10200</v>
      </c>
      <c r="R357" s="898">
        <f t="shared" si="116"/>
        <v>-10200</v>
      </c>
      <c r="S357" s="935">
        <f t="shared" si="111"/>
        <v>-10200</v>
      </c>
      <c r="T357" s="935">
        <f t="shared" si="111"/>
        <v>-10200</v>
      </c>
      <c r="U357" s="935">
        <f t="shared" si="111"/>
        <v>-10200</v>
      </c>
      <c r="V357" s="935">
        <f t="shared" si="111"/>
        <v>-10200</v>
      </c>
      <c r="W357" s="935">
        <f t="shared" si="111"/>
        <v>-10200</v>
      </c>
      <c r="X357" s="935">
        <f t="shared" si="111"/>
        <v>-10200</v>
      </c>
      <c r="Y357" s="935">
        <f t="shared" si="90"/>
        <v>-71400</v>
      </c>
      <c r="Z357" s="935">
        <f t="shared" si="91"/>
        <v>81600</v>
      </c>
    </row>
    <row r="358" spans="1:26" hidden="1">
      <c r="A358" s="939">
        <v>6515</v>
      </c>
      <c r="B358" s="953" t="s">
        <v>2153</v>
      </c>
      <c r="C358" s="897">
        <v>18375</v>
      </c>
      <c r="D358" s="897"/>
      <c r="E358" s="937">
        <v>0</v>
      </c>
      <c r="F358" s="897">
        <v>0</v>
      </c>
      <c r="G358" s="897">
        <v>0</v>
      </c>
      <c r="H358" s="897">
        <v>0</v>
      </c>
      <c r="I358" s="897">
        <v>0</v>
      </c>
      <c r="J358" s="897">
        <v>0</v>
      </c>
      <c r="K358" s="897">
        <v>0</v>
      </c>
      <c r="L358" s="937">
        <v>0</v>
      </c>
      <c r="M358" s="937">
        <v>0</v>
      </c>
      <c r="N358" s="937">
        <v>0</v>
      </c>
      <c r="O358" s="937"/>
      <c r="P358" s="897">
        <f t="shared" si="117"/>
        <v>0</v>
      </c>
      <c r="Q358" s="898">
        <f t="shared" si="118"/>
        <v>18375</v>
      </c>
      <c r="R358" s="898">
        <f t="shared" si="116"/>
        <v>-18375</v>
      </c>
      <c r="S358" s="935">
        <f t="shared" si="111"/>
        <v>-18375</v>
      </c>
      <c r="T358" s="935">
        <f t="shared" si="111"/>
        <v>-18375</v>
      </c>
      <c r="U358" s="935">
        <f t="shared" si="111"/>
        <v>-18375</v>
      </c>
      <c r="V358" s="935">
        <f t="shared" si="111"/>
        <v>-18375</v>
      </c>
      <c r="W358" s="935">
        <f t="shared" si="111"/>
        <v>-18375</v>
      </c>
      <c r="X358" s="935">
        <f t="shared" si="111"/>
        <v>-18375</v>
      </c>
      <c r="Y358" s="935">
        <f t="shared" si="90"/>
        <v>-128625</v>
      </c>
      <c r="Z358" s="935">
        <f t="shared" si="91"/>
        <v>147000</v>
      </c>
    </row>
    <row r="359" spans="1:26" hidden="1">
      <c r="A359" s="939">
        <v>6516</v>
      </c>
      <c r="B359" s="953" t="s">
        <v>2154</v>
      </c>
      <c r="C359" s="897">
        <v>35750</v>
      </c>
      <c r="D359" s="897"/>
      <c r="E359" s="937">
        <v>0</v>
      </c>
      <c r="F359" s="897">
        <v>0</v>
      </c>
      <c r="G359" s="897">
        <v>0</v>
      </c>
      <c r="H359" s="897">
        <v>0</v>
      </c>
      <c r="I359" s="897">
        <v>0</v>
      </c>
      <c r="J359" s="897">
        <v>0</v>
      </c>
      <c r="K359" s="897">
        <v>0</v>
      </c>
      <c r="L359" s="937">
        <v>0</v>
      </c>
      <c r="M359" s="937">
        <v>0</v>
      </c>
      <c r="N359" s="937">
        <v>0</v>
      </c>
      <c r="O359" s="937"/>
      <c r="P359" s="897">
        <f t="shared" si="117"/>
        <v>0</v>
      </c>
      <c r="Q359" s="898">
        <f t="shared" si="118"/>
        <v>35750</v>
      </c>
      <c r="R359" s="898">
        <f t="shared" si="116"/>
        <v>-35750</v>
      </c>
      <c r="S359" s="935">
        <f t="shared" si="111"/>
        <v>-35750</v>
      </c>
      <c r="T359" s="935">
        <f t="shared" si="111"/>
        <v>-35750</v>
      </c>
      <c r="U359" s="935">
        <f t="shared" si="111"/>
        <v>-35750</v>
      </c>
      <c r="V359" s="935">
        <f t="shared" si="111"/>
        <v>-35750</v>
      </c>
      <c r="W359" s="935">
        <f t="shared" si="111"/>
        <v>-35750</v>
      </c>
      <c r="X359" s="935">
        <f t="shared" si="111"/>
        <v>-35750</v>
      </c>
      <c r="Y359" s="935">
        <f t="shared" si="90"/>
        <v>-250250</v>
      </c>
      <c r="Z359" s="935">
        <f t="shared" si="91"/>
        <v>286000</v>
      </c>
    </row>
    <row r="360" spans="1:26" hidden="1">
      <c r="A360" s="939">
        <v>6517</v>
      </c>
      <c r="B360" s="953" t="s">
        <v>2155</v>
      </c>
      <c r="C360" s="897"/>
      <c r="D360" s="897"/>
      <c r="E360" s="937">
        <f t="shared" ref="E360:E385" si="119">C360/12</f>
        <v>0</v>
      </c>
      <c r="F360" s="897">
        <f t="shared" ref="F360:N385" si="120">E360/12</f>
        <v>0</v>
      </c>
      <c r="G360" s="897">
        <f t="shared" si="120"/>
        <v>0</v>
      </c>
      <c r="H360" s="897">
        <f t="shared" si="120"/>
        <v>0</v>
      </c>
      <c r="I360" s="897">
        <f t="shared" si="120"/>
        <v>0</v>
      </c>
      <c r="J360" s="897">
        <f t="shared" si="120"/>
        <v>0</v>
      </c>
      <c r="K360" s="897">
        <f t="shared" si="120"/>
        <v>0</v>
      </c>
      <c r="L360" s="897">
        <f t="shared" si="120"/>
        <v>0</v>
      </c>
      <c r="M360" s="897">
        <f t="shared" si="120"/>
        <v>0</v>
      </c>
      <c r="N360" s="897">
        <f t="shared" si="120"/>
        <v>0</v>
      </c>
      <c r="O360" s="897"/>
      <c r="P360" s="897">
        <f t="shared" si="117"/>
        <v>0</v>
      </c>
      <c r="Q360" s="898">
        <f t="shared" si="118"/>
        <v>0</v>
      </c>
      <c r="R360" s="936">
        <f t="shared" ref="R360:R385" si="121">Q360/7</f>
        <v>0</v>
      </c>
      <c r="S360" s="935">
        <f t="shared" si="111"/>
        <v>0</v>
      </c>
      <c r="T360" s="935">
        <f t="shared" si="111"/>
        <v>0</v>
      </c>
      <c r="U360" s="935">
        <f t="shared" si="111"/>
        <v>0</v>
      </c>
      <c r="V360" s="935">
        <f t="shared" si="111"/>
        <v>0</v>
      </c>
      <c r="W360" s="935">
        <f t="shared" si="111"/>
        <v>0</v>
      </c>
      <c r="X360" s="935">
        <f t="shared" si="111"/>
        <v>0</v>
      </c>
      <c r="Y360" s="935">
        <f t="shared" si="90"/>
        <v>0</v>
      </c>
      <c r="Z360" s="935">
        <f t="shared" si="91"/>
        <v>0</v>
      </c>
    </row>
    <row r="361" spans="1:26" hidden="1">
      <c r="A361" s="939">
        <v>6518</v>
      </c>
      <c r="B361" s="953" t="s">
        <v>2156</v>
      </c>
      <c r="C361" s="897"/>
      <c r="D361" s="897"/>
      <c r="E361" s="937">
        <f t="shared" si="119"/>
        <v>0</v>
      </c>
      <c r="F361" s="897">
        <f t="shared" si="120"/>
        <v>0</v>
      </c>
      <c r="G361" s="897">
        <f t="shared" si="120"/>
        <v>0</v>
      </c>
      <c r="H361" s="897">
        <f t="shared" si="120"/>
        <v>0</v>
      </c>
      <c r="I361" s="897">
        <f t="shared" si="120"/>
        <v>0</v>
      </c>
      <c r="J361" s="897">
        <f t="shared" si="120"/>
        <v>0</v>
      </c>
      <c r="K361" s="897">
        <f t="shared" si="120"/>
        <v>0</v>
      </c>
      <c r="L361" s="897">
        <f t="shared" si="120"/>
        <v>0</v>
      </c>
      <c r="M361" s="897">
        <f t="shared" si="120"/>
        <v>0</v>
      </c>
      <c r="N361" s="897">
        <f t="shared" si="120"/>
        <v>0</v>
      </c>
      <c r="O361" s="897"/>
      <c r="P361" s="897">
        <f t="shared" si="117"/>
        <v>0</v>
      </c>
      <c r="Q361" s="898">
        <f t="shared" si="118"/>
        <v>0</v>
      </c>
      <c r="R361" s="936">
        <f t="shared" si="121"/>
        <v>0</v>
      </c>
      <c r="S361" s="935">
        <f t="shared" ref="S361:X376" si="122">R361</f>
        <v>0</v>
      </c>
      <c r="T361" s="935">
        <f t="shared" si="122"/>
        <v>0</v>
      </c>
      <c r="U361" s="935">
        <f t="shared" si="122"/>
        <v>0</v>
      </c>
      <c r="V361" s="935">
        <f t="shared" si="122"/>
        <v>0</v>
      </c>
      <c r="W361" s="935">
        <f t="shared" si="122"/>
        <v>0</v>
      </c>
      <c r="X361" s="935">
        <f t="shared" si="122"/>
        <v>0</v>
      </c>
      <c r="Y361" s="935">
        <f t="shared" ref="Y361:Y401" si="123">SUM(R361:X361)</f>
        <v>0</v>
      </c>
      <c r="Z361" s="935">
        <f t="shared" ref="Z361:Z401" si="124">Q361-Y361</f>
        <v>0</v>
      </c>
    </row>
    <row r="362" spans="1:26" hidden="1">
      <c r="A362" s="939">
        <v>6519</v>
      </c>
      <c r="B362" s="953" t="s">
        <v>2157</v>
      </c>
      <c r="C362" s="897"/>
      <c r="D362" s="897"/>
      <c r="E362" s="937">
        <f t="shared" si="119"/>
        <v>0</v>
      </c>
      <c r="F362" s="897">
        <f t="shared" si="120"/>
        <v>0</v>
      </c>
      <c r="G362" s="897">
        <f t="shared" si="120"/>
        <v>0</v>
      </c>
      <c r="H362" s="897">
        <f t="shared" si="120"/>
        <v>0</v>
      </c>
      <c r="I362" s="897">
        <f t="shared" si="120"/>
        <v>0</v>
      </c>
      <c r="J362" s="897">
        <f t="shared" si="120"/>
        <v>0</v>
      </c>
      <c r="K362" s="897">
        <f t="shared" si="120"/>
        <v>0</v>
      </c>
      <c r="L362" s="897">
        <f t="shared" si="120"/>
        <v>0</v>
      </c>
      <c r="M362" s="897">
        <f t="shared" si="120"/>
        <v>0</v>
      </c>
      <c r="N362" s="897">
        <f t="shared" si="120"/>
        <v>0</v>
      </c>
      <c r="O362" s="897"/>
      <c r="P362" s="897">
        <f t="shared" si="117"/>
        <v>0</v>
      </c>
      <c r="Q362" s="898">
        <f t="shared" si="118"/>
        <v>0</v>
      </c>
      <c r="R362" s="936">
        <f t="shared" si="121"/>
        <v>0</v>
      </c>
      <c r="S362" s="935">
        <f t="shared" si="122"/>
        <v>0</v>
      </c>
      <c r="T362" s="935">
        <f t="shared" si="122"/>
        <v>0</v>
      </c>
      <c r="U362" s="935">
        <f t="shared" si="122"/>
        <v>0</v>
      </c>
      <c r="V362" s="935">
        <f t="shared" si="122"/>
        <v>0</v>
      </c>
      <c r="W362" s="935">
        <f t="shared" si="122"/>
        <v>0</v>
      </c>
      <c r="X362" s="935">
        <f t="shared" si="122"/>
        <v>0</v>
      </c>
      <c r="Y362" s="935">
        <f t="shared" si="123"/>
        <v>0</v>
      </c>
      <c r="Z362" s="935">
        <f t="shared" si="124"/>
        <v>0</v>
      </c>
    </row>
    <row r="363" spans="1:26" hidden="1">
      <c r="A363" s="951">
        <v>652</v>
      </c>
      <c r="B363" s="950" t="s">
        <v>2158</v>
      </c>
      <c r="C363" s="897"/>
      <c r="D363" s="897"/>
      <c r="E363" s="937">
        <f t="shared" si="119"/>
        <v>0</v>
      </c>
      <c r="F363" s="897">
        <f t="shared" si="120"/>
        <v>0</v>
      </c>
      <c r="G363" s="897">
        <f t="shared" si="120"/>
        <v>0</v>
      </c>
      <c r="H363" s="897">
        <f t="shared" si="120"/>
        <v>0</v>
      </c>
      <c r="I363" s="897">
        <f t="shared" si="120"/>
        <v>0</v>
      </c>
      <c r="J363" s="897">
        <f t="shared" si="120"/>
        <v>0</v>
      </c>
      <c r="K363" s="897">
        <f t="shared" si="120"/>
        <v>0</v>
      </c>
      <c r="L363" s="897">
        <f t="shared" si="120"/>
        <v>0</v>
      </c>
      <c r="M363" s="897">
        <f t="shared" si="120"/>
        <v>0</v>
      </c>
      <c r="N363" s="897">
        <f t="shared" si="120"/>
        <v>0</v>
      </c>
      <c r="O363" s="897"/>
      <c r="P363" s="897">
        <f t="shared" si="117"/>
        <v>0</v>
      </c>
      <c r="Q363" s="898">
        <f t="shared" si="118"/>
        <v>0</v>
      </c>
      <c r="R363" s="936">
        <f t="shared" si="121"/>
        <v>0</v>
      </c>
      <c r="S363" s="935">
        <f t="shared" si="122"/>
        <v>0</v>
      </c>
      <c r="T363" s="935">
        <f t="shared" si="122"/>
        <v>0</v>
      </c>
      <c r="U363" s="935">
        <f t="shared" si="122"/>
        <v>0</v>
      </c>
      <c r="V363" s="935">
        <f t="shared" si="122"/>
        <v>0</v>
      </c>
      <c r="W363" s="935">
        <f t="shared" si="122"/>
        <v>0</v>
      </c>
      <c r="X363" s="935">
        <f t="shared" si="122"/>
        <v>0</v>
      </c>
      <c r="Y363" s="935">
        <f t="shared" si="123"/>
        <v>0</v>
      </c>
      <c r="Z363" s="935">
        <f t="shared" si="124"/>
        <v>0</v>
      </c>
    </row>
    <row r="364" spans="1:26" hidden="1">
      <c r="A364" s="939">
        <v>6521</v>
      </c>
      <c r="B364" s="953" t="s">
        <v>2159</v>
      </c>
      <c r="C364" s="897"/>
      <c r="D364" s="897"/>
      <c r="E364" s="937">
        <f t="shared" si="119"/>
        <v>0</v>
      </c>
      <c r="F364" s="897">
        <f t="shared" si="120"/>
        <v>0</v>
      </c>
      <c r="G364" s="897">
        <f t="shared" si="120"/>
        <v>0</v>
      </c>
      <c r="H364" s="897">
        <f t="shared" si="120"/>
        <v>0</v>
      </c>
      <c r="I364" s="897">
        <f t="shared" si="120"/>
        <v>0</v>
      </c>
      <c r="J364" s="897">
        <f t="shared" si="120"/>
        <v>0</v>
      </c>
      <c r="K364" s="897">
        <f t="shared" si="120"/>
        <v>0</v>
      </c>
      <c r="L364" s="897">
        <f t="shared" si="120"/>
        <v>0</v>
      </c>
      <c r="M364" s="897">
        <f t="shared" si="120"/>
        <v>0</v>
      </c>
      <c r="N364" s="897">
        <f t="shared" si="120"/>
        <v>0</v>
      </c>
      <c r="O364" s="897"/>
      <c r="P364" s="897">
        <f t="shared" si="117"/>
        <v>0</v>
      </c>
      <c r="Q364" s="898">
        <f t="shared" si="118"/>
        <v>0</v>
      </c>
      <c r="R364" s="936">
        <f t="shared" si="121"/>
        <v>0</v>
      </c>
      <c r="S364" s="935">
        <f t="shared" si="122"/>
        <v>0</v>
      </c>
      <c r="T364" s="935">
        <f t="shared" si="122"/>
        <v>0</v>
      </c>
      <c r="U364" s="935">
        <f t="shared" si="122"/>
        <v>0</v>
      </c>
      <c r="V364" s="935">
        <f t="shared" si="122"/>
        <v>0</v>
      </c>
      <c r="W364" s="935">
        <f t="shared" si="122"/>
        <v>0</v>
      </c>
      <c r="X364" s="935">
        <f t="shared" si="122"/>
        <v>0</v>
      </c>
      <c r="Y364" s="935">
        <f t="shared" si="123"/>
        <v>0</v>
      </c>
      <c r="Z364" s="935">
        <f t="shared" si="124"/>
        <v>0</v>
      </c>
    </row>
    <row r="365" spans="1:26" hidden="1">
      <c r="A365" s="939">
        <v>6522</v>
      </c>
      <c r="B365" s="953" t="s">
        <v>2160</v>
      </c>
      <c r="C365" s="897"/>
      <c r="D365" s="897"/>
      <c r="E365" s="937">
        <f t="shared" si="119"/>
        <v>0</v>
      </c>
      <c r="F365" s="897">
        <f t="shared" si="120"/>
        <v>0</v>
      </c>
      <c r="G365" s="897">
        <f t="shared" si="120"/>
        <v>0</v>
      </c>
      <c r="H365" s="897">
        <f t="shared" si="120"/>
        <v>0</v>
      </c>
      <c r="I365" s="897">
        <f t="shared" si="120"/>
        <v>0</v>
      </c>
      <c r="J365" s="897">
        <f t="shared" si="120"/>
        <v>0</v>
      </c>
      <c r="K365" s="897">
        <f t="shared" si="120"/>
        <v>0</v>
      </c>
      <c r="L365" s="897">
        <f t="shared" si="120"/>
        <v>0</v>
      </c>
      <c r="M365" s="897">
        <f t="shared" si="120"/>
        <v>0</v>
      </c>
      <c r="N365" s="897">
        <f t="shared" si="120"/>
        <v>0</v>
      </c>
      <c r="O365" s="897"/>
      <c r="P365" s="897">
        <f t="shared" si="117"/>
        <v>0</v>
      </c>
      <c r="Q365" s="898">
        <f t="shared" si="118"/>
        <v>0</v>
      </c>
      <c r="R365" s="936">
        <f t="shared" si="121"/>
        <v>0</v>
      </c>
      <c r="S365" s="935">
        <f t="shared" si="122"/>
        <v>0</v>
      </c>
      <c r="T365" s="935">
        <f t="shared" si="122"/>
        <v>0</v>
      </c>
      <c r="U365" s="935">
        <f t="shared" si="122"/>
        <v>0</v>
      </c>
      <c r="V365" s="935">
        <f t="shared" si="122"/>
        <v>0</v>
      </c>
      <c r="W365" s="935">
        <f t="shared" si="122"/>
        <v>0</v>
      </c>
      <c r="X365" s="935">
        <f t="shared" si="122"/>
        <v>0</v>
      </c>
      <c r="Y365" s="935">
        <f t="shared" si="123"/>
        <v>0</v>
      </c>
      <c r="Z365" s="935">
        <f t="shared" si="124"/>
        <v>0</v>
      </c>
    </row>
    <row r="366" spans="1:26" hidden="1">
      <c r="A366" s="939">
        <v>6523</v>
      </c>
      <c r="B366" s="953" t="s">
        <v>2161</v>
      </c>
      <c r="C366" s="897"/>
      <c r="D366" s="897"/>
      <c r="E366" s="937">
        <f t="shared" si="119"/>
        <v>0</v>
      </c>
      <c r="F366" s="897">
        <f t="shared" si="120"/>
        <v>0</v>
      </c>
      <c r="G366" s="897">
        <f t="shared" si="120"/>
        <v>0</v>
      </c>
      <c r="H366" s="897">
        <f t="shared" si="120"/>
        <v>0</v>
      </c>
      <c r="I366" s="897">
        <f t="shared" si="120"/>
        <v>0</v>
      </c>
      <c r="J366" s="897">
        <f t="shared" si="120"/>
        <v>0</v>
      </c>
      <c r="K366" s="897">
        <f t="shared" si="120"/>
        <v>0</v>
      </c>
      <c r="L366" s="897">
        <f t="shared" si="120"/>
        <v>0</v>
      </c>
      <c r="M366" s="897">
        <f t="shared" si="120"/>
        <v>0</v>
      </c>
      <c r="N366" s="897">
        <f t="shared" si="120"/>
        <v>0</v>
      </c>
      <c r="O366" s="897"/>
      <c r="P366" s="897">
        <f t="shared" si="117"/>
        <v>0</v>
      </c>
      <c r="Q366" s="898">
        <f t="shared" si="118"/>
        <v>0</v>
      </c>
      <c r="R366" s="936">
        <f t="shared" si="121"/>
        <v>0</v>
      </c>
      <c r="S366" s="935">
        <f t="shared" si="122"/>
        <v>0</v>
      </c>
      <c r="T366" s="935">
        <f t="shared" si="122"/>
        <v>0</v>
      </c>
      <c r="U366" s="935">
        <f t="shared" si="122"/>
        <v>0</v>
      </c>
      <c r="V366" s="935">
        <f t="shared" si="122"/>
        <v>0</v>
      </c>
      <c r="W366" s="935">
        <f t="shared" si="122"/>
        <v>0</v>
      </c>
      <c r="X366" s="935">
        <f t="shared" si="122"/>
        <v>0</v>
      </c>
      <c r="Y366" s="935">
        <f t="shared" si="123"/>
        <v>0</v>
      </c>
      <c r="Z366" s="935">
        <f t="shared" si="124"/>
        <v>0</v>
      </c>
    </row>
    <row r="367" spans="1:26" hidden="1">
      <c r="A367" s="939">
        <v>6524</v>
      </c>
      <c r="B367" s="953" t="s">
        <v>2162</v>
      </c>
      <c r="C367" s="897"/>
      <c r="D367" s="897"/>
      <c r="E367" s="937">
        <f t="shared" si="119"/>
        <v>0</v>
      </c>
      <c r="F367" s="897">
        <f t="shared" si="120"/>
        <v>0</v>
      </c>
      <c r="G367" s="897">
        <f t="shared" si="120"/>
        <v>0</v>
      </c>
      <c r="H367" s="897">
        <f t="shared" si="120"/>
        <v>0</v>
      </c>
      <c r="I367" s="897">
        <f t="shared" si="120"/>
        <v>0</v>
      </c>
      <c r="J367" s="897">
        <f t="shared" si="120"/>
        <v>0</v>
      </c>
      <c r="K367" s="897">
        <f t="shared" si="120"/>
        <v>0</v>
      </c>
      <c r="L367" s="897">
        <f t="shared" si="120"/>
        <v>0</v>
      </c>
      <c r="M367" s="897">
        <f t="shared" si="120"/>
        <v>0</v>
      </c>
      <c r="N367" s="897">
        <f t="shared" si="120"/>
        <v>0</v>
      </c>
      <c r="O367" s="897"/>
      <c r="P367" s="897">
        <f t="shared" si="117"/>
        <v>0</v>
      </c>
      <c r="Q367" s="898">
        <f t="shared" si="118"/>
        <v>0</v>
      </c>
      <c r="R367" s="936">
        <f t="shared" si="121"/>
        <v>0</v>
      </c>
      <c r="S367" s="935">
        <f t="shared" si="122"/>
        <v>0</v>
      </c>
      <c r="T367" s="935">
        <f t="shared" si="122"/>
        <v>0</v>
      </c>
      <c r="U367" s="935">
        <f t="shared" si="122"/>
        <v>0</v>
      </c>
      <c r="V367" s="935">
        <f t="shared" si="122"/>
        <v>0</v>
      </c>
      <c r="W367" s="935">
        <f t="shared" si="122"/>
        <v>0</v>
      </c>
      <c r="X367" s="935">
        <f t="shared" si="122"/>
        <v>0</v>
      </c>
      <c r="Y367" s="935">
        <f t="shared" si="123"/>
        <v>0</v>
      </c>
      <c r="Z367" s="935">
        <f t="shared" si="124"/>
        <v>0</v>
      </c>
    </row>
    <row r="368" spans="1:26" hidden="1">
      <c r="A368" s="939">
        <v>6525</v>
      </c>
      <c r="B368" s="953" t="s">
        <v>2163</v>
      </c>
      <c r="C368" s="897"/>
      <c r="D368" s="897"/>
      <c r="E368" s="937">
        <f t="shared" si="119"/>
        <v>0</v>
      </c>
      <c r="F368" s="897">
        <f t="shared" si="120"/>
        <v>0</v>
      </c>
      <c r="G368" s="897">
        <f t="shared" si="120"/>
        <v>0</v>
      </c>
      <c r="H368" s="897">
        <f t="shared" si="120"/>
        <v>0</v>
      </c>
      <c r="I368" s="897">
        <f t="shared" si="120"/>
        <v>0</v>
      </c>
      <c r="J368" s="897">
        <f t="shared" si="120"/>
        <v>0</v>
      </c>
      <c r="K368" s="897">
        <f t="shared" si="120"/>
        <v>0</v>
      </c>
      <c r="L368" s="897">
        <f t="shared" si="120"/>
        <v>0</v>
      </c>
      <c r="M368" s="897">
        <f t="shared" si="120"/>
        <v>0</v>
      </c>
      <c r="N368" s="897">
        <f t="shared" si="120"/>
        <v>0</v>
      </c>
      <c r="O368" s="897"/>
      <c r="P368" s="897">
        <f t="shared" si="117"/>
        <v>0</v>
      </c>
      <c r="Q368" s="898">
        <f t="shared" si="118"/>
        <v>0</v>
      </c>
      <c r="R368" s="936">
        <f t="shared" si="121"/>
        <v>0</v>
      </c>
      <c r="S368" s="935">
        <f t="shared" si="122"/>
        <v>0</v>
      </c>
      <c r="T368" s="935">
        <f t="shared" si="122"/>
        <v>0</v>
      </c>
      <c r="U368" s="935">
        <f t="shared" si="122"/>
        <v>0</v>
      </c>
      <c r="V368" s="935">
        <f t="shared" si="122"/>
        <v>0</v>
      </c>
      <c r="W368" s="935">
        <f t="shared" si="122"/>
        <v>0</v>
      </c>
      <c r="X368" s="935">
        <f t="shared" si="122"/>
        <v>0</v>
      </c>
      <c r="Y368" s="935">
        <f t="shared" si="123"/>
        <v>0</v>
      </c>
      <c r="Z368" s="935">
        <f t="shared" si="124"/>
        <v>0</v>
      </c>
    </row>
    <row r="369" spans="1:26" hidden="1">
      <c r="A369" s="939">
        <v>6526</v>
      </c>
      <c r="B369" s="953" t="s">
        <v>2164</v>
      </c>
      <c r="C369" s="897"/>
      <c r="D369" s="897"/>
      <c r="E369" s="937">
        <f t="shared" si="119"/>
        <v>0</v>
      </c>
      <c r="F369" s="897">
        <f t="shared" si="120"/>
        <v>0</v>
      </c>
      <c r="G369" s="897">
        <f t="shared" si="120"/>
        <v>0</v>
      </c>
      <c r="H369" s="897">
        <f t="shared" si="120"/>
        <v>0</v>
      </c>
      <c r="I369" s="897">
        <f t="shared" si="120"/>
        <v>0</v>
      </c>
      <c r="J369" s="897">
        <f t="shared" si="120"/>
        <v>0</v>
      </c>
      <c r="K369" s="897">
        <f t="shared" si="120"/>
        <v>0</v>
      </c>
      <c r="L369" s="897">
        <f t="shared" si="120"/>
        <v>0</v>
      </c>
      <c r="M369" s="897">
        <f t="shared" si="120"/>
        <v>0</v>
      </c>
      <c r="N369" s="897">
        <f t="shared" si="120"/>
        <v>0</v>
      </c>
      <c r="O369" s="897"/>
      <c r="P369" s="897">
        <f t="shared" si="117"/>
        <v>0</v>
      </c>
      <c r="Q369" s="898">
        <f t="shared" si="118"/>
        <v>0</v>
      </c>
      <c r="R369" s="936">
        <f t="shared" si="121"/>
        <v>0</v>
      </c>
      <c r="S369" s="935">
        <f t="shared" si="122"/>
        <v>0</v>
      </c>
      <c r="T369" s="935">
        <f t="shared" si="122"/>
        <v>0</v>
      </c>
      <c r="U369" s="935">
        <f t="shared" si="122"/>
        <v>0</v>
      </c>
      <c r="V369" s="935">
        <f t="shared" si="122"/>
        <v>0</v>
      </c>
      <c r="W369" s="935">
        <f t="shared" si="122"/>
        <v>0</v>
      </c>
      <c r="X369" s="935">
        <f t="shared" si="122"/>
        <v>0</v>
      </c>
      <c r="Y369" s="935">
        <f t="shared" si="123"/>
        <v>0</v>
      </c>
      <c r="Z369" s="935">
        <f t="shared" si="124"/>
        <v>0</v>
      </c>
    </row>
    <row r="370" spans="1:26" hidden="1">
      <c r="A370" s="939">
        <v>6527</v>
      </c>
      <c r="B370" s="953" t="s">
        <v>2165</v>
      </c>
      <c r="C370" s="897"/>
      <c r="D370" s="897"/>
      <c r="E370" s="937">
        <f t="shared" si="119"/>
        <v>0</v>
      </c>
      <c r="F370" s="897">
        <f t="shared" si="120"/>
        <v>0</v>
      </c>
      <c r="G370" s="897">
        <f t="shared" si="120"/>
        <v>0</v>
      </c>
      <c r="H370" s="897">
        <f t="shared" si="120"/>
        <v>0</v>
      </c>
      <c r="I370" s="897">
        <f t="shared" si="120"/>
        <v>0</v>
      </c>
      <c r="J370" s="897">
        <f t="shared" si="120"/>
        <v>0</v>
      </c>
      <c r="K370" s="897">
        <f t="shared" si="120"/>
        <v>0</v>
      </c>
      <c r="L370" s="897">
        <f t="shared" si="120"/>
        <v>0</v>
      </c>
      <c r="M370" s="897">
        <f t="shared" si="120"/>
        <v>0</v>
      </c>
      <c r="N370" s="897">
        <f t="shared" si="120"/>
        <v>0</v>
      </c>
      <c r="O370" s="897"/>
      <c r="P370" s="897">
        <f t="shared" si="117"/>
        <v>0</v>
      </c>
      <c r="Q370" s="898">
        <f t="shared" si="118"/>
        <v>0</v>
      </c>
      <c r="R370" s="936">
        <f t="shared" si="121"/>
        <v>0</v>
      </c>
      <c r="S370" s="935">
        <f t="shared" si="122"/>
        <v>0</v>
      </c>
      <c r="T370" s="935">
        <f t="shared" si="122"/>
        <v>0</v>
      </c>
      <c r="U370" s="935">
        <f t="shared" si="122"/>
        <v>0</v>
      </c>
      <c r="V370" s="935">
        <f t="shared" si="122"/>
        <v>0</v>
      </c>
      <c r="W370" s="935">
        <f t="shared" si="122"/>
        <v>0</v>
      </c>
      <c r="X370" s="935">
        <f t="shared" si="122"/>
        <v>0</v>
      </c>
      <c r="Y370" s="935">
        <f t="shared" si="123"/>
        <v>0</v>
      </c>
      <c r="Z370" s="935">
        <f t="shared" si="124"/>
        <v>0</v>
      </c>
    </row>
    <row r="371" spans="1:26" hidden="1">
      <c r="A371" s="939">
        <v>6529</v>
      </c>
      <c r="B371" s="953" t="s">
        <v>2166</v>
      </c>
      <c r="C371" s="897"/>
      <c r="D371" s="897"/>
      <c r="E371" s="937">
        <f t="shared" si="119"/>
        <v>0</v>
      </c>
      <c r="F371" s="897">
        <f t="shared" si="120"/>
        <v>0</v>
      </c>
      <c r="G371" s="897">
        <f t="shared" si="120"/>
        <v>0</v>
      </c>
      <c r="H371" s="897">
        <f t="shared" si="120"/>
        <v>0</v>
      </c>
      <c r="I371" s="897">
        <f t="shared" si="120"/>
        <v>0</v>
      </c>
      <c r="J371" s="897">
        <f t="shared" si="120"/>
        <v>0</v>
      </c>
      <c r="K371" s="897">
        <f t="shared" si="120"/>
        <v>0</v>
      </c>
      <c r="L371" s="897">
        <f t="shared" si="120"/>
        <v>0</v>
      </c>
      <c r="M371" s="897">
        <f t="shared" si="120"/>
        <v>0</v>
      </c>
      <c r="N371" s="897">
        <f t="shared" si="120"/>
        <v>0</v>
      </c>
      <c r="O371" s="897"/>
      <c r="P371" s="897">
        <f t="shared" si="117"/>
        <v>0</v>
      </c>
      <c r="Q371" s="898">
        <f t="shared" si="118"/>
        <v>0</v>
      </c>
      <c r="R371" s="936">
        <f t="shared" si="121"/>
        <v>0</v>
      </c>
      <c r="S371" s="935">
        <f t="shared" si="122"/>
        <v>0</v>
      </c>
      <c r="T371" s="935">
        <f t="shared" si="122"/>
        <v>0</v>
      </c>
      <c r="U371" s="935">
        <f t="shared" si="122"/>
        <v>0</v>
      </c>
      <c r="V371" s="935">
        <f t="shared" si="122"/>
        <v>0</v>
      </c>
      <c r="W371" s="935">
        <f t="shared" si="122"/>
        <v>0</v>
      </c>
      <c r="X371" s="935">
        <f t="shared" si="122"/>
        <v>0</v>
      </c>
      <c r="Y371" s="935">
        <f t="shared" si="123"/>
        <v>0</v>
      </c>
      <c r="Z371" s="935">
        <f t="shared" si="124"/>
        <v>0</v>
      </c>
    </row>
    <row r="372" spans="1:26" hidden="1">
      <c r="A372" s="951">
        <v>653</v>
      </c>
      <c r="B372" s="950" t="s">
        <v>2167</v>
      </c>
      <c r="C372" s="897"/>
      <c r="D372" s="897"/>
      <c r="E372" s="937">
        <f t="shared" si="119"/>
        <v>0</v>
      </c>
      <c r="F372" s="897">
        <f t="shared" si="120"/>
        <v>0</v>
      </c>
      <c r="G372" s="897">
        <f t="shared" si="120"/>
        <v>0</v>
      </c>
      <c r="H372" s="897">
        <f t="shared" si="120"/>
        <v>0</v>
      </c>
      <c r="I372" s="897">
        <f t="shared" si="120"/>
        <v>0</v>
      </c>
      <c r="J372" s="897">
        <f t="shared" si="120"/>
        <v>0</v>
      </c>
      <c r="K372" s="897">
        <f t="shared" si="120"/>
        <v>0</v>
      </c>
      <c r="L372" s="897">
        <f t="shared" si="120"/>
        <v>0</v>
      </c>
      <c r="M372" s="897">
        <f t="shared" si="120"/>
        <v>0</v>
      </c>
      <c r="N372" s="897">
        <f t="shared" si="120"/>
        <v>0</v>
      </c>
      <c r="O372" s="897"/>
      <c r="P372" s="897">
        <f t="shared" si="117"/>
        <v>0</v>
      </c>
      <c r="Q372" s="898">
        <f t="shared" si="118"/>
        <v>0</v>
      </c>
      <c r="R372" s="936">
        <f t="shared" si="121"/>
        <v>0</v>
      </c>
      <c r="S372" s="935">
        <f t="shared" si="122"/>
        <v>0</v>
      </c>
      <c r="T372" s="935">
        <f t="shared" si="122"/>
        <v>0</v>
      </c>
      <c r="U372" s="935">
        <f t="shared" si="122"/>
        <v>0</v>
      </c>
      <c r="V372" s="935">
        <f t="shared" si="122"/>
        <v>0</v>
      </c>
      <c r="W372" s="935">
        <f t="shared" si="122"/>
        <v>0</v>
      </c>
      <c r="X372" s="935">
        <f t="shared" si="122"/>
        <v>0</v>
      </c>
      <c r="Y372" s="935">
        <f t="shared" si="123"/>
        <v>0</v>
      </c>
      <c r="Z372" s="935">
        <f t="shared" si="124"/>
        <v>0</v>
      </c>
    </row>
    <row r="373" spans="1:26" hidden="1">
      <c r="A373" s="939">
        <v>6531</v>
      </c>
      <c r="B373" s="953" t="s">
        <v>2168</v>
      </c>
      <c r="C373" s="897"/>
      <c r="D373" s="897"/>
      <c r="E373" s="937">
        <f t="shared" si="119"/>
        <v>0</v>
      </c>
      <c r="F373" s="897">
        <f t="shared" si="120"/>
        <v>0</v>
      </c>
      <c r="G373" s="897">
        <f t="shared" si="120"/>
        <v>0</v>
      </c>
      <c r="H373" s="897">
        <f t="shared" si="120"/>
        <v>0</v>
      </c>
      <c r="I373" s="897">
        <f t="shared" si="120"/>
        <v>0</v>
      </c>
      <c r="J373" s="897">
        <f t="shared" si="120"/>
        <v>0</v>
      </c>
      <c r="K373" s="897">
        <f t="shared" si="120"/>
        <v>0</v>
      </c>
      <c r="L373" s="897">
        <f t="shared" si="120"/>
        <v>0</v>
      </c>
      <c r="M373" s="897">
        <f t="shared" si="120"/>
        <v>0</v>
      </c>
      <c r="N373" s="897">
        <f t="shared" si="120"/>
        <v>0</v>
      </c>
      <c r="O373" s="897"/>
      <c r="P373" s="897">
        <f t="shared" si="117"/>
        <v>0</v>
      </c>
      <c r="Q373" s="898">
        <f t="shared" si="118"/>
        <v>0</v>
      </c>
      <c r="R373" s="936">
        <f t="shared" si="121"/>
        <v>0</v>
      </c>
      <c r="S373" s="935">
        <f t="shared" si="122"/>
        <v>0</v>
      </c>
      <c r="T373" s="935">
        <f t="shared" si="122"/>
        <v>0</v>
      </c>
      <c r="U373" s="935">
        <f t="shared" si="122"/>
        <v>0</v>
      </c>
      <c r="V373" s="935">
        <f t="shared" si="122"/>
        <v>0</v>
      </c>
      <c r="W373" s="935">
        <f t="shared" si="122"/>
        <v>0</v>
      </c>
      <c r="X373" s="935">
        <f t="shared" si="122"/>
        <v>0</v>
      </c>
      <c r="Y373" s="935">
        <f t="shared" si="123"/>
        <v>0</v>
      </c>
      <c r="Z373" s="935">
        <f t="shared" si="124"/>
        <v>0</v>
      </c>
    </row>
    <row r="374" spans="1:26" hidden="1">
      <c r="A374" s="939">
        <v>6532</v>
      </c>
      <c r="B374" s="953" t="s">
        <v>2169</v>
      </c>
      <c r="C374" s="897"/>
      <c r="D374" s="897"/>
      <c r="E374" s="937">
        <f t="shared" si="119"/>
        <v>0</v>
      </c>
      <c r="F374" s="897">
        <f t="shared" si="120"/>
        <v>0</v>
      </c>
      <c r="G374" s="897">
        <f t="shared" si="120"/>
        <v>0</v>
      </c>
      <c r="H374" s="897">
        <f t="shared" si="120"/>
        <v>0</v>
      </c>
      <c r="I374" s="897">
        <f t="shared" si="120"/>
        <v>0</v>
      </c>
      <c r="J374" s="897">
        <f t="shared" si="120"/>
        <v>0</v>
      </c>
      <c r="K374" s="897">
        <f t="shared" si="120"/>
        <v>0</v>
      </c>
      <c r="L374" s="897">
        <f t="shared" si="120"/>
        <v>0</v>
      </c>
      <c r="M374" s="897">
        <f t="shared" si="120"/>
        <v>0</v>
      </c>
      <c r="N374" s="897">
        <f t="shared" si="120"/>
        <v>0</v>
      </c>
      <c r="O374" s="897"/>
      <c r="P374" s="897">
        <f t="shared" si="117"/>
        <v>0</v>
      </c>
      <c r="Q374" s="898">
        <f t="shared" si="118"/>
        <v>0</v>
      </c>
      <c r="R374" s="936">
        <f t="shared" si="121"/>
        <v>0</v>
      </c>
      <c r="S374" s="935">
        <f t="shared" si="122"/>
        <v>0</v>
      </c>
      <c r="T374" s="935">
        <f t="shared" si="122"/>
        <v>0</v>
      </c>
      <c r="U374" s="935">
        <f t="shared" si="122"/>
        <v>0</v>
      </c>
      <c r="V374" s="935">
        <f t="shared" si="122"/>
        <v>0</v>
      </c>
      <c r="W374" s="935">
        <f t="shared" si="122"/>
        <v>0</v>
      </c>
      <c r="X374" s="935">
        <f t="shared" si="122"/>
        <v>0</v>
      </c>
      <c r="Y374" s="935">
        <f t="shared" si="123"/>
        <v>0</v>
      </c>
      <c r="Z374" s="935">
        <f t="shared" si="124"/>
        <v>0</v>
      </c>
    </row>
    <row r="375" spans="1:26" hidden="1">
      <c r="A375" s="939">
        <v>6533</v>
      </c>
      <c r="B375" s="953" t="s">
        <v>2170</v>
      </c>
      <c r="C375" s="897"/>
      <c r="D375" s="897"/>
      <c r="E375" s="937">
        <f t="shared" si="119"/>
        <v>0</v>
      </c>
      <c r="F375" s="897">
        <f t="shared" si="120"/>
        <v>0</v>
      </c>
      <c r="G375" s="897">
        <f t="shared" si="120"/>
        <v>0</v>
      </c>
      <c r="H375" s="897">
        <f t="shared" si="120"/>
        <v>0</v>
      </c>
      <c r="I375" s="897">
        <f t="shared" si="120"/>
        <v>0</v>
      </c>
      <c r="J375" s="897">
        <f t="shared" si="120"/>
        <v>0</v>
      </c>
      <c r="K375" s="897">
        <f t="shared" si="120"/>
        <v>0</v>
      </c>
      <c r="L375" s="897">
        <f t="shared" si="120"/>
        <v>0</v>
      </c>
      <c r="M375" s="897">
        <f t="shared" si="120"/>
        <v>0</v>
      </c>
      <c r="N375" s="897">
        <f t="shared" si="120"/>
        <v>0</v>
      </c>
      <c r="O375" s="897"/>
      <c r="P375" s="897">
        <f t="shared" si="117"/>
        <v>0</v>
      </c>
      <c r="Q375" s="898">
        <f t="shared" si="118"/>
        <v>0</v>
      </c>
      <c r="R375" s="936">
        <f t="shared" si="121"/>
        <v>0</v>
      </c>
      <c r="S375" s="935">
        <f t="shared" si="122"/>
        <v>0</v>
      </c>
      <c r="T375" s="935">
        <f t="shared" si="122"/>
        <v>0</v>
      </c>
      <c r="U375" s="935">
        <f t="shared" si="122"/>
        <v>0</v>
      </c>
      <c r="V375" s="935">
        <f t="shared" si="122"/>
        <v>0</v>
      </c>
      <c r="W375" s="935">
        <f t="shared" si="122"/>
        <v>0</v>
      </c>
      <c r="X375" s="935">
        <f t="shared" si="122"/>
        <v>0</v>
      </c>
      <c r="Y375" s="935">
        <f t="shared" si="123"/>
        <v>0</v>
      </c>
      <c r="Z375" s="935">
        <f t="shared" si="124"/>
        <v>0</v>
      </c>
    </row>
    <row r="376" spans="1:26" hidden="1">
      <c r="A376" s="939">
        <v>6534</v>
      </c>
      <c r="B376" s="953" t="s">
        <v>2171</v>
      </c>
      <c r="C376" s="897"/>
      <c r="D376" s="897"/>
      <c r="E376" s="937">
        <f t="shared" si="119"/>
        <v>0</v>
      </c>
      <c r="F376" s="897">
        <f t="shared" si="120"/>
        <v>0</v>
      </c>
      <c r="G376" s="897">
        <f t="shared" si="120"/>
        <v>0</v>
      </c>
      <c r="H376" s="897">
        <f t="shared" si="120"/>
        <v>0</v>
      </c>
      <c r="I376" s="897">
        <f t="shared" si="120"/>
        <v>0</v>
      </c>
      <c r="J376" s="897">
        <f t="shared" si="120"/>
        <v>0</v>
      </c>
      <c r="K376" s="897">
        <f t="shared" si="120"/>
        <v>0</v>
      </c>
      <c r="L376" s="897">
        <f t="shared" si="120"/>
        <v>0</v>
      </c>
      <c r="M376" s="897">
        <f t="shared" si="120"/>
        <v>0</v>
      </c>
      <c r="N376" s="897">
        <f t="shared" si="120"/>
        <v>0</v>
      </c>
      <c r="O376" s="897"/>
      <c r="P376" s="897">
        <f t="shared" si="117"/>
        <v>0</v>
      </c>
      <c r="Q376" s="898">
        <f t="shared" si="118"/>
        <v>0</v>
      </c>
      <c r="R376" s="936">
        <f t="shared" si="121"/>
        <v>0</v>
      </c>
      <c r="S376" s="935">
        <f t="shared" si="122"/>
        <v>0</v>
      </c>
      <c r="T376" s="935">
        <f t="shared" si="122"/>
        <v>0</v>
      </c>
      <c r="U376" s="935">
        <f t="shared" si="122"/>
        <v>0</v>
      </c>
      <c r="V376" s="935">
        <f t="shared" si="122"/>
        <v>0</v>
      </c>
      <c r="W376" s="935">
        <f t="shared" si="122"/>
        <v>0</v>
      </c>
      <c r="X376" s="935">
        <f t="shared" si="122"/>
        <v>0</v>
      </c>
      <c r="Y376" s="935">
        <f t="shared" si="123"/>
        <v>0</v>
      </c>
      <c r="Z376" s="935">
        <f t="shared" si="124"/>
        <v>0</v>
      </c>
    </row>
    <row r="377" spans="1:26" hidden="1">
      <c r="A377" s="939">
        <v>6539</v>
      </c>
      <c r="B377" s="953" t="s">
        <v>2172</v>
      </c>
      <c r="C377" s="897"/>
      <c r="D377" s="897"/>
      <c r="E377" s="937">
        <f t="shared" si="119"/>
        <v>0</v>
      </c>
      <c r="F377" s="897">
        <f t="shared" si="120"/>
        <v>0</v>
      </c>
      <c r="G377" s="897">
        <f t="shared" si="120"/>
        <v>0</v>
      </c>
      <c r="H377" s="897">
        <f t="shared" si="120"/>
        <v>0</v>
      </c>
      <c r="I377" s="897">
        <f t="shared" si="120"/>
        <v>0</v>
      </c>
      <c r="J377" s="897">
        <f t="shared" si="120"/>
        <v>0</v>
      </c>
      <c r="K377" s="897">
        <f t="shared" si="120"/>
        <v>0</v>
      </c>
      <c r="L377" s="897">
        <f t="shared" si="120"/>
        <v>0</v>
      </c>
      <c r="M377" s="897">
        <f t="shared" si="120"/>
        <v>0</v>
      </c>
      <c r="N377" s="897">
        <f t="shared" si="120"/>
        <v>0</v>
      </c>
      <c r="O377" s="897"/>
      <c r="P377" s="897">
        <f t="shared" si="117"/>
        <v>0</v>
      </c>
      <c r="Q377" s="898">
        <f t="shared" si="118"/>
        <v>0</v>
      </c>
      <c r="R377" s="936">
        <f t="shared" si="121"/>
        <v>0</v>
      </c>
      <c r="S377" s="935">
        <f t="shared" ref="S377:X392" si="125">R377</f>
        <v>0</v>
      </c>
      <c r="T377" s="935">
        <f t="shared" si="125"/>
        <v>0</v>
      </c>
      <c r="U377" s="935">
        <f t="shared" si="125"/>
        <v>0</v>
      </c>
      <c r="V377" s="935">
        <f t="shared" si="125"/>
        <v>0</v>
      </c>
      <c r="W377" s="935">
        <f t="shared" si="125"/>
        <v>0</v>
      </c>
      <c r="X377" s="935">
        <f t="shared" si="125"/>
        <v>0</v>
      </c>
      <c r="Y377" s="935">
        <f t="shared" si="123"/>
        <v>0</v>
      </c>
      <c r="Z377" s="935">
        <f t="shared" si="124"/>
        <v>0</v>
      </c>
    </row>
    <row r="378" spans="1:26" s="911" customFormat="1" hidden="1">
      <c r="A378" s="958">
        <v>654</v>
      </c>
      <c r="B378" s="957" t="s">
        <v>2173</v>
      </c>
      <c r="C378" s="900"/>
      <c r="D378" s="900"/>
      <c r="E378" s="956">
        <f t="shared" si="119"/>
        <v>0</v>
      </c>
      <c r="F378" s="900">
        <f t="shared" si="120"/>
        <v>0</v>
      </c>
      <c r="G378" s="900">
        <f t="shared" si="120"/>
        <v>0</v>
      </c>
      <c r="H378" s="900">
        <f t="shared" si="120"/>
        <v>0</v>
      </c>
      <c r="I378" s="900">
        <f t="shared" si="120"/>
        <v>0</v>
      </c>
      <c r="J378" s="900">
        <f t="shared" si="120"/>
        <v>0</v>
      </c>
      <c r="K378" s="900">
        <f t="shared" si="120"/>
        <v>0</v>
      </c>
      <c r="L378" s="900">
        <f t="shared" si="120"/>
        <v>0</v>
      </c>
      <c r="M378" s="900">
        <f t="shared" si="120"/>
        <v>0</v>
      </c>
      <c r="N378" s="900">
        <f t="shared" si="120"/>
        <v>0</v>
      </c>
      <c r="O378" s="900"/>
      <c r="P378" s="897">
        <f t="shared" si="117"/>
        <v>0</v>
      </c>
      <c r="Q378" s="910">
        <f t="shared" si="118"/>
        <v>0</v>
      </c>
      <c r="R378" s="955">
        <f t="shared" si="121"/>
        <v>0</v>
      </c>
      <c r="S378" s="954">
        <f t="shared" si="125"/>
        <v>0</v>
      </c>
      <c r="T378" s="954">
        <f t="shared" si="125"/>
        <v>0</v>
      </c>
      <c r="U378" s="954">
        <f t="shared" si="125"/>
        <v>0</v>
      </c>
      <c r="V378" s="954">
        <f t="shared" si="125"/>
        <v>0</v>
      </c>
      <c r="W378" s="954">
        <f t="shared" si="125"/>
        <v>0</v>
      </c>
      <c r="X378" s="954">
        <f t="shared" si="125"/>
        <v>0</v>
      </c>
      <c r="Y378" s="954">
        <f t="shared" si="123"/>
        <v>0</v>
      </c>
      <c r="Z378" s="954">
        <f t="shared" si="124"/>
        <v>0</v>
      </c>
    </row>
    <row r="379" spans="1:26" hidden="1">
      <c r="A379" s="951">
        <v>657</v>
      </c>
      <c r="B379" s="950" t="s">
        <v>2174</v>
      </c>
      <c r="C379" s="897"/>
      <c r="D379" s="897"/>
      <c r="E379" s="937">
        <f t="shared" si="119"/>
        <v>0</v>
      </c>
      <c r="F379" s="897">
        <f t="shared" si="120"/>
        <v>0</v>
      </c>
      <c r="G379" s="897">
        <f t="shared" si="120"/>
        <v>0</v>
      </c>
      <c r="H379" s="897">
        <f t="shared" si="120"/>
        <v>0</v>
      </c>
      <c r="I379" s="897">
        <f t="shared" si="120"/>
        <v>0</v>
      </c>
      <c r="J379" s="897">
        <f t="shared" si="120"/>
        <v>0</v>
      </c>
      <c r="K379" s="897">
        <f t="shared" si="120"/>
        <v>0</v>
      </c>
      <c r="L379" s="897">
        <f t="shared" si="120"/>
        <v>0</v>
      </c>
      <c r="M379" s="897">
        <f t="shared" si="120"/>
        <v>0</v>
      </c>
      <c r="N379" s="897">
        <f t="shared" si="120"/>
        <v>0</v>
      </c>
      <c r="O379" s="897"/>
      <c r="P379" s="897">
        <f t="shared" si="117"/>
        <v>0</v>
      </c>
      <c r="Q379" s="898">
        <f t="shared" si="118"/>
        <v>0</v>
      </c>
      <c r="R379" s="936">
        <f t="shared" si="121"/>
        <v>0</v>
      </c>
      <c r="S379" s="935">
        <f t="shared" si="125"/>
        <v>0</v>
      </c>
      <c r="T379" s="935">
        <f t="shared" si="125"/>
        <v>0</v>
      </c>
      <c r="U379" s="935">
        <f t="shared" si="125"/>
        <v>0</v>
      </c>
      <c r="V379" s="935">
        <f t="shared" si="125"/>
        <v>0</v>
      </c>
      <c r="W379" s="935">
        <f t="shared" si="125"/>
        <v>0</v>
      </c>
      <c r="X379" s="935">
        <f t="shared" si="125"/>
        <v>0</v>
      </c>
      <c r="Y379" s="935">
        <f t="shared" si="123"/>
        <v>0</v>
      </c>
      <c r="Z379" s="935">
        <f t="shared" si="124"/>
        <v>0</v>
      </c>
    </row>
    <row r="380" spans="1:26" hidden="1">
      <c r="A380" s="939">
        <v>6571</v>
      </c>
      <c r="B380" s="953" t="s">
        <v>2175</v>
      </c>
      <c r="C380" s="897"/>
      <c r="D380" s="897"/>
      <c r="E380" s="937">
        <f t="shared" si="119"/>
        <v>0</v>
      </c>
      <c r="F380" s="897">
        <f t="shared" si="120"/>
        <v>0</v>
      </c>
      <c r="G380" s="897">
        <f t="shared" si="120"/>
        <v>0</v>
      </c>
      <c r="H380" s="897">
        <f t="shared" si="120"/>
        <v>0</v>
      </c>
      <c r="I380" s="897">
        <f t="shared" si="120"/>
        <v>0</v>
      </c>
      <c r="J380" s="897">
        <f t="shared" si="120"/>
        <v>0</v>
      </c>
      <c r="K380" s="897">
        <f t="shared" si="120"/>
        <v>0</v>
      </c>
      <c r="L380" s="897">
        <f t="shared" si="120"/>
        <v>0</v>
      </c>
      <c r="M380" s="897">
        <f t="shared" si="120"/>
        <v>0</v>
      </c>
      <c r="N380" s="897">
        <f t="shared" si="120"/>
        <v>0</v>
      </c>
      <c r="O380" s="897"/>
      <c r="P380" s="897">
        <f t="shared" si="117"/>
        <v>0</v>
      </c>
      <c r="Q380" s="898">
        <f t="shared" si="118"/>
        <v>0</v>
      </c>
      <c r="R380" s="936">
        <f t="shared" si="121"/>
        <v>0</v>
      </c>
      <c r="S380" s="935">
        <f t="shared" si="125"/>
        <v>0</v>
      </c>
      <c r="T380" s="935">
        <f t="shared" si="125"/>
        <v>0</v>
      </c>
      <c r="U380" s="935">
        <f t="shared" si="125"/>
        <v>0</v>
      </c>
      <c r="V380" s="935">
        <f t="shared" si="125"/>
        <v>0</v>
      </c>
      <c r="W380" s="935">
        <f t="shared" si="125"/>
        <v>0</v>
      </c>
      <c r="X380" s="935">
        <f t="shared" si="125"/>
        <v>0</v>
      </c>
      <c r="Y380" s="935">
        <f t="shared" si="123"/>
        <v>0</v>
      </c>
      <c r="Z380" s="935">
        <f t="shared" si="124"/>
        <v>0</v>
      </c>
    </row>
    <row r="381" spans="1:26" hidden="1">
      <c r="A381" s="939">
        <v>6579</v>
      </c>
      <c r="B381" s="953" t="s">
        <v>2176</v>
      </c>
      <c r="C381" s="897"/>
      <c r="D381" s="897"/>
      <c r="E381" s="937">
        <f t="shared" si="119"/>
        <v>0</v>
      </c>
      <c r="F381" s="897">
        <f t="shared" si="120"/>
        <v>0</v>
      </c>
      <c r="G381" s="897">
        <f t="shared" si="120"/>
        <v>0</v>
      </c>
      <c r="H381" s="897">
        <f t="shared" si="120"/>
        <v>0</v>
      </c>
      <c r="I381" s="897">
        <f t="shared" si="120"/>
        <v>0</v>
      </c>
      <c r="J381" s="897">
        <f t="shared" si="120"/>
        <v>0</v>
      </c>
      <c r="K381" s="897">
        <f t="shared" si="120"/>
        <v>0</v>
      </c>
      <c r="L381" s="897">
        <f t="shared" si="120"/>
        <v>0</v>
      </c>
      <c r="M381" s="897">
        <f t="shared" si="120"/>
        <v>0</v>
      </c>
      <c r="N381" s="897">
        <f t="shared" si="120"/>
        <v>0</v>
      </c>
      <c r="O381" s="897"/>
      <c r="P381" s="897">
        <f t="shared" si="117"/>
        <v>0</v>
      </c>
      <c r="Q381" s="898">
        <f t="shared" si="118"/>
        <v>0</v>
      </c>
      <c r="R381" s="936">
        <f t="shared" si="121"/>
        <v>0</v>
      </c>
      <c r="S381" s="935">
        <f t="shared" si="125"/>
        <v>0</v>
      </c>
      <c r="T381" s="935">
        <f t="shared" si="125"/>
        <v>0</v>
      </c>
      <c r="U381" s="935">
        <f t="shared" si="125"/>
        <v>0</v>
      </c>
      <c r="V381" s="935">
        <f t="shared" si="125"/>
        <v>0</v>
      </c>
      <c r="W381" s="935">
        <f t="shared" si="125"/>
        <v>0</v>
      </c>
      <c r="X381" s="935">
        <f t="shared" si="125"/>
        <v>0</v>
      </c>
      <c r="Y381" s="935">
        <f t="shared" si="123"/>
        <v>0</v>
      </c>
      <c r="Z381" s="935">
        <f t="shared" si="124"/>
        <v>0</v>
      </c>
    </row>
    <row r="382" spans="1:26" hidden="1">
      <c r="A382" s="951">
        <v>658</v>
      </c>
      <c r="B382" s="950" t="s">
        <v>2177</v>
      </c>
      <c r="C382" s="897"/>
      <c r="D382" s="897"/>
      <c r="E382" s="937">
        <f t="shared" si="119"/>
        <v>0</v>
      </c>
      <c r="F382" s="897">
        <f t="shared" si="120"/>
        <v>0</v>
      </c>
      <c r="G382" s="897">
        <f t="shared" si="120"/>
        <v>0</v>
      </c>
      <c r="H382" s="897">
        <f t="shared" si="120"/>
        <v>0</v>
      </c>
      <c r="I382" s="897">
        <f t="shared" si="120"/>
        <v>0</v>
      </c>
      <c r="J382" s="897">
        <f t="shared" si="120"/>
        <v>0</v>
      </c>
      <c r="K382" s="897">
        <f t="shared" si="120"/>
        <v>0</v>
      </c>
      <c r="L382" s="897">
        <f t="shared" si="120"/>
        <v>0</v>
      </c>
      <c r="M382" s="897">
        <f t="shared" si="120"/>
        <v>0</v>
      </c>
      <c r="N382" s="897">
        <f t="shared" si="120"/>
        <v>0</v>
      </c>
      <c r="O382" s="897"/>
      <c r="P382" s="897">
        <f t="shared" si="117"/>
        <v>0</v>
      </c>
      <c r="Q382" s="898">
        <f t="shared" si="118"/>
        <v>0</v>
      </c>
      <c r="R382" s="936">
        <f t="shared" si="121"/>
        <v>0</v>
      </c>
      <c r="S382" s="935">
        <f t="shared" si="125"/>
        <v>0</v>
      </c>
      <c r="T382" s="935">
        <f t="shared" si="125"/>
        <v>0</v>
      </c>
      <c r="U382" s="935">
        <f t="shared" si="125"/>
        <v>0</v>
      </c>
      <c r="V382" s="935">
        <f t="shared" si="125"/>
        <v>0</v>
      </c>
      <c r="W382" s="935">
        <f t="shared" si="125"/>
        <v>0</v>
      </c>
      <c r="X382" s="935">
        <f t="shared" si="125"/>
        <v>0</v>
      </c>
      <c r="Y382" s="935">
        <f t="shared" si="123"/>
        <v>0</v>
      </c>
      <c r="Z382" s="935">
        <f t="shared" si="124"/>
        <v>0</v>
      </c>
    </row>
    <row r="383" spans="1:26" hidden="1">
      <c r="A383" s="939">
        <v>6581</v>
      </c>
      <c r="B383" s="952" t="s">
        <v>2178</v>
      </c>
      <c r="C383" s="897"/>
      <c r="D383" s="897"/>
      <c r="E383" s="937">
        <f t="shared" si="119"/>
        <v>0</v>
      </c>
      <c r="F383" s="897">
        <f t="shared" si="120"/>
        <v>0</v>
      </c>
      <c r="G383" s="897">
        <f t="shared" si="120"/>
        <v>0</v>
      </c>
      <c r="H383" s="897">
        <f t="shared" si="120"/>
        <v>0</v>
      </c>
      <c r="I383" s="897">
        <f t="shared" si="120"/>
        <v>0</v>
      </c>
      <c r="J383" s="897">
        <f t="shared" si="120"/>
        <v>0</v>
      </c>
      <c r="K383" s="897">
        <f t="shared" si="120"/>
        <v>0</v>
      </c>
      <c r="L383" s="897">
        <f t="shared" si="120"/>
        <v>0</v>
      </c>
      <c r="M383" s="897">
        <f t="shared" si="120"/>
        <v>0</v>
      </c>
      <c r="N383" s="897">
        <f t="shared" si="120"/>
        <v>0</v>
      </c>
      <c r="O383" s="897"/>
      <c r="P383" s="897">
        <f t="shared" si="117"/>
        <v>0</v>
      </c>
      <c r="Q383" s="898">
        <f t="shared" si="118"/>
        <v>0</v>
      </c>
      <c r="R383" s="936">
        <f t="shared" si="121"/>
        <v>0</v>
      </c>
      <c r="S383" s="935">
        <f t="shared" si="125"/>
        <v>0</v>
      </c>
      <c r="T383" s="935">
        <f t="shared" si="125"/>
        <v>0</v>
      </c>
      <c r="U383" s="935">
        <f t="shared" si="125"/>
        <v>0</v>
      </c>
      <c r="V383" s="935">
        <f t="shared" si="125"/>
        <v>0</v>
      </c>
      <c r="W383" s="935">
        <f t="shared" si="125"/>
        <v>0</v>
      </c>
      <c r="X383" s="935">
        <f t="shared" si="125"/>
        <v>0</v>
      </c>
      <c r="Y383" s="935">
        <f t="shared" si="123"/>
        <v>0</v>
      </c>
      <c r="Z383" s="935">
        <f t="shared" si="124"/>
        <v>0</v>
      </c>
    </row>
    <row r="384" spans="1:26" hidden="1">
      <c r="A384" s="939">
        <v>6582</v>
      </c>
      <c r="B384" s="952" t="s">
        <v>2179</v>
      </c>
      <c r="C384" s="897"/>
      <c r="D384" s="897"/>
      <c r="E384" s="937">
        <f t="shared" si="119"/>
        <v>0</v>
      </c>
      <c r="F384" s="897">
        <f t="shared" si="120"/>
        <v>0</v>
      </c>
      <c r="G384" s="897">
        <f t="shared" si="120"/>
        <v>0</v>
      </c>
      <c r="H384" s="897">
        <f t="shared" si="120"/>
        <v>0</v>
      </c>
      <c r="I384" s="897">
        <f t="shared" si="120"/>
        <v>0</v>
      </c>
      <c r="J384" s="897">
        <f t="shared" si="120"/>
        <v>0</v>
      </c>
      <c r="K384" s="897">
        <f t="shared" si="120"/>
        <v>0</v>
      </c>
      <c r="L384" s="897">
        <f t="shared" si="120"/>
        <v>0</v>
      </c>
      <c r="M384" s="897">
        <f t="shared" si="120"/>
        <v>0</v>
      </c>
      <c r="N384" s="897">
        <f t="shared" si="120"/>
        <v>0</v>
      </c>
      <c r="O384" s="897"/>
      <c r="P384" s="897">
        <f t="shared" si="117"/>
        <v>0</v>
      </c>
      <c r="Q384" s="898">
        <f t="shared" si="118"/>
        <v>0</v>
      </c>
      <c r="R384" s="936">
        <f t="shared" si="121"/>
        <v>0</v>
      </c>
      <c r="S384" s="935">
        <f t="shared" si="125"/>
        <v>0</v>
      </c>
      <c r="T384" s="935">
        <f t="shared" si="125"/>
        <v>0</v>
      </c>
      <c r="U384" s="935">
        <f t="shared" si="125"/>
        <v>0</v>
      </c>
      <c r="V384" s="935">
        <f t="shared" si="125"/>
        <v>0</v>
      </c>
      <c r="W384" s="935">
        <f t="shared" si="125"/>
        <v>0</v>
      </c>
      <c r="X384" s="935">
        <f t="shared" si="125"/>
        <v>0</v>
      </c>
      <c r="Y384" s="935">
        <f t="shared" si="123"/>
        <v>0</v>
      </c>
      <c r="Z384" s="935">
        <f t="shared" si="124"/>
        <v>0</v>
      </c>
    </row>
    <row r="385" spans="1:26" hidden="1">
      <c r="A385" s="951">
        <v>659</v>
      </c>
      <c r="B385" s="950" t="s">
        <v>2180</v>
      </c>
      <c r="C385" s="897"/>
      <c r="D385" s="897"/>
      <c r="E385" s="937">
        <f t="shared" si="119"/>
        <v>0</v>
      </c>
      <c r="F385" s="897">
        <f t="shared" si="120"/>
        <v>0</v>
      </c>
      <c r="G385" s="897">
        <f t="shared" si="120"/>
        <v>0</v>
      </c>
      <c r="H385" s="897">
        <f t="shared" si="120"/>
        <v>0</v>
      </c>
      <c r="I385" s="897">
        <f t="shared" si="120"/>
        <v>0</v>
      </c>
      <c r="J385" s="897">
        <f t="shared" si="120"/>
        <v>0</v>
      </c>
      <c r="K385" s="897">
        <f t="shared" si="120"/>
        <v>0</v>
      </c>
      <c r="L385" s="897">
        <f t="shared" si="120"/>
        <v>0</v>
      </c>
      <c r="M385" s="897">
        <f t="shared" si="120"/>
        <v>0</v>
      </c>
      <c r="N385" s="897">
        <f t="shared" si="120"/>
        <v>0</v>
      </c>
      <c r="O385" s="897"/>
      <c r="P385" s="897">
        <f t="shared" si="117"/>
        <v>0</v>
      </c>
      <c r="Q385" s="898">
        <f t="shared" si="118"/>
        <v>0</v>
      </c>
      <c r="R385" s="936">
        <f t="shared" si="121"/>
        <v>0</v>
      </c>
      <c r="S385" s="935">
        <f t="shared" si="125"/>
        <v>0</v>
      </c>
      <c r="T385" s="935">
        <f t="shared" si="125"/>
        <v>0</v>
      </c>
      <c r="U385" s="935">
        <f t="shared" si="125"/>
        <v>0</v>
      </c>
      <c r="V385" s="935">
        <f t="shared" si="125"/>
        <v>0</v>
      </c>
      <c r="W385" s="935">
        <f t="shared" si="125"/>
        <v>0</v>
      </c>
      <c r="X385" s="935">
        <f t="shared" si="125"/>
        <v>0</v>
      </c>
      <c r="Y385" s="935">
        <f t="shared" si="123"/>
        <v>0</v>
      </c>
      <c r="Z385" s="935">
        <f t="shared" si="124"/>
        <v>0</v>
      </c>
    </row>
    <row r="386" spans="1:26" hidden="1">
      <c r="A386" s="949" t="s">
        <v>2181</v>
      </c>
      <c r="B386" s="948" t="s">
        <v>2182</v>
      </c>
      <c r="C386" s="894">
        <f>C387</f>
        <v>0</v>
      </c>
      <c r="D386" s="894"/>
      <c r="E386" s="947">
        <f t="shared" ref="E386:O386" si="126">E387</f>
        <v>0</v>
      </c>
      <c r="F386" s="894">
        <f t="shared" si="126"/>
        <v>0</v>
      </c>
      <c r="G386" s="894">
        <f t="shared" si="126"/>
        <v>0</v>
      </c>
      <c r="H386" s="894">
        <f t="shared" si="126"/>
        <v>0</v>
      </c>
      <c r="I386" s="894">
        <f t="shared" si="126"/>
        <v>0</v>
      </c>
      <c r="J386" s="894">
        <f t="shared" si="126"/>
        <v>0</v>
      </c>
      <c r="K386" s="894">
        <f t="shared" si="126"/>
        <v>0</v>
      </c>
      <c r="L386" s="894">
        <f t="shared" si="126"/>
        <v>0</v>
      </c>
      <c r="M386" s="894">
        <f t="shared" si="126"/>
        <v>0</v>
      </c>
      <c r="N386" s="894">
        <f t="shared" si="126"/>
        <v>0</v>
      </c>
      <c r="O386" s="894">
        <f t="shared" si="126"/>
        <v>0</v>
      </c>
      <c r="P386" s="894">
        <f>SUM(E386:N386)</f>
        <v>0</v>
      </c>
      <c r="Q386" s="895">
        <f t="shared" si="118"/>
        <v>0</v>
      </c>
      <c r="R386" s="947">
        <f>R387</f>
        <v>0</v>
      </c>
      <c r="S386" s="946">
        <f t="shared" si="125"/>
        <v>0</v>
      </c>
      <c r="T386" s="946">
        <f t="shared" si="125"/>
        <v>0</v>
      </c>
      <c r="U386" s="946">
        <f t="shared" si="125"/>
        <v>0</v>
      </c>
      <c r="V386" s="946">
        <f t="shared" si="125"/>
        <v>0</v>
      </c>
      <c r="W386" s="946">
        <f t="shared" si="125"/>
        <v>0</v>
      </c>
      <c r="X386" s="946">
        <f t="shared" si="125"/>
        <v>0</v>
      </c>
      <c r="Y386" s="946">
        <f t="shared" si="123"/>
        <v>0</v>
      </c>
      <c r="Z386" s="946">
        <f t="shared" si="124"/>
        <v>0</v>
      </c>
    </row>
    <row r="387" spans="1:26" s="918" customFormat="1" ht="13.5" hidden="1">
      <c r="A387" s="945">
        <v>23</v>
      </c>
      <c r="B387" s="944" t="s">
        <v>2183</v>
      </c>
      <c r="C387" s="908">
        <f>SUM(C388:C398)</f>
        <v>0</v>
      </c>
      <c r="D387" s="908"/>
      <c r="E387" s="943">
        <f t="shared" ref="E387:N387" si="127">SUM(E388:E398)</f>
        <v>0</v>
      </c>
      <c r="F387" s="908">
        <f t="shared" si="127"/>
        <v>0</v>
      </c>
      <c r="G387" s="908">
        <f t="shared" si="127"/>
        <v>0</v>
      </c>
      <c r="H387" s="908">
        <f t="shared" si="127"/>
        <v>0</v>
      </c>
      <c r="I387" s="908">
        <f t="shared" si="127"/>
        <v>0</v>
      </c>
      <c r="J387" s="908">
        <f t="shared" si="127"/>
        <v>0</v>
      </c>
      <c r="K387" s="908">
        <f t="shared" si="127"/>
        <v>0</v>
      </c>
      <c r="L387" s="908">
        <f t="shared" si="127"/>
        <v>0</v>
      </c>
      <c r="M387" s="908">
        <f t="shared" si="127"/>
        <v>0</v>
      </c>
      <c r="N387" s="908">
        <f t="shared" si="127"/>
        <v>0</v>
      </c>
      <c r="O387" s="908">
        <f>SUM(O388:O398)</f>
        <v>0</v>
      </c>
      <c r="P387" s="908">
        <f>SUM(E387:N387)</f>
        <v>0</v>
      </c>
      <c r="Q387" s="909">
        <f t="shared" si="118"/>
        <v>0</v>
      </c>
      <c r="R387" s="942"/>
      <c r="S387" s="941">
        <f t="shared" si="125"/>
        <v>0</v>
      </c>
      <c r="T387" s="941">
        <f t="shared" si="125"/>
        <v>0</v>
      </c>
      <c r="U387" s="941">
        <f t="shared" si="125"/>
        <v>0</v>
      </c>
      <c r="V387" s="941">
        <f t="shared" si="125"/>
        <v>0</v>
      </c>
      <c r="W387" s="941">
        <f t="shared" si="125"/>
        <v>0</v>
      </c>
      <c r="X387" s="941">
        <f t="shared" si="125"/>
        <v>0</v>
      </c>
      <c r="Y387" s="941">
        <f t="shared" si="123"/>
        <v>0</v>
      </c>
      <c r="Z387" s="941">
        <f t="shared" si="124"/>
        <v>0</v>
      </c>
    </row>
    <row r="388" spans="1:26" s="918" customFormat="1" ht="15" hidden="1">
      <c r="A388" s="940" t="s">
        <v>2184</v>
      </c>
      <c r="B388" s="938" t="s">
        <v>2185</v>
      </c>
      <c r="C388" s="897"/>
      <c r="D388" s="897"/>
      <c r="E388" s="937"/>
      <c r="F388" s="897"/>
      <c r="G388" s="897"/>
      <c r="H388" s="897"/>
      <c r="I388" s="897"/>
      <c r="J388" s="897"/>
      <c r="K388" s="897"/>
      <c r="L388" s="897"/>
      <c r="M388" s="897"/>
      <c r="N388" s="897"/>
      <c r="O388" s="897"/>
      <c r="P388" s="897">
        <f>SUM(E388:N388)</f>
        <v>0</v>
      </c>
      <c r="Q388" s="898">
        <f t="shared" si="118"/>
        <v>0</v>
      </c>
      <c r="R388" s="936"/>
      <c r="S388" s="935">
        <f t="shared" si="125"/>
        <v>0</v>
      </c>
      <c r="T388" s="935">
        <f t="shared" si="125"/>
        <v>0</v>
      </c>
      <c r="U388" s="935">
        <f t="shared" si="125"/>
        <v>0</v>
      </c>
      <c r="V388" s="935">
        <f t="shared" si="125"/>
        <v>0</v>
      </c>
      <c r="W388" s="935">
        <f t="shared" si="125"/>
        <v>0</v>
      </c>
      <c r="X388" s="935">
        <f t="shared" si="125"/>
        <v>0</v>
      </c>
      <c r="Y388" s="935">
        <f t="shared" si="123"/>
        <v>0</v>
      </c>
      <c r="Z388" s="935">
        <f t="shared" si="124"/>
        <v>0</v>
      </c>
    </row>
    <row r="389" spans="1:26" s="918" customFormat="1" ht="15" hidden="1">
      <c r="A389" s="1179" t="s">
        <v>2186</v>
      </c>
      <c r="B389" s="938" t="s">
        <v>2187</v>
      </c>
      <c r="C389" s="897"/>
      <c r="D389" s="897"/>
      <c r="E389" s="937"/>
      <c r="F389" s="897"/>
      <c r="G389" s="897"/>
      <c r="H389" s="897"/>
      <c r="I389" s="897"/>
      <c r="J389" s="897"/>
      <c r="K389" s="897"/>
      <c r="L389" s="897"/>
      <c r="M389" s="897"/>
      <c r="N389" s="897"/>
      <c r="O389" s="897"/>
      <c r="P389" s="897">
        <f>SUM(E389:N389)</f>
        <v>0</v>
      </c>
      <c r="Q389" s="898">
        <f t="shared" si="118"/>
        <v>0</v>
      </c>
      <c r="R389" s="936"/>
      <c r="S389" s="935">
        <f t="shared" si="125"/>
        <v>0</v>
      </c>
      <c r="T389" s="935">
        <f t="shared" si="125"/>
        <v>0</v>
      </c>
      <c r="U389" s="935">
        <f t="shared" si="125"/>
        <v>0</v>
      </c>
      <c r="V389" s="935">
        <f t="shared" si="125"/>
        <v>0</v>
      </c>
      <c r="W389" s="935">
        <f t="shared" si="125"/>
        <v>0</v>
      </c>
      <c r="X389" s="935">
        <f t="shared" si="125"/>
        <v>0</v>
      </c>
      <c r="Y389" s="935">
        <f t="shared" si="123"/>
        <v>0</v>
      </c>
      <c r="Z389" s="935">
        <f t="shared" si="124"/>
        <v>0</v>
      </c>
    </row>
    <row r="390" spans="1:26" s="918" customFormat="1" hidden="1">
      <c r="A390" s="1180">
        <v>2431</v>
      </c>
      <c r="B390" s="938" t="s">
        <v>1076</v>
      </c>
      <c r="C390" s="897"/>
      <c r="D390" s="897"/>
      <c r="E390" s="937"/>
      <c r="F390" s="897"/>
      <c r="G390" s="897"/>
      <c r="H390" s="897"/>
      <c r="I390" s="897"/>
      <c r="J390" s="897"/>
      <c r="K390" s="897"/>
      <c r="L390" s="897"/>
      <c r="M390" s="897"/>
      <c r="N390" s="897"/>
      <c r="O390" s="897"/>
      <c r="P390" s="897">
        <f t="shared" ref="P390:P398" si="128">SUM(E390:N390)</f>
        <v>0</v>
      </c>
      <c r="Q390" s="898">
        <f t="shared" si="118"/>
        <v>0</v>
      </c>
      <c r="R390" s="936"/>
      <c r="S390" s="935">
        <f t="shared" si="125"/>
        <v>0</v>
      </c>
      <c r="T390" s="935">
        <f t="shared" si="125"/>
        <v>0</v>
      </c>
      <c r="U390" s="935">
        <f t="shared" si="125"/>
        <v>0</v>
      </c>
      <c r="V390" s="935">
        <f t="shared" si="125"/>
        <v>0</v>
      </c>
      <c r="W390" s="935">
        <f t="shared" si="125"/>
        <v>0</v>
      </c>
      <c r="X390" s="935">
        <f t="shared" si="125"/>
        <v>0</v>
      </c>
      <c r="Y390" s="935">
        <f t="shared" si="123"/>
        <v>0</v>
      </c>
      <c r="Z390" s="935">
        <f t="shared" si="124"/>
        <v>0</v>
      </c>
    </row>
    <row r="391" spans="1:26" s="918" customFormat="1" hidden="1">
      <c r="A391" s="1180" t="s">
        <v>2188</v>
      </c>
      <c r="B391" s="938" t="s">
        <v>2189</v>
      </c>
      <c r="C391" s="897"/>
      <c r="D391" s="897"/>
      <c r="E391" s="937"/>
      <c r="F391" s="897"/>
      <c r="G391" s="897"/>
      <c r="H391" s="897"/>
      <c r="I391" s="897"/>
      <c r="J391" s="897"/>
      <c r="K391" s="897"/>
      <c r="L391" s="897"/>
      <c r="M391" s="897"/>
      <c r="N391" s="897"/>
      <c r="O391" s="897"/>
      <c r="P391" s="897">
        <f t="shared" si="128"/>
        <v>0</v>
      </c>
      <c r="Q391" s="898">
        <f t="shared" si="118"/>
        <v>0</v>
      </c>
      <c r="R391" s="936"/>
      <c r="S391" s="935">
        <f t="shared" si="125"/>
        <v>0</v>
      </c>
      <c r="T391" s="935">
        <f t="shared" si="125"/>
        <v>0</v>
      </c>
      <c r="U391" s="935">
        <f t="shared" si="125"/>
        <v>0</v>
      </c>
      <c r="V391" s="935">
        <f t="shared" si="125"/>
        <v>0</v>
      </c>
      <c r="W391" s="935">
        <f t="shared" si="125"/>
        <v>0</v>
      </c>
      <c r="X391" s="935">
        <f t="shared" si="125"/>
        <v>0</v>
      </c>
      <c r="Y391" s="935">
        <f t="shared" si="123"/>
        <v>0</v>
      </c>
      <c r="Z391" s="935">
        <f t="shared" si="124"/>
        <v>0</v>
      </c>
    </row>
    <row r="392" spans="1:26" s="918" customFormat="1" hidden="1">
      <c r="A392" s="939">
        <v>6112</v>
      </c>
      <c r="B392" s="938" t="s">
        <v>2190</v>
      </c>
      <c r="C392" s="897"/>
      <c r="D392" s="897"/>
      <c r="E392" s="937"/>
      <c r="F392" s="897"/>
      <c r="G392" s="897"/>
      <c r="H392" s="897"/>
      <c r="I392" s="897"/>
      <c r="J392" s="897"/>
      <c r="K392" s="897"/>
      <c r="L392" s="897"/>
      <c r="M392" s="897"/>
      <c r="N392" s="897"/>
      <c r="O392" s="897"/>
      <c r="P392" s="897">
        <f t="shared" si="128"/>
        <v>0</v>
      </c>
      <c r="Q392" s="898">
        <f t="shared" si="118"/>
        <v>0</v>
      </c>
      <c r="R392" s="936"/>
      <c r="S392" s="935">
        <f t="shared" si="125"/>
        <v>0</v>
      </c>
      <c r="T392" s="935">
        <f t="shared" si="125"/>
        <v>0</v>
      </c>
      <c r="U392" s="935">
        <f t="shared" si="125"/>
        <v>0</v>
      </c>
      <c r="V392" s="935">
        <f t="shared" si="125"/>
        <v>0</v>
      </c>
      <c r="W392" s="935">
        <f t="shared" si="125"/>
        <v>0</v>
      </c>
      <c r="X392" s="935">
        <f t="shared" si="125"/>
        <v>0</v>
      </c>
      <c r="Y392" s="935">
        <f t="shared" si="123"/>
        <v>0</v>
      </c>
      <c r="Z392" s="935">
        <f t="shared" si="124"/>
        <v>0</v>
      </c>
    </row>
    <row r="393" spans="1:26" s="918" customFormat="1" hidden="1">
      <c r="A393" s="939">
        <v>6171</v>
      </c>
      <c r="B393" s="938" t="s">
        <v>2191</v>
      </c>
      <c r="C393" s="897"/>
      <c r="D393" s="897"/>
      <c r="E393" s="937"/>
      <c r="F393" s="897"/>
      <c r="G393" s="897"/>
      <c r="H393" s="897"/>
      <c r="I393" s="897"/>
      <c r="J393" s="897"/>
      <c r="K393" s="897"/>
      <c r="L393" s="897"/>
      <c r="M393" s="897"/>
      <c r="N393" s="897"/>
      <c r="O393" s="897"/>
      <c r="P393" s="897">
        <f t="shared" si="128"/>
        <v>0</v>
      </c>
      <c r="Q393" s="898">
        <f t="shared" si="118"/>
        <v>0</v>
      </c>
      <c r="R393" s="936"/>
      <c r="S393" s="935">
        <f t="shared" ref="S393:X401" si="129">R393</f>
        <v>0</v>
      </c>
      <c r="T393" s="935">
        <f t="shared" si="129"/>
        <v>0</v>
      </c>
      <c r="U393" s="935">
        <f t="shared" si="129"/>
        <v>0</v>
      </c>
      <c r="V393" s="935">
        <f t="shared" si="129"/>
        <v>0</v>
      </c>
      <c r="W393" s="935">
        <f t="shared" si="129"/>
        <v>0</v>
      </c>
      <c r="X393" s="935">
        <f t="shared" si="129"/>
        <v>0</v>
      </c>
      <c r="Y393" s="935">
        <f t="shared" si="123"/>
        <v>0</v>
      </c>
      <c r="Z393" s="935">
        <f t="shared" si="124"/>
        <v>0</v>
      </c>
    </row>
    <row r="394" spans="1:26" hidden="1">
      <c r="A394" s="1180">
        <v>6200</v>
      </c>
      <c r="B394" s="938" t="s">
        <v>2192</v>
      </c>
      <c r="C394" s="897"/>
      <c r="D394" s="897"/>
      <c r="E394" s="937"/>
      <c r="F394" s="897"/>
      <c r="G394" s="897"/>
      <c r="H394" s="897"/>
      <c r="I394" s="897"/>
      <c r="J394" s="897"/>
      <c r="K394" s="897"/>
      <c r="L394" s="897"/>
      <c r="M394" s="897"/>
      <c r="N394" s="897"/>
      <c r="O394" s="897"/>
      <c r="P394" s="897">
        <f t="shared" si="128"/>
        <v>0</v>
      </c>
      <c r="Q394" s="898">
        <f t="shared" si="118"/>
        <v>0</v>
      </c>
      <c r="R394" s="936"/>
      <c r="S394" s="935">
        <f t="shared" si="129"/>
        <v>0</v>
      </c>
      <c r="T394" s="935">
        <f t="shared" si="129"/>
        <v>0</v>
      </c>
      <c r="U394" s="935">
        <f t="shared" si="129"/>
        <v>0</v>
      </c>
      <c r="V394" s="935">
        <f t="shared" si="129"/>
        <v>0</v>
      </c>
      <c r="W394" s="935">
        <f t="shared" si="129"/>
        <v>0</v>
      </c>
      <c r="X394" s="935">
        <f t="shared" si="129"/>
        <v>0</v>
      </c>
      <c r="Y394" s="935">
        <f t="shared" si="123"/>
        <v>0</v>
      </c>
      <c r="Z394" s="935">
        <f t="shared" si="124"/>
        <v>0</v>
      </c>
    </row>
    <row r="395" spans="1:26" hidden="1">
      <c r="A395" s="939">
        <v>6212</v>
      </c>
      <c r="B395" s="938" t="s">
        <v>2193</v>
      </c>
      <c r="C395" s="897"/>
      <c r="D395" s="897"/>
      <c r="E395" s="937"/>
      <c r="F395" s="897"/>
      <c r="G395" s="897"/>
      <c r="H395" s="897"/>
      <c r="I395" s="897"/>
      <c r="J395" s="897"/>
      <c r="K395" s="897"/>
      <c r="L395" s="897"/>
      <c r="M395" s="897"/>
      <c r="N395" s="897"/>
      <c r="O395" s="897"/>
      <c r="P395" s="897">
        <f t="shared" si="128"/>
        <v>0</v>
      </c>
      <c r="Q395" s="898">
        <f t="shared" si="118"/>
        <v>0</v>
      </c>
      <c r="R395" s="936"/>
      <c r="S395" s="935">
        <f t="shared" si="129"/>
        <v>0</v>
      </c>
      <c r="T395" s="935">
        <f t="shared" si="129"/>
        <v>0</v>
      </c>
      <c r="U395" s="935">
        <f t="shared" si="129"/>
        <v>0</v>
      </c>
      <c r="V395" s="935">
        <f t="shared" si="129"/>
        <v>0</v>
      </c>
      <c r="W395" s="935">
        <f t="shared" si="129"/>
        <v>0</v>
      </c>
      <c r="X395" s="935">
        <f t="shared" si="129"/>
        <v>0</v>
      </c>
      <c r="Y395" s="935">
        <f t="shared" si="123"/>
        <v>0</v>
      </c>
      <c r="Z395" s="935">
        <f t="shared" si="124"/>
        <v>0</v>
      </c>
    </row>
    <row r="396" spans="1:26" hidden="1">
      <c r="A396" s="1180">
        <v>6234</v>
      </c>
      <c r="B396" s="938" t="s">
        <v>2194</v>
      </c>
      <c r="C396" s="897"/>
      <c r="D396" s="897"/>
      <c r="E396" s="937"/>
      <c r="F396" s="897"/>
      <c r="G396" s="897"/>
      <c r="H396" s="897"/>
      <c r="I396" s="897"/>
      <c r="J396" s="897"/>
      <c r="K396" s="897"/>
      <c r="L396" s="897"/>
      <c r="M396" s="897"/>
      <c r="N396" s="897"/>
      <c r="O396" s="897"/>
      <c r="P396" s="897">
        <f t="shared" si="128"/>
        <v>0</v>
      </c>
      <c r="Q396" s="898">
        <f t="shared" si="118"/>
        <v>0</v>
      </c>
      <c r="R396" s="936"/>
      <c r="S396" s="935">
        <f t="shared" si="129"/>
        <v>0</v>
      </c>
      <c r="T396" s="935">
        <f t="shared" si="129"/>
        <v>0</v>
      </c>
      <c r="U396" s="935">
        <f t="shared" si="129"/>
        <v>0</v>
      </c>
      <c r="V396" s="935">
        <f t="shared" si="129"/>
        <v>0</v>
      </c>
      <c r="W396" s="935">
        <f t="shared" si="129"/>
        <v>0</v>
      </c>
      <c r="X396" s="935">
        <f t="shared" si="129"/>
        <v>0</v>
      </c>
      <c r="Y396" s="935">
        <f t="shared" si="123"/>
        <v>0</v>
      </c>
      <c r="Z396" s="935">
        <f t="shared" si="124"/>
        <v>0</v>
      </c>
    </row>
    <row r="397" spans="1:26" hidden="1">
      <c r="A397" s="939">
        <v>6235</v>
      </c>
      <c r="B397" s="938" t="s">
        <v>2195</v>
      </c>
      <c r="C397" s="897"/>
      <c r="D397" s="897"/>
      <c r="E397" s="937"/>
      <c r="F397" s="897"/>
      <c r="G397" s="897"/>
      <c r="H397" s="897"/>
      <c r="I397" s="897"/>
      <c r="J397" s="897"/>
      <c r="K397" s="897"/>
      <c r="L397" s="897"/>
      <c r="M397" s="897"/>
      <c r="N397" s="897"/>
      <c r="O397" s="897"/>
      <c r="P397" s="897">
        <f t="shared" si="128"/>
        <v>0</v>
      </c>
      <c r="Q397" s="898">
        <f t="shared" si="118"/>
        <v>0</v>
      </c>
      <c r="R397" s="936"/>
      <c r="S397" s="935">
        <f t="shared" si="129"/>
        <v>0</v>
      </c>
      <c r="T397" s="935">
        <f t="shared" si="129"/>
        <v>0</v>
      </c>
      <c r="U397" s="935">
        <f t="shared" si="129"/>
        <v>0</v>
      </c>
      <c r="V397" s="935">
        <f t="shared" si="129"/>
        <v>0</v>
      </c>
      <c r="W397" s="935">
        <f t="shared" si="129"/>
        <v>0</v>
      </c>
      <c r="X397" s="935">
        <f t="shared" si="129"/>
        <v>0</v>
      </c>
      <c r="Y397" s="935">
        <f t="shared" si="123"/>
        <v>0</v>
      </c>
      <c r="Z397" s="935">
        <f t="shared" si="124"/>
        <v>0</v>
      </c>
    </row>
    <row r="398" spans="1:26" hidden="1">
      <c r="A398" s="939">
        <v>9159</v>
      </c>
      <c r="B398" s="938" t="s">
        <v>2196</v>
      </c>
      <c r="C398" s="897"/>
      <c r="D398" s="897"/>
      <c r="E398" s="937"/>
      <c r="F398" s="897"/>
      <c r="G398" s="897"/>
      <c r="H398" s="897"/>
      <c r="I398" s="897"/>
      <c r="J398" s="897"/>
      <c r="K398" s="897"/>
      <c r="L398" s="897"/>
      <c r="M398" s="897"/>
      <c r="N398" s="897"/>
      <c r="O398" s="897"/>
      <c r="P398" s="897">
        <f t="shared" si="128"/>
        <v>0</v>
      </c>
      <c r="Q398" s="898">
        <f t="shared" si="118"/>
        <v>0</v>
      </c>
      <c r="R398" s="936"/>
      <c r="S398" s="935">
        <f t="shared" si="129"/>
        <v>0</v>
      </c>
      <c r="T398" s="935">
        <f t="shared" si="129"/>
        <v>0</v>
      </c>
      <c r="U398" s="935">
        <f t="shared" si="129"/>
        <v>0</v>
      </c>
      <c r="V398" s="935">
        <f t="shared" si="129"/>
        <v>0</v>
      </c>
      <c r="W398" s="935">
        <f t="shared" si="129"/>
        <v>0</v>
      </c>
      <c r="X398" s="935">
        <f t="shared" si="129"/>
        <v>0</v>
      </c>
      <c r="Y398" s="935">
        <f t="shared" si="123"/>
        <v>0</v>
      </c>
      <c r="Z398" s="935">
        <f t="shared" si="124"/>
        <v>0</v>
      </c>
    </row>
    <row r="399" spans="1:26">
      <c r="A399" s="934"/>
      <c r="B399" s="933" t="s">
        <v>2207</v>
      </c>
      <c r="C399" s="931">
        <v>0</v>
      </c>
      <c r="D399" s="931"/>
      <c r="E399" s="932">
        <v>0</v>
      </c>
      <c r="F399" s="931">
        <v>0</v>
      </c>
      <c r="G399" s="931">
        <v>0</v>
      </c>
      <c r="H399" s="931">
        <v>0</v>
      </c>
      <c r="I399" s="931">
        <v>0</v>
      </c>
      <c r="J399" s="931">
        <v>0</v>
      </c>
      <c r="K399" s="931">
        <v>0</v>
      </c>
      <c r="L399" s="931">
        <v>0</v>
      </c>
      <c r="M399" s="931">
        <v>0</v>
      </c>
      <c r="N399" s="931">
        <v>0</v>
      </c>
      <c r="O399" s="931">
        <v>1</v>
      </c>
      <c r="P399" s="931">
        <f t="shared" ref="P399:P404" si="130">SUM(E399:N399)</f>
        <v>0</v>
      </c>
      <c r="Q399" s="930">
        <f>+C399-P399</f>
        <v>0</v>
      </c>
      <c r="R399" s="936"/>
      <c r="S399" s="935"/>
      <c r="T399" s="935"/>
      <c r="U399" s="935"/>
      <c r="V399" s="935"/>
      <c r="W399" s="935"/>
      <c r="X399" s="935"/>
      <c r="Y399" s="935"/>
      <c r="Z399" s="935"/>
    </row>
    <row r="400" spans="1:26">
      <c r="A400" s="934" t="s">
        <v>2197</v>
      </c>
      <c r="B400" s="933" t="s">
        <v>2198</v>
      </c>
      <c r="C400" s="931">
        <f>C401</f>
        <v>605300</v>
      </c>
      <c r="D400" s="931"/>
      <c r="E400" s="932">
        <f t="shared" ref="E400:O400" si="131">E401</f>
        <v>0</v>
      </c>
      <c r="F400" s="931">
        <f t="shared" si="131"/>
        <v>0</v>
      </c>
      <c r="G400" s="931">
        <f t="shared" si="131"/>
        <v>0</v>
      </c>
      <c r="H400" s="931">
        <f t="shared" si="131"/>
        <v>0</v>
      </c>
      <c r="I400" s="931">
        <f t="shared" si="131"/>
        <v>0</v>
      </c>
      <c r="J400" s="931">
        <f t="shared" si="131"/>
        <v>0</v>
      </c>
      <c r="K400" s="931">
        <f t="shared" si="131"/>
        <v>0</v>
      </c>
      <c r="L400" s="931">
        <f t="shared" si="131"/>
        <v>0</v>
      </c>
      <c r="M400" s="931">
        <f t="shared" si="131"/>
        <v>0</v>
      </c>
      <c r="N400" s="931">
        <f t="shared" si="131"/>
        <v>0</v>
      </c>
      <c r="O400" s="931">
        <f t="shared" si="131"/>
        <v>0</v>
      </c>
      <c r="P400" s="931">
        <f t="shared" si="130"/>
        <v>0</v>
      </c>
      <c r="Q400" s="930">
        <f>C400-P400</f>
        <v>605300</v>
      </c>
      <c r="R400" s="929">
        <f>R401</f>
        <v>0</v>
      </c>
      <c r="S400" s="928">
        <f t="shared" si="129"/>
        <v>0</v>
      </c>
      <c r="T400" s="928">
        <f t="shared" si="129"/>
        <v>0</v>
      </c>
      <c r="U400" s="928">
        <f t="shared" si="129"/>
        <v>0</v>
      </c>
      <c r="V400" s="928">
        <f t="shared" si="129"/>
        <v>0</v>
      </c>
      <c r="W400" s="928">
        <f t="shared" si="129"/>
        <v>0</v>
      </c>
      <c r="X400" s="928">
        <f t="shared" si="129"/>
        <v>0</v>
      </c>
      <c r="Y400" s="928">
        <f t="shared" si="123"/>
        <v>0</v>
      </c>
      <c r="Z400" s="928">
        <f t="shared" si="124"/>
        <v>605300</v>
      </c>
    </row>
    <row r="401" spans="1:26">
      <c r="A401" s="927">
        <v>9219</v>
      </c>
      <c r="B401" s="926" t="s">
        <v>2199</v>
      </c>
      <c r="C401" s="924">
        <v>605300</v>
      </c>
      <c r="D401" s="924"/>
      <c r="E401" s="925">
        <v>0</v>
      </c>
      <c r="F401" s="924">
        <v>0</v>
      </c>
      <c r="G401" s="924">
        <v>0</v>
      </c>
      <c r="H401" s="924">
        <v>0</v>
      </c>
      <c r="I401" s="924">
        <v>0</v>
      </c>
      <c r="J401" s="924">
        <v>0</v>
      </c>
      <c r="K401" s="924">
        <v>0</v>
      </c>
      <c r="L401" s="924"/>
      <c r="M401" s="924">
        <v>0</v>
      </c>
      <c r="N401" s="924"/>
      <c r="O401" s="924"/>
      <c r="P401" s="924">
        <f t="shared" si="130"/>
        <v>0</v>
      </c>
      <c r="Q401" s="923">
        <f>C401-P401</f>
        <v>605300</v>
      </c>
      <c r="R401" s="922"/>
      <c r="S401" s="921">
        <f t="shared" si="129"/>
        <v>0</v>
      </c>
      <c r="T401" s="921">
        <f t="shared" si="129"/>
        <v>0</v>
      </c>
      <c r="U401" s="921">
        <f t="shared" si="129"/>
        <v>0</v>
      </c>
      <c r="V401" s="921">
        <f t="shared" si="129"/>
        <v>0</v>
      </c>
      <c r="W401" s="921">
        <f t="shared" si="129"/>
        <v>0</v>
      </c>
      <c r="X401" s="921">
        <f t="shared" si="129"/>
        <v>0</v>
      </c>
      <c r="Y401" s="921">
        <f t="shared" si="123"/>
        <v>0</v>
      </c>
      <c r="Z401" s="921">
        <f t="shared" si="124"/>
        <v>605300</v>
      </c>
    </row>
    <row r="402" spans="1:26">
      <c r="A402" s="1123"/>
      <c r="B402" s="1123" t="s">
        <v>1770</v>
      </c>
      <c r="C402" s="931"/>
      <c r="D402" s="931"/>
      <c r="E402" s="931">
        <f t="shared" ref="E402:O402" si="132">+E9-E26</f>
        <v>1026745.9109999998</v>
      </c>
      <c r="F402" s="931">
        <f t="shared" si="132"/>
        <v>-271233.04999999981</v>
      </c>
      <c r="G402" s="931">
        <f t="shared" si="132"/>
        <v>134435.75999999978</v>
      </c>
      <c r="H402" s="931">
        <f t="shared" si="132"/>
        <v>-1728687.9000000004</v>
      </c>
      <c r="I402" s="931">
        <f t="shared" si="132"/>
        <v>602417.9849999994</v>
      </c>
      <c r="J402" s="931">
        <f t="shared" si="132"/>
        <v>1659546.2340000002</v>
      </c>
      <c r="K402" s="931">
        <f t="shared" si="132"/>
        <v>5045092.2479999997</v>
      </c>
      <c r="L402" s="931">
        <f t="shared" si="132"/>
        <v>0</v>
      </c>
      <c r="M402" s="931">
        <f t="shared" si="132"/>
        <v>0</v>
      </c>
      <c r="N402" s="931">
        <f t="shared" si="132"/>
        <v>2998443.591</v>
      </c>
      <c r="O402" s="931">
        <f t="shared" si="132"/>
        <v>2366801.0269999998</v>
      </c>
      <c r="P402" s="931">
        <f t="shared" si="130"/>
        <v>9466760.7789999992</v>
      </c>
      <c r="Q402" s="1125">
        <f>+C402-P402</f>
        <v>-9466760.7789999992</v>
      </c>
      <c r="R402" s="1124"/>
      <c r="S402" s="1124"/>
      <c r="T402" s="1124"/>
      <c r="U402" s="1124"/>
      <c r="V402" s="1124"/>
      <c r="W402" s="1124"/>
      <c r="X402" s="1124"/>
      <c r="Y402" s="1124"/>
      <c r="Z402" s="1124"/>
    </row>
    <row r="403" spans="1:26">
      <c r="A403" s="1183" t="s">
        <v>2216</v>
      </c>
      <c r="B403" s="1211" t="s">
        <v>2217</v>
      </c>
      <c r="C403" s="931"/>
      <c r="D403" s="931"/>
      <c r="E403" s="932"/>
      <c r="F403" s="931"/>
      <c r="G403" s="931"/>
      <c r="H403" s="931"/>
      <c r="I403" s="1181"/>
      <c r="J403" s="931"/>
      <c r="K403" s="931"/>
      <c r="L403" s="931"/>
      <c r="M403" s="931"/>
      <c r="N403" s="931"/>
      <c r="O403" s="931"/>
      <c r="P403" s="931">
        <f t="shared" si="130"/>
        <v>0</v>
      </c>
      <c r="Q403" s="1125">
        <f>+C403-P403</f>
        <v>0</v>
      </c>
      <c r="R403" s="1124"/>
      <c r="S403" s="1124"/>
      <c r="T403" s="1124"/>
      <c r="U403" s="1124"/>
      <c r="V403" s="1124"/>
      <c r="W403" s="1124"/>
      <c r="X403" s="1124"/>
      <c r="Y403" s="1124"/>
      <c r="Z403" s="1124"/>
    </row>
    <row r="404" spans="1:26">
      <c r="A404" s="1123"/>
      <c r="B404" s="1123" t="s">
        <v>2204</v>
      </c>
      <c r="C404" s="931"/>
      <c r="D404" s="931"/>
      <c r="E404" s="931">
        <f>+E402+E403</f>
        <v>1026745.9109999998</v>
      </c>
      <c r="F404" s="931">
        <f t="shared" ref="F404:O404" si="133">+F402+F403</f>
        <v>-271233.04999999981</v>
      </c>
      <c r="G404" s="931">
        <f t="shared" si="133"/>
        <v>134435.75999999978</v>
      </c>
      <c r="H404" s="931">
        <f t="shared" si="133"/>
        <v>-1728687.9000000004</v>
      </c>
      <c r="I404" s="931">
        <f t="shared" si="133"/>
        <v>602417.9849999994</v>
      </c>
      <c r="J404" s="931">
        <f t="shared" si="133"/>
        <v>1659546.2340000002</v>
      </c>
      <c r="K404" s="931">
        <f t="shared" si="133"/>
        <v>5045092.2479999997</v>
      </c>
      <c r="L404" s="931">
        <v>0</v>
      </c>
      <c r="M404" s="931">
        <f t="shared" si="133"/>
        <v>0</v>
      </c>
      <c r="N404" s="931">
        <f t="shared" si="133"/>
        <v>2998443.591</v>
      </c>
      <c r="O404" s="931">
        <f t="shared" si="133"/>
        <v>2366801.0269999998</v>
      </c>
      <c r="P404" s="931">
        <f t="shared" si="130"/>
        <v>9466760.7789999992</v>
      </c>
      <c r="Q404" s="1125">
        <f>+C404-P404</f>
        <v>-9466760.7789999992</v>
      </c>
    </row>
    <row r="407" spans="1:26">
      <c r="B407" s="1210"/>
      <c r="C407" s="1083"/>
    </row>
    <row r="408" spans="1:26">
      <c r="B408" s="1210"/>
      <c r="C408" s="937"/>
    </row>
  </sheetData>
  <mergeCells count="11">
    <mergeCell ref="A2:Q2"/>
    <mergeCell ref="A3:Q3"/>
    <mergeCell ref="A4:Q4"/>
    <mergeCell ref="A5:Q5"/>
    <mergeCell ref="V6:X6"/>
    <mergeCell ref="A6:A7"/>
    <mergeCell ref="B6:B7"/>
    <mergeCell ref="C6:C7"/>
    <mergeCell ref="E6:G6"/>
    <mergeCell ref="S6:U6"/>
    <mergeCell ref="K6:M6"/>
  </mergeCells>
  <printOptions horizontalCentered="1"/>
  <pageMargins left="0.15748031496062992" right="0.19685039370078741" top="0.15748031496062992" bottom="0.35433070866141736" header="0.15748031496062992" footer="0.15748031496062992"/>
  <pageSetup paperSize="9" scale="70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7"/>
  <dimension ref="A2:Z35"/>
  <sheetViews>
    <sheetView workbookViewId="0">
      <selection activeCell="B3" sqref="B3"/>
    </sheetView>
  </sheetViews>
  <sheetFormatPr defaultRowHeight="12.75"/>
  <cols>
    <col min="1" max="1" width="44.85546875" customWidth="1"/>
    <col min="2" max="4" width="11.42578125" customWidth="1"/>
    <col min="5" max="5" width="13" customWidth="1"/>
    <col min="6" max="6" width="11.42578125" customWidth="1"/>
    <col min="7" max="7" width="12.85546875" customWidth="1"/>
    <col min="8" max="13" width="11.42578125" customWidth="1"/>
    <col min="14" max="14" width="12.5703125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42339</v>
      </c>
      <c r="C3" s="569">
        <v>42370</v>
      </c>
      <c r="D3" s="569">
        <v>42401</v>
      </c>
      <c r="E3" s="569">
        <v>42430</v>
      </c>
      <c r="F3" s="569">
        <v>42461</v>
      </c>
      <c r="G3" s="569">
        <v>42491</v>
      </c>
      <c r="H3" s="569">
        <v>42522</v>
      </c>
      <c r="I3" s="569">
        <v>42552</v>
      </c>
      <c r="J3" s="569">
        <v>42583</v>
      </c>
      <c r="K3" s="569">
        <v>42614</v>
      </c>
      <c r="L3" s="569">
        <v>42644</v>
      </c>
      <c r="M3" s="569">
        <v>42675</v>
      </c>
      <c r="N3" s="569">
        <v>42705</v>
      </c>
      <c r="O3" s="569">
        <v>42370</v>
      </c>
      <c r="P3" s="569">
        <v>42401</v>
      </c>
      <c r="Q3" s="569">
        <v>42430</v>
      </c>
      <c r="R3" s="569">
        <v>42461</v>
      </c>
      <c r="S3" s="569">
        <v>42491</v>
      </c>
      <c r="T3" s="569">
        <v>42522</v>
      </c>
      <c r="U3" s="569">
        <v>42552</v>
      </c>
      <c r="V3" s="569">
        <v>42583</v>
      </c>
      <c r="W3" s="569">
        <v>42614</v>
      </c>
      <c r="X3" s="569">
        <v>42644</v>
      </c>
      <c r="Y3" s="569">
        <v>42675</v>
      </c>
      <c r="Z3" s="569">
        <v>42705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1623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>
        <f t="shared" ref="O5:O15" si="0">C5-B5</f>
        <v>0</v>
      </c>
      <c r="P5" s="570">
        <f t="shared" ref="P5:P15" si="1">D5-C5</f>
        <v>0</v>
      </c>
      <c r="Q5" s="570">
        <f t="shared" ref="Q5:Q15" si="2">E5-D5</f>
        <v>0</v>
      </c>
      <c r="R5" s="570">
        <f t="shared" ref="R5:R15" si="3">F5-E5</f>
        <v>0</v>
      </c>
      <c r="S5" s="570">
        <f t="shared" ref="S5:S15" si="4">G5-F5</f>
        <v>0</v>
      </c>
      <c r="T5" s="570">
        <f t="shared" ref="T5:T15" si="5">H5-G5</f>
        <v>0</v>
      </c>
      <c r="U5" s="570">
        <f t="shared" ref="U5:U15" si="6">I5-H5</f>
        <v>0</v>
      </c>
      <c r="V5" s="570">
        <f t="shared" ref="V5:V15" si="7">J5-I5</f>
        <v>0</v>
      </c>
      <c r="W5" s="570">
        <f t="shared" ref="W5:W15" si="8">K5-J5</f>
        <v>0</v>
      </c>
      <c r="X5" s="570">
        <f t="shared" ref="X5:X15" si="9">L5-K5</f>
        <v>0</v>
      </c>
      <c r="Y5" s="570">
        <f t="shared" ref="Y5:Y15" si="10">M5-L5</f>
        <v>0</v>
      </c>
      <c r="Z5" s="570">
        <f t="shared" ref="Z5:Z15" si="11">N5-M5</f>
        <v>0</v>
      </c>
    </row>
    <row r="6" spans="1:26" ht="15.6" customHeight="1">
      <c r="A6" s="589"/>
      <c r="B6" s="570"/>
      <c r="C6" s="570"/>
      <c r="D6" s="570"/>
      <c r="E6" s="120"/>
      <c r="F6" s="570"/>
      <c r="G6" s="570"/>
      <c r="H6" s="570"/>
      <c r="I6" s="570"/>
      <c r="J6" s="570"/>
      <c r="K6" s="570"/>
      <c r="L6" s="570"/>
      <c r="M6" s="570"/>
      <c r="N6" s="570"/>
      <c r="O6" s="570">
        <f t="shared" si="0"/>
        <v>0</v>
      </c>
      <c r="P6" s="570">
        <f t="shared" si="1"/>
        <v>0</v>
      </c>
      <c r="Q6" s="570">
        <f t="shared" si="2"/>
        <v>0</v>
      </c>
      <c r="R6" s="570">
        <f t="shared" si="3"/>
        <v>0</v>
      </c>
      <c r="S6" s="570">
        <f t="shared" si="4"/>
        <v>0</v>
      </c>
      <c r="T6" s="570">
        <f t="shared" si="5"/>
        <v>0</v>
      </c>
      <c r="U6" s="570">
        <f t="shared" si="6"/>
        <v>0</v>
      </c>
      <c r="V6" s="570">
        <f t="shared" si="7"/>
        <v>0</v>
      </c>
      <c r="W6" s="570">
        <f t="shared" si="8"/>
        <v>0</v>
      </c>
      <c r="X6" s="570">
        <f t="shared" si="9"/>
        <v>0</v>
      </c>
      <c r="Y6" s="570">
        <f t="shared" si="10"/>
        <v>0</v>
      </c>
      <c r="Z6" s="570">
        <f t="shared" si="11"/>
        <v>0</v>
      </c>
    </row>
    <row r="7" spans="1:26" ht="15.6" customHeight="1">
      <c r="A7" s="590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0"/>
        <v>0</v>
      </c>
      <c r="P7" s="570">
        <f t="shared" si="1"/>
        <v>0</v>
      </c>
      <c r="Q7" s="570">
        <f t="shared" si="2"/>
        <v>0</v>
      </c>
      <c r="R7" s="570">
        <f t="shared" si="3"/>
        <v>0</v>
      </c>
      <c r="S7" s="570">
        <f t="shared" si="4"/>
        <v>0</v>
      </c>
      <c r="T7" s="570">
        <f t="shared" si="5"/>
        <v>0</v>
      </c>
      <c r="U7" s="570">
        <f t="shared" si="6"/>
        <v>0</v>
      </c>
      <c r="V7" s="570">
        <f t="shared" si="7"/>
        <v>0</v>
      </c>
      <c r="W7" s="570">
        <f t="shared" si="8"/>
        <v>0</v>
      </c>
      <c r="X7" s="570">
        <f t="shared" si="9"/>
        <v>0</v>
      </c>
      <c r="Y7" s="570">
        <f t="shared" si="10"/>
        <v>0</v>
      </c>
      <c r="Z7" s="570">
        <f t="shared" si="11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0"/>
        <v>0</v>
      </c>
      <c r="P8" s="570">
        <f t="shared" si="1"/>
        <v>0</v>
      </c>
      <c r="Q8" s="570">
        <f t="shared" si="2"/>
        <v>0</v>
      </c>
      <c r="R8" s="570">
        <f t="shared" si="3"/>
        <v>0</v>
      </c>
      <c r="S8" s="570">
        <f t="shared" si="4"/>
        <v>0</v>
      </c>
      <c r="T8" s="570">
        <f t="shared" si="5"/>
        <v>0</v>
      </c>
      <c r="U8" s="570">
        <f t="shared" si="6"/>
        <v>0</v>
      </c>
      <c r="V8" s="570">
        <f t="shared" si="7"/>
        <v>0</v>
      </c>
      <c r="W8" s="570">
        <f t="shared" si="8"/>
        <v>0</v>
      </c>
      <c r="X8" s="570">
        <f t="shared" si="9"/>
        <v>0</v>
      </c>
      <c r="Y8" s="570">
        <f t="shared" si="10"/>
        <v>0</v>
      </c>
      <c r="Z8" s="570">
        <f t="shared" si="11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0"/>
        <v>0</v>
      </c>
      <c r="P9" s="570">
        <f t="shared" si="1"/>
        <v>0</v>
      </c>
      <c r="Q9" s="570">
        <f t="shared" si="2"/>
        <v>0</v>
      </c>
      <c r="R9" s="570">
        <f t="shared" si="3"/>
        <v>0</v>
      </c>
      <c r="S9" s="570">
        <f t="shared" si="4"/>
        <v>0</v>
      </c>
      <c r="T9" s="570">
        <f t="shared" si="5"/>
        <v>0</v>
      </c>
      <c r="U9" s="570">
        <f t="shared" si="6"/>
        <v>0</v>
      </c>
      <c r="V9" s="570">
        <f t="shared" si="7"/>
        <v>0</v>
      </c>
      <c r="W9" s="570">
        <f t="shared" si="8"/>
        <v>0</v>
      </c>
      <c r="X9" s="570">
        <f t="shared" si="9"/>
        <v>0</v>
      </c>
      <c r="Y9" s="570">
        <f t="shared" si="10"/>
        <v>0</v>
      </c>
      <c r="Z9" s="570">
        <f t="shared" si="11"/>
        <v>0</v>
      </c>
    </row>
    <row r="10" spans="1:26" ht="15.6" customHeight="1">
      <c r="A10" s="591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0"/>
        <v>0</v>
      </c>
      <c r="P10" s="570">
        <f t="shared" si="1"/>
        <v>0</v>
      </c>
      <c r="Q10" s="570">
        <f t="shared" si="2"/>
        <v>0</v>
      </c>
      <c r="R10" s="570">
        <f t="shared" si="3"/>
        <v>0</v>
      </c>
      <c r="S10" s="570">
        <f t="shared" si="4"/>
        <v>0</v>
      </c>
      <c r="T10" s="570">
        <f t="shared" si="5"/>
        <v>0</v>
      </c>
      <c r="U10" s="570">
        <f t="shared" si="6"/>
        <v>0</v>
      </c>
      <c r="V10" s="570">
        <f t="shared" si="7"/>
        <v>0</v>
      </c>
      <c r="W10" s="570">
        <f t="shared" si="8"/>
        <v>0</v>
      </c>
      <c r="X10" s="570">
        <f t="shared" si="9"/>
        <v>0</v>
      </c>
      <c r="Y10" s="570">
        <f t="shared" si="10"/>
        <v>0</v>
      </c>
      <c r="Z10" s="570">
        <f t="shared" si="11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0"/>
        <v>0</v>
      </c>
      <c r="P11" s="570">
        <f t="shared" si="1"/>
        <v>0</v>
      </c>
      <c r="Q11" s="570">
        <f t="shared" si="2"/>
        <v>0</v>
      </c>
      <c r="R11" s="570">
        <f t="shared" si="3"/>
        <v>0</v>
      </c>
      <c r="S11" s="570">
        <f t="shared" si="4"/>
        <v>0</v>
      </c>
      <c r="T11" s="570">
        <f t="shared" si="5"/>
        <v>0</v>
      </c>
      <c r="U11" s="570">
        <f t="shared" si="6"/>
        <v>0</v>
      </c>
      <c r="V11" s="570">
        <f t="shared" si="7"/>
        <v>0</v>
      </c>
      <c r="W11" s="570">
        <f t="shared" si="8"/>
        <v>0</v>
      </c>
      <c r="X11" s="570">
        <f t="shared" si="9"/>
        <v>0</v>
      </c>
      <c r="Y11" s="570">
        <f t="shared" si="10"/>
        <v>0</v>
      </c>
      <c r="Z11" s="570">
        <f t="shared" si="11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0"/>
        <v>0</v>
      </c>
      <c r="P12" s="570">
        <f t="shared" si="1"/>
        <v>0</v>
      </c>
      <c r="Q12" s="570">
        <f t="shared" si="2"/>
        <v>0</v>
      </c>
      <c r="R12" s="570">
        <f t="shared" si="3"/>
        <v>0</v>
      </c>
      <c r="S12" s="570">
        <f t="shared" si="4"/>
        <v>0</v>
      </c>
      <c r="T12" s="570">
        <f t="shared" si="5"/>
        <v>0</v>
      </c>
      <c r="U12" s="570">
        <f t="shared" si="6"/>
        <v>0</v>
      </c>
      <c r="V12" s="570">
        <f t="shared" si="7"/>
        <v>0</v>
      </c>
      <c r="W12" s="570">
        <f t="shared" si="8"/>
        <v>0</v>
      </c>
      <c r="X12" s="570">
        <f t="shared" si="9"/>
        <v>0</v>
      </c>
      <c r="Y12" s="570">
        <f t="shared" si="10"/>
        <v>0</v>
      </c>
      <c r="Z12" s="570">
        <f t="shared" si="11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0"/>
        <v>0</v>
      </c>
      <c r="P13" s="570">
        <f t="shared" si="1"/>
        <v>0</v>
      </c>
      <c r="Q13" s="570">
        <f t="shared" si="2"/>
        <v>0</v>
      </c>
      <c r="R13" s="570">
        <f t="shared" si="3"/>
        <v>0</v>
      </c>
      <c r="S13" s="570">
        <f t="shared" si="4"/>
        <v>0</v>
      </c>
      <c r="T13" s="570">
        <f t="shared" si="5"/>
        <v>0</v>
      </c>
      <c r="U13" s="570">
        <f t="shared" si="6"/>
        <v>0</v>
      </c>
      <c r="V13" s="570">
        <f t="shared" si="7"/>
        <v>0</v>
      </c>
      <c r="W13" s="570">
        <f t="shared" si="8"/>
        <v>0</v>
      </c>
      <c r="X13" s="570">
        <f t="shared" si="9"/>
        <v>0</v>
      </c>
      <c r="Y13" s="570">
        <f t="shared" si="10"/>
        <v>0</v>
      </c>
      <c r="Z13" s="570">
        <f t="shared" si="11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0"/>
        <v>0</v>
      </c>
      <c r="P14" s="570">
        <f t="shared" si="1"/>
        <v>0</v>
      </c>
      <c r="Q14" s="570">
        <f t="shared" si="2"/>
        <v>0</v>
      </c>
      <c r="R14" s="570">
        <f t="shared" si="3"/>
        <v>0</v>
      </c>
      <c r="S14" s="570">
        <f t="shared" si="4"/>
        <v>0</v>
      </c>
      <c r="T14" s="570">
        <f t="shared" si="5"/>
        <v>0</v>
      </c>
      <c r="U14" s="570">
        <f t="shared" si="6"/>
        <v>0</v>
      </c>
      <c r="V14" s="570">
        <f t="shared" si="7"/>
        <v>0</v>
      </c>
      <c r="W14" s="570">
        <f t="shared" si="8"/>
        <v>0</v>
      </c>
      <c r="X14" s="570">
        <f t="shared" si="9"/>
        <v>0</v>
      </c>
      <c r="Y14" s="570">
        <f t="shared" si="10"/>
        <v>0</v>
      </c>
      <c r="Z14" s="570">
        <f t="shared" si="11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0"/>
        <v>0</v>
      </c>
      <c r="P15" s="570">
        <f t="shared" si="1"/>
        <v>0</v>
      </c>
      <c r="Q15" s="570">
        <f t="shared" si="2"/>
        <v>0</v>
      </c>
      <c r="R15" s="570">
        <f t="shared" si="3"/>
        <v>0</v>
      </c>
      <c r="S15" s="570">
        <f t="shared" si="4"/>
        <v>0</v>
      </c>
      <c r="T15" s="570">
        <f t="shared" si="5"/>
        <v>0</v>
      </c>
      <c r="U15" s="570">
        <f t="shared" si="6"/>
        <v>0</v>
      </c>
      <c r="V15" s="570">
        <f t="shared" si="7"/>
        <v>0</v>
      </c>
      <c r="W15" s="570">
        <f t="shared" si="8"/>
        <v>0</v>
      </c>
      <c r="X15" s="570">
        <f t="shared" si="9"/>
        <v>0</v>
      </c>
      <c r="Y15" s="570">
        <f t="shared" si="10"/>
        <v>0</v>
      </c>
      <c r="Z15" s="570">
        <f t="shared" si="11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2">O5+O13</f>
        <v>0</v>
      </c>
      <c r="P18" s="573">
        <f t="shared" si="12"/>
        <v>0</v>
      </c>
      <c r="Q18" s="573">
        <f t="shared" si="12"/>
        <v>0</v>
      </c>
      <c r="R18" s="573">
        <f t="shared" si="12"/>
        <v>0</v>
      </c>
      <c r="S18" s="573">
        <f t="shared" si="12"/>
        <v>0</v>
      </c>
      <c r="T18" s="573">
        <f t="shared" si="12"/>
        <v>0</v>
      </c>
      <c r="U18" s="573">
        <f t="shared" si="12"/>
        <v>0</v>
      </c>
      <c r="V18" s="573">
        <f t="shared" si="12"/>
        <v>0</v>
      </c>
      <c r="W18" s="573">
        <f t="shared" si="12"/>
        <v>0</v>
      </c>
      <c r="X18" s="573">
        <f t="shared" si="12"/>
        <v>0</v>
      </c>
      <c r="Y18" s="573">
        <f t="shared" si="12"/>
        <v>0</v>
      </c>
      <c r="Z18" s="573">
        <f t="shared" si="12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>
        <f>B23+B24</f>
        <v>0</v>
      </c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3">C20-B20</f>
        <v>0</v>
      </c>
      <c r="P20" s="570">
        <f t="shared" ref="P20:P28" si="14">D20-C20</f>
        <v>0</v>
      </c>
      <c r="Q20" s="570">
        <f t="shared" ref="Q20:Q28" si="15">E20-D20</f>
        <v>0</v>
      </c>
      <c r="R20" s="570">
        <f t="shared" ref="R20:R28" si="16">F20-E20</f>
        <v>0</v>
      </c>
      <c r="S20" s="570">
        <f t="shared" ref="S20:S28" si="17">G20-F20</f>
        <v>0</v>
      </c>
      <c r="T20" s="570">
        <f t="shared" ref="T20:T28" si="18">H20-G20</f>
        <v>0</v>
      </c>
      <c r="U20" s="570">
        <f t="shared" ref="U20:U28" si="19">I20-H20</f>
        <v>0</v>
      </c>
      <c r="V20" s="570">
        <f t="shared" ref="V20:V28" si="20">J20-I20</f>
        <v>0</v>
      </c>
      <c r="W20" s="570">
        <f t="shared" ref="W20:W28" si="21">K20-J20</f>
        <v>0</v>
      </c>
      <c r="X20" s="570">
        <f t="shared" ref="X20:X28" si="22">L20-K20</f>
        <v>0</v>
      </c>
      <c r="Y20" s="570">
        <f t="shared" ref="Y20:Y28" si="23">M20-L20</f>
        <v>0</v>
      </c>
      <c r="Z20" s="570">
        <f t="shared" ref="Z20:Z28" si="24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3"/>
        <v>0</v>
      </c>
      <c r="P21" s="570">
        <f t="shared" si="14"/>
        <v>0</v>
      </c>
      <c r="Q21" s="570">
        <f t="shared" si="15"/>
        <v>0</v>
      </c>
      <c r="R21" s="570">
        <f t="shared" si="16"/>
        <v>0</v>
      </c>
      <c r="S21" s="570">
        <f t="shared" si="17"/>
        <v>0</v>
      </c>
      <c r="T21" s="570">
        <f t="shared" si="18"/>
        <v>0</v>
      </c>
      <c r="U21" s="570">
        <f t="shared" si="19"/>
        <v>0</v>
      </c>
      <c r="V21" s="570">
        <f t="shared" si="20"/>
        <v>0</v>
      </c>
      <c r="W21" s="570">
        <f t="shared" si="21"/>
        <v>0</v>
      </c>
      <c r="X21" s="570">
        <f t="shared" si="22"/>
        <v>0</v>
      </c>
      <c r="Y21" s="570">
        <f t="shared" si="23"/>
        <v>0</v>
      </c>
      <c r="Z21" s="570">
        <f t="shared" si="24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3"/>
        <v>0</v>
      </c>
      <c r="P22" s="570">
        <f t="shared" si="14"/>
        <v>0</v>
      </c>
      <c r="Q22" s="570">
        <f t="shared" si="15"/>
        <v>0</v>
      </c>
      <c r="R22" s="570">
        <f t="shared" si="16"/>
        <v>0</v>
      </c>
      <c r="S22" s="570">
        <f t="shared" si="17"/>
        <v>0</v>
      </c>
      <c r="T22" s="570">
        <f t="shared" si="18"/>
        <v>0</v>
      </c>
      <c r="U22" s="570">
        <f t="shared" si="19"/>
        <v>0</v>
      </c>
      <c r="V22" s="570">
        <f t="shared" si="20"/>
        <v>0</v>
      </c>
      <c r="W22" s="570">
        <f t="shared" si="21"/>
        <v>0</v>
      </c>
      <c r="X22" s="570">
        <f t="shared" si="22"/>
        <v>0</v>
      </c>
      <c r="Y22" s="570">
        <f t="shared" si="23"/>
        <v>0</v>
      </c>
      <c r="Z22" s="570">
        <f t="shared" si="24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3"/>
        <v>0</v>
      </c>
      <c r="P23" s="570">
        <f t="shared" si="14"/>
        <v>0</v>
      </c>
      <c r="Q23" s="570">
        <f t="shared" si="15"/>
        <v>0</v>
      </c>
      <c r="R23" s="570">
        <f t="shared" si="16"/>
        <v>0</v>
      </c>
      <c r="S23" s="570">
        <f t="shared" si="17"/>
        <v>0</v>
      </c>
      <c r="T23" s="570">
        <f t="shared" si="18"/>
        <v>0</v>
      </c>
      <c r="U23" s="570">
        <f t="shared" si="19"/>
        <v>0</v>
      </c>
      <c r="V23" s="570">
        <f t="shared" si="20"/>
        <v>0</v>
      </c>
      <c r="W23" s="570">
        <f t="shared" si="21"/>
        <v>0</v>
      </c>
      <c r="X23" s="570">
        <f t="shared" si="22"/>
        <v>0</v>
      </c>
      <c r="Y23" s="570">
        <f t="shared" si="23"/>
        <v>0</v>
      </c>
      <c r="Z23" s="570">
        <f t="shared" si="24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3"/>
        <v>0</v>
      </c>
      <c r="P24" s="570">
        <f t="shared" si="14"/>
        <v>0</v>
      </c>
      <c r="Q24" s="570">
        <f t="shared" si="15"/>
        <v>0</v>
      </c>
      <c r="R24" s="570">
        <f t="shared" si="16"/>
        <v>0</v>
      </c>
      <c r="S24" s="570">
        <f t="shared" si="17"/>
        <v>0</v>
      </c>
      <c r="T24" s="570">
        <f t="shared" si="18"/>
        <v>0</v>
      </c>
      <c r="U24" s="570">
        <f t="shared" si="19"/>
        <v>0</v>
      </c>
      <c r="V24" s="570">
        <f t="shared" si="20"/>
        <v>0</v>
      </c>
      <c r="W24" s="570">
        <f t="shared" si="21"/>
        <v>0</v>
      </c>
      <c r="X24" s="570">
        <f t="shared" si="22"/>
        <v>0</v>
      </c>
      <c r="Y24" s="570">
        <f t="shared" si="23"/>
        <v>0</v>
      </c>
      <c r="Z24" s="570">
        <f t="shared" si="24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3"/>
        <v>0</v>
      </c>
      <c r="P25" s="570">
        <f t="shared" si="14"/>
        <v>0</v>
      </c>
      <c r="Q25" s="570">
        <f t="shared" si="15"/>
        <v>0</v>
      </c>
      <c r="R25" s="570">
        <f t="shared" si="16"/>
        <v>0</v>
      </c>
      <c r="S25" s="570">
        <f t="shared" si="17"/>
        <v>0</v>
      </c>
      <c r="T25" s="570">
        <f t="shared" si="18"/>
        <v>0</v>
      </c>
      <c r="U25" s="570">
        <f t="shared" si="19"/>
        <v>0</v>
      </c>
      <c r="V25" s="570">
        <f t="shared" si="20"/>
        <v>0</v>
      </c>
      <c r="W25" s="570">
        <f t="shared" si="21"/>
        <v>0</v>
      </c>
      <c r="X25" s="570">
        <f t="shared" si="22"/>
        <v>0</v>
      </c>
      <c r="Y25" s="570">
        <f t="shared" si="23"/>
        <v>0</v>
      </c>
      <c r="Z25" s="570">
        <f t="shared" si="24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3"/>
        <v>0</v>
      </c>
      <c r="P26" s="570">
        <f t="shared" si="14"/>
        <v>0</v>
      </c>
      <c r="Q26" s="570">
        <f t="shared" si="15"/>
        <v>0</v>
      </c>
      <c r="R26" s="570">
        <f t="shared" si="16"/>
        <v>0</v>
      </c>
      <c r="S26" s="570">
        <f t="shared" si="17"/>
        <v>0</v>
      </c>
      <c r="T26" s="570">
        <f t="shared" si="18"/>
        <v>0</v>
      </c>
      <c r="U26" s="570">
        <f t="shared" si="19"/>
        <v>0</v>
      </c>
      <c r="V26" s="570">
        <f t="shared" si="20"/>
        <v>0</v>
      </c>
      <c r="W26" s="570">
        <f t="shared" si="21"/>
        <v>0</v>
      </c>
      <c r="X26" s="570">
        <f t="shared" si="22"/>
        <v>0</v>
      </c>
      <c r="Y26" s="570">
        <f t="shared" si="23"/>
        <v>0</v>
      </c>
      <c r="Z26" s="570">
        <f t="shared" si="24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3"/>
        <v>0</v>
      </c>
      <c r="P27" s="570">
        <f t="shared" si="14"/>
        <v>0</v>
      </c>
      <c r="Q27" s="570">
        <f t="shared" si="15"/>
        <v>0</v>
      </c>
      <c r="R27" s="570">
        <f t="shared" si="16"/>
        <v>0</v>
      </c>
      <c r="S27" s="570">
        <f t="shared" si="17"/>
        <v>0</v>
      </c>
      <c r="T27" s="570">
        <f t="shared" si="18"/>
        <v>0</v>
      </c>
      <c r="U27" s="570">
        <f t="shared" si="19"/>
        <v>0</v>
      </c>
      <c r="V27" s="570">
        <f t="shared" si="20"/>
        <v>0</v>
      </c>
      <c r="W27" s="570">
        <f t="shared" si="21"/>
        <v>0</v>
      </c>
      <c r="X27" s="570">
        <f t="shared" si="22"/>
        <v>0</v>
      </c>
      <c r="Y27" s="570">
        <f t="shared" si="23"/>
        <v>0</v>
      </c>
      <c r="Z27" s="570">
        <f t="shared" si="24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3"/>
        <v>0</v>
      </c>
      <c r="P28" s="570">
        <f t="shared" si="14"/>
        <v>0</v>
      </c>
      <c r="Q28" s="570">
        <f t="shared" si="15"/>
        <v>0</v>
      </c>
      <c r="R28" s="570">
        <f t="shared" si="16"/>
        <v>0</v>
      </c>
      <c r="S28" s="570">
        <f t="shared" si="17"/>
        <v>0</v>
      </c>
      <c r="T28" s="570">
        <f t="shared" si="18"/>
        <v>0</v>
      </c>
      <c r="U28" s="570">
        <f t="shared" si="19"/>
        <v>0</v>
      </c>
      <c r="V28" s="570">
        <f t="shared" si="20"/>
        <v>0</v>
      </c>
      <c r="W28" s="570">
        <f t="shared" si="21"/>
        <v>0</v>
      </c>
      <c r="X28" s="570">
        <f t="shared" si="22"/>
        <v>0</v>
      </c>
      <c r="Y28" s="570">
        <f t="shared" si="23"/>
        <v>0</v>
      </c>
      <c r="Z28" s="570">
        <f t="shared" si="24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1578</v>
      </c>
      <c r="B30" s="573">
        <f>SUM(B23:B28)</f>
        <v>0</v>
      </c>
      <c r="C30" s="573">
        <f t="shared" ref="C30:N30" si="25">SUM(C6:C29)</f>
        <v>0</v>
      </c>
      <c r="D30" s="573">
        <f t="shared" si="25"/>
        <v>0</v>
      </c>
      <c r="E30" s="573">
        <f t="shared" si="25"/>
        <v>0</v>
      </c>
      <c r="F30" s="573">
        <f t="shared" si="25"/>
        <v>0</v>
      </c>
      <c r="G30" s="573">
        <f t="shared" si="25"/>
        <v>0</v>
      </c>
      <c r="H30" s="573">
        <f t="shared" si="25"/>
        <v>0</v>
      </c>
      <c r="I30" s="573">
        <f t="shared" si="25"/>
        <v>0</v>
      </c>
      <c r="J30" s="573">
        <f t="shared" si="25"/>
        <v>0</v>
      </c>
      <c r="K30" s="573">
        <f t="shared" si="25"/>
        <v>0</v>
      </c>
      <c r="L30" s="573">
        <f t="shared" si="25"/>
        <v>0</v>
      </c>
      <c r="M30" s="573">
        <f t="shared" si="25"/>
        <v>0</v>
      </c>
      <c r="N30" s="573">
        <f t="shared" si="25"/>
        <v>0</v>
      </c>
      <c r="O30" s="573">
        <f t="shared" ref="O30:Z30" si="26">SUM(O23:O28)</f>
        <v>0</v>
      </c>
      <c r="P30" s="573">
        <f t="shared" si="26"/>
        <v>0</v>
      </c>
      <c r="Q30" s="573">
        <f t="shared" si="26"/>
        <v>0</v>
      </c>
      <c r="R30" s="573">
        <f t="shared" si="26"/>
        <v>0</v>
      </c>
      <c r="S30" s="573">
        <f t="shared" si="26"/>
        <v>0</v>
      </c>
      <c r="T30" s="573">
        <f t="shared" si="26"/>
        <v>0</v>
      </c>
      <c r="U30" s="573">
        <f t="shared" si="26"/>
        <v>0</v>
      </c>
      <c r="V30" s="573">
        <f t="shared" si="26"/>
        <v>0</v>
      </c>
      <c r="W30" s="573">
        <f t="shared" si="26"/>
        <v>0</v>
      </c>
      <c r="X30" s="573">
        <f t="shared" si="26"/>
        <v>0</v>
      </c>
      <c r="Y30" s="573">
        <f t="shared" si="26"/>
        <v>0</v>
      </c>
      <c r="Z30" s="573">
        <f t="shared" si="26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+O30-O18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8"/>
  <dimension ref="A2:Z35"/>
  <sheetViews>
    <sheetView workbookViewId="0">
      <selection activeCell="E7" sqref="E7"/>
    </sheetView>
  </sheetViews>
  <sheetFormatPr defaultRowHeight="12.75"/>
  <cols>
    <col min="1" max="1" width="44.85546875" customWidth="1"/>
    <col min="2" max="3" width="11.42578125" customWidth="1"/>
    <col min="4" max="4" width="12.7109375" bestFit="1" customWidth="1"/>
    <col min="5" max="5" width="13" customWidth="1"/>
    <col min="6" max="17" width="11.42578125" customWidth="1"/>
    <col min="18" max="18" width="13.140625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42339</v>
      </c>
      <c r="C3" s="569">
        <v>42370</v>
      </c>
      <c r="D3" s="569">
        <v>42401</v>
      </c>
      <c r="E3" s="569">
        <v>42430</v>
      </c>
      <c r="F3" s="569">
        <v>42461</v>
      </c>
      <c r="G3" s="569">
        <v>42491</v>
      </c>
      <c r="H3" s="569">
        <v>42522</v>
      </c>
      <c r="I3" s="569">
        <v>42552</v>
      </c>
      <c r="J3" s="569">
        <v>42583</v>
      </c>
      <c r="K3" s="569">
        <v>42614</v>
      </c>
      <c r="L3" s="569">
        <v>42644</v>
      </c>
      <c r="M3" s="569">
        <v>42675</v>
      </c>
      <c r="N3" s="569">
        <v>42705</v>
      </c>
      <c r="O3" s="569">
        <v>42370</v>
      </c>
      <c r="P3" s="569">
        <v>42401</v>
      </c>
      <c r="Q3" s="569">
        <v>42430</v>
      </c>
      <c r="R3" s="569">
        <v>42461</v>
      </c>
      <c r="S3" s="569">
        <v>42491</v>
      </c>
      <c r="T3" s="569">
        <v>42522</v>
      </c>
      <c r="U3" s="569">
        <v>42552</v>
      </c>
      <c r="V3" s="569">
        <v>42583</v>
      </c>
      <c r="W3" s="569">
        <v>42614</v>
      </c>
      <c r="X3" s="569">
        <v>42644</v>
      </c>
      <c r="Y3" s="569">
        <v>42675</v>
      </c>
      <c r="Z3" s="569">
        <v>42705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s="558" customFormat="1" ht="15.6" customHeight="1">
      <c r="A5" s="441" t="s">
        <v>653</v>
      </c>
      <c r="B5" s="625">
        <f>SUM(B6:B17)</f>
        <v>0</v>
      </c>
      <c r="C5" s="625">
        <f t="shared" ref="C5:N5" si="0">SUM(C6:C17)</f>
        <v>0</v>
      </c>
      <c r="D5" s="625">
        <f t="shared" si="0"/>
        <v>0</v>
      </c>
      <c r="E5" s="625">
        <f t="shared" si="0"/>
        <v>639113030</v>
      </c>
      <c r="F5" s="625">
        <f t="shared" si="0"/>
        <v>0</v>
      </c>
      <c r="G5" s="625">
        <f t="shared" si="0"/>
        <v>0</v>
      </c>
      <c r="H5" s="625">
        <f t="shared" si="0"/>
        <v>0</v>
      </c>
      <c r="I5" s="625">
        <f t="shared" si="0"/>
        <v>0</v>
      </c>
      <c r="J5" s="625">
        <f t="shared" si="0"/>
        <v>0</v>
      </c>
      <c r="K5" s="625">
        <f t="shared" si="0"/>
        <v>0</v>
      </c>
      <c r="L5" s="625">
        <f t="shared" si="0"/>
        <v>0</v>
      </c>
      <c r="M5" s="625">
        <f t="shared" si="0"/>
        <v>0</v>
      </c>
      <c r="N5" s="625">
        <f t="shared" si="0"/>
        <v>0</v>
      </c>
      <c r="O5" s="625">
        <f t="shared" ref="O5:O15" si="1">C5-B5</f>
        <v>0</v>
      </c>
      <c r="P5" s="625">
        <f t="shared" ref="P5:P15" si="2">D5-C5</f>
        <v>0</v>
      </c>
      <c r="Q5" s="625">
        <f t="shared" ref="Q5:Q15" si="3">E5-D5</f>
        <v>639113030</v>
      </c>
      <c r="R5" s="625">
        <f t="shared" ref="R5:R15" si="4">F5-E5</f>
        <v>-639113030</v>
      </c>
      <c r="S5" s="625">
        <f t="shared" ref="S5:S15" si="5">G5-F5</f>
        <v>0</v>
      </c>
      <c r="T5" s="625">
        <f t="shared" ref="T5:T15" si="6">H5-G5</f>
        <v>0</v>
      </c>
      <c r="U5" s="625">
        <f t="shared" ref="U5:U15" si="7">I5-H5</f>
        <v>0</v>
      </c>
      <c r="V5" s="625">
        <f t="shared" ref="V5:V15" si="8">J5-I5</f>
        <v>0</v>
      </c>
      <c r="W5" s="625">
        <f t="shared" ref="W5:W15" si="9">K5-J5</f>
        <v>0</v>
      </c>
      <c r="X5" s="625">
        <f t="shared" ref="X5:X15" si="10">L5-K5</f>
        <v>0</v>
      </c>
      <c r="Y5" s="625">
        <f t="shared" ref="Y5:Y15" si="11">M5-L5</f>
        <v>0</v>
      </c>
      <c r="Z5" s="625">
        <f t="shared" ref="Z5:Z15" si="12">N5-M5</f>
        <v>0</v>
      </c>
    </row>
    <row r="6" spans="1:26" ht="15.6" customHeight="1">
      <c r="A6" s="1463" t="s">
        <v>654</v>
      </c>
      <c r="B6" s="570"/>
      <c r="C6" s="570"/>
      <c r="D6" s="570"/>
      <c r="E6" s="120"/>
      <c r="F6" s="570"/>
      <c r="G6" s="570"/>
      <c r="H6" s="570"/>
      <c r="I6" s="671"/>
      <c r="J6" s="570"/>
      <c r="K6" s="570"/>
      <c r="L6" s="570"/>
      <c r="M6" s="570"/>
      <c r="N6" s="570"/>
      <c r="O6" s="570">
        <f t="shared" si="1"/>
        <v>0</v>
      </c>
      <c r="P6" s="570">
        <f t="shared" si="2"/>
        <v>0</v>
      </c>
      <c r="Q6" s="570">
        <f t="shared" si="3"/>
        <v>0</v>
      </c>
      <c r="R6" s="570">
        <f t="shared" si="4"/>
        <v>0</v>
      </c>
      <c r="S6" s="570">
        <f t="shared" si="5"/>
        <v>0</v>
      </c>
      <c r="T6" s="570">
        <f t="shared" si="6"/>
        <v>0</v>
      </c>
      <c r="U6" s="570">
        <f t="shared" si="7"/>
        <v>0</v>
      </c>
      <c r="V6" s="570">
        <f t="shared" si="8"/>
        <v>0</v>
      </c>
      <c r="W6" s="570">
        <f t="shared" si="9"/>
        <v>0</v>
      </c>
      <c r="X6" s="570">
        <f t="shared" si="10"/>
        <v>0</v>
      </c>
      <c r="Y6" s="570">
        <f t="shared" si="11"/>
        <v>0</v>
      </c>
      <c r="Z6" s="570">
        <f t="shared" si="12"/>
        <v>0</v>
      </c>
    </row>
    <row r="7" spans="1:26" ht="15.6" customHeight="1">
      <c r="A7" s="1463" t="s">
        <v>3018</v>
      </c>
      <c r="B7" s="570"/>
      <c r="C7" s="570"/>
      <c r="D7" s="1418"/>
      <c r="E7" s="1418">
        <v>639113030</v>
      </c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1"/>
        <v>0</v>
      </c>
      <c r="P7" s="570">
        <f t="shared" si="2"/>
        <v>0</v>
      </c>
      <c r="Q7" s="570">
        <f t="shared" si="3"/>
        <v>639113030</v>
      </c>
      <c r="R7" s="570">
        <f t="shared" si="4"/>
        <v>-639113030</v>
      </c>
      <c r="S7" s="570">
        <f t="shared" si="5"/>
        <v>0</v>
      </c>
      <c r="T7" s="570">
        <f t="shared" si="6"/>
        <v>0</v>
      </c>
      <c r="U7" s="570">
        <f t="shared" si="7"/>
        <v>0</v>
      </c>
      <c r="V7" s="570">
        <f t="shared" si="8"/>
        <v>0</v>
      </c>
      <c r="W7" s="570">
        <f t="shared" si="9"/>
        <v>0</v>
      </c>
      <c r="X7" s="570">
        <f t="shared" si="10"/>
        <v>0</v>
      </c>
      <c r="Y7" s="570">
        <f t="shared" si="11"/>
        <v>0</v>
      </c>
      <c r="Z7" s="570">
        <f t="shared" si="12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1"/>
        <v>0</v>
      </c>
      <c r="P8" s="570">
        <f t="shared" si="2"/>
        <v>0</v>
      </c>
      <c r="Q8" s="570">
        <f t="shared" si="3"/>
        <v>0</v>
      </c>
      <c r="R8" s="570">
        <f t="shared" si="4"/>
        <v>0</v>
      </c>
      <c r="S8" s="570">
        <f t="shared" si="5"/>
        <v>0</v>
      </c>
      <c r="T8" s="570">
        <f t="shared" si="6"/>
        <v>0</v>
      </c>
      <c r="U8" s="570">
        <f t="shared" si="7"/>
        <v>0</v>
      </c>
      <c r="V8" s="570">
        <f t="shared" si="8"/>
        <v>0</v>
      </c>
      <c r="W8" s="570">
        <f t="shared" si="9"/>
        <v>0</v>
      </c>
      <c r="X8" s="570">
        <f t="shared" si="10"/>
        <v>0</v>
      </c>
      <c r="Y8" s="570">
        <f t="shared" si="11"/>
        <v>0</v>
      </c>
      <c r="Z8" s="570">
        <f t="shared" si="12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1"/>
        <v>0</v>
      </c>
      <c r="P9" s="570">
        <f t="shared" si="2"/>
        <v>0</v>
      </c>
      <c r="Q9" s="570">
        <f t="shared" si="3"/>
        <v>0</v>
      </c>
      <c r="R9" s="570">
        <f t="shared" si="4"/>
        <v>0</v>
      </c>
      <c r="S9" s="570">
        <f t="shared" si="5"/>
        <v>0</v>
      </c>
      <c r="T9" s="570">
        <f t="shared" si="6"/>
        <v>0</v>
      </c>
      <c r="U9" s="570">
        <f t="shared" si="7"/>
        <v>0</v>
      </c>
      <c r="V9" s="570">
        <f t="shared" si="8"/>
        <v>0</v>
      </c>
      <c r="W9" s="570">
        <f t="shared" si="9"/>
        <v>0</v>
      </c>
      <c r="X9" s="570">
        <f t="shared" si="10"/>
        <v>0</v>
      </c>
      <c r="Y9" s="570">
        <f t="shared" si="11"/>
        <v>0</v>
      </c>
      <c r="Z9" s="570">
        <f t="shared" si="12"/>
        <v>0</v>
      </c>
    </row>
    <row r="10" spans="1:26" ht="15.6" customHeight="1">
      <c r="A10" s="591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1"/>
        <v>0</v>
      </c>
      <c r="P10" s="570">
        <f t="shared" si="2"/>
        <v>0</v>
      </c>
      <c r="Q10" s="570">
        <f t="shared" si="3"/>
        <v>0</v>
      </c>
      <c r="R10" s="570">
        <f t="shared" si="4"/>
        <v>0</v>
      </c>
      <c r="S10" s="570">
        <f t="shared" si="5"/>
        <v>0</v>
      </c>
      <c r="T10" s="570">
        <f t="shared" si="6"/>
        <v>0</v>
      </c>
      <c r="U10" s="570">
        <f t="shared" si="7"/>
        <v>0</v>
      </c>
      <c r="V10" s="570">
        <f t="shared" si="8"/>
        <v>0</v>
      </c>
      <c r="W10" s="570">
        <f t="shared" si="9"/>
        <v>0</v>
      </c>
      <c r="X10" s="570">
        <f t="shared" si="10"/>
        <v>0</v>
      </c>
      <c r="Y10" s="570">
        <f t="shared" si="11"/>
        <v>0</v>
      </c>
      <c r="Z10" s="570">
        <f t="shared" si="12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1"/>
        <v>0</v>
      </c>
      <c r="P11" s="570">
        <f t="shared" si="2"/>
        <v>0</v>
      </c>
      <c r="Q11" s="570">
        <f t="shared" si="3"/>
        <v>0</v>
      </c>
      <c r="R11" s="570">
        <f t="shared" si="4"/>
        <v>0</v>
      </c>
      <c r="S11" s="570">
        <f t="shared" si="5"/>
        <v>0</v>
      </c>
      <c r="T11" s="570">
        <f t="shared" si="6"/>
        <v>0</v>
      </c>
      <c r="U11" s="570">
        <f t="shared" si="7"/>
        <v>0</v>
      </c>
      <c r="V11" s="570">
        <f t="shared" si="8"/>
        <v>0</v>
      </c>
      <c r="W11" s="570">
        <f t="shared" si="9"/>
        <v>0</v>
      </c>
      <c r="X11" s="570">
        <f t="shared" si="10"/>
        <v>0</v>
      </c>
      <c r="Y11" s="570">
        <f t="shared" si="11"/>
        <v>0</v>
      </c>
      <c r="Z11" s="570">
        <f t="shared" si="12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1"/>
        <v>0</v>
      </c>
      <c r="P12" s="570">
        <f t="shared" si="2"/>
        <v>0</v>
      </c>
      <c r="Q12" s="570">
        <f t="shared" si="3"/>
        <v>0</v>
      </c>
      <c r="R12" s="570">
        <f t="shared" si="4"/>
        <v>0</v>
      </c>
      <c r="S12" s="570">
        <f t="shared" si="5"/>
        <v>0</v>
      </c>
      <c r="T12" s="570">
        <f t="shared" si="6"/>
        <v>0</v>
      </c>
      <c r="U12" s="570">
        <f t="shared" si="7"/>
        <v>0</v>
      </c>
      <c r="V12" s="570">
        <f t="shared" si="8"/>
        <v>0</v>
      </c>
      <c r="W12" s="570">
        <f t="shared" si="9"/>
        <v>0</v>
      </c>
      <c r="X12" s="570">
        <f t="shared" si="10"/>
        <v>0</v>
      </c>
      <c r="Y12" s="570">
        <f t="shared" si="11"/>
        <v>0</v>
      </c>
      <c r="Z12" s="570">
        <f t="shared" si="12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1"/>
        <v>0</v>
      </c>
      <c r="P13" s="570">
        <f t="shared" si="2"/>
        <v>0</v>
      </c>
      <c r="Q13" s="570">
        <f t="shared" si="3"/>
        <v>0</v>
      </c>
      <c r="R13" s="570">
        <f t="shared" si="4"/>
        <v>0</v>
      </c>
      <c r="S13" s="570">
        <f t="shared" si="5"/>
        <v>0</v>
      </c>
      <c r="T13" s="570">
        <f t="shared" si="6"/>
        <v>0</v>
      </c>
      <c r="U13" s="570">
        <f t="shared" si="7"/>
        <v>0</v>
      </c>
      <c r="V13" s="570">
        <f t="shared" si="8"/>
        <v>0</v>
      </c>
      <c r="W13" s="570">
        <f t="shared" si="9"/>
        <v>0</v>
      </c>
      <c r="X13" s="570">
        <f t="shared" si="10"/>
        <v>0</v>
      </c>
      <c r="Y13" s="570">
        <f t="shared" si="11"/>
        <v>0</v>
      </c>
      <c r="Z13" s="570">
        <f t="shared" si="12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1"/>
        <v>0</v>
      </c>
      <c r="P14" s="570">
        <f t="shared" si="2"/>
        <v>0</v>
      </c>
      <c r="Q14" s="570">
        <f t="shared" si="3"/>
        <v>0</v>
      </c>
      <c r="R14" s="570">
        <f t="shared" si="4"/>
        <v>0</v>
      </c>
      <c r="S14" s="570">
        <f t="shared" si="5"/>
        <v>0</v>
      </c>
      <c r="T14" s="570">
        <f t="shared" si="6"/>
        <v>0</v>
      </c>
      <c r="U14" s="570">
        <f t="shared" si="7"/>
        <v>0</v>
      </c>
      <c r="V14" s="570">
        <f t="shared" si="8"/>
        <v>0</v>
      </c>
      <c r="W14" s="570">
        <f t="shared" si="9"/>
        <v>0</v>
      </c>
      <c r="X14" s="570">
        <f t="shared" si="10"/>
        <v>0</v>
      </c>
      <c r="Y14" s="570">
        <f t="shared" si="11"/>
        <v>0</v>
      </c>
      <c r="Z14" s="570">
        <f t="shared" si="12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1"/>
        <v>0</v>
      </c>
      <c r="P15" s="570">
        <f t="shared" si="2"/>
        <v>0</v>
      </c>
      <c r="Q15" s="570">
        <f t="shared" si="3"/>
        <v>0</v>
      </c>
      <c r="R15" s="570">
        <f t="shared" si="4"/>
        <v>0</v>
      </c>
      <c r="S15" s="570">
        <f t="shared" si="5"/>
        <v>0</v>
      </c>
      <c r="T15" s="570">
        <f t="shared" si="6"/>
        <v>0</v>
      </c>
      <c r="U15" s="570">
        <f t="shared" si="7"/>
        <v>0</v>
      </c>
      <c r="V15" s="570">
        <f t="shared" si="8"/>
        <v>0</v>
      </c>
      <c r="W15" s="570">
        <f t="shared" si="9"/>
        <v>0</v>
      </c>
      <c r="X15" s="570">
        <f t="shared" si="10"/>
        <v>0</v>
      </c>
      <c r="Y15" s="570">
        <f t="shared" si="11"/>
        <v>0</v>
      </c>
      <c r="Z15" s="570">
        <f t="shared" si="12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3">O5+O13</f>
        <v>0</v>
      </c>
      <c r="P18" s="573">
        <f t="shared" si="13"/>
        <v>0</v>
      </c>
      <c r="Q18" s="573">
        <f t="shared" si="13"/>
        <v>639113030</v>
      </c>
      <c r="R18" s="573">
        <f t="shared" si="13"/>
        <v>-639113030</v>
      </c>
      <c r="S18" s="573">
        <f t="shared" si="13"/>
        <v>0</v>
      </c>
      <c r="T18" s="573">
        <f t="shared" si="13"/>
        <v>0</v>
      </c>
      <c r="U18" s="573">
        <f t="shared" si="13"/>
        <v>0</v>
      </c>
      <c r="V18" s="573">
        <f t="shared" si="13"/>
        <v>0</v>
      </c>
      <c r="W18" s="573">
        <f t="shared" si="13"/>
        <v>0</v>
      </c>
      <c r="X18" s="573">
        <f t="shared" si="13"/>
        <v>0</v>
      </c>
      <c r="Y18" s="573">
        <f t="shared" si="13"/>
        <v>0</v>
      </c>
      <c r="Z18" s="573">
        <f t="shared" si="13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/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4">C20-B20</f>
        <v>0</v>
      </c>
      <c r="P20" s="570">
        <f t="shared" ref="P20:P28" si="15">D20-C20</f>
        <v>0</v>
      </c>
      <c r="Q20" s="570">
        <f t="shared" ref="Q20:Q28" si="16">E20-D20</f>
        <v>0</v>
      </c>
      <c r="R20" s="570">
        <f t="shared" ref="R20:R28" si="17">F20-E20</f>
        <v>0</v>
      </c>
      <c r="S20" s="570">
        <f t="shared" ref="S20:S28" si="18">G20-F20</f>
        <v>0</v>
      </c>
      <c r="T20" s="570">
        <f t="shared" ref="T20:T28" si="19">H20-G20</f>
        <v>0</v>
      </c>
      <c r="U20" s="570">
        <f t="shared" ref="U20:U28" si="20">I20-H20</f>
        <v>0</v>
      </c>
      <c r="V20" s="570">
        <f t="shared" ref="V20:V28" si="21">J20-I20</f>
        <v>0</v>
      </c>
      <c r="W20" s="570">
        <f t="shared" ref="W20:W28" si="22">K20-J20</f>
        <v>0</v>
      </c>
      <c r="X20" s="570">
        <f t="shared" ref="X20:X28" si="23">L20-K20</f>
        <v>0</v>
      </c>
      <c r="Y20" s="570">
        <f t="shared" ref="Y20:Y28" si="24">M20-L20</f>
        <v>0</v>
      </c>
      <c r="Z20" s="570">
        <f t="shared" ref="Z20:Z28" si="25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4"/>
        <v>0</v>
      </c>
      <c r="P21" s="570">
        <f t="shared" si="15"/>
        <v>0</v>
      </c>
      <c r="Q21" s="570">
        <f t="shared" si="16"/>
        <v>0</v>
      </c>
      <c r="R21" s="570">
        <f t="shared" si="17"/>
        <v>0</v>
      </c>
      <c r="S21" s="570">
        <f t="shared" si="18"/>
        <v>0</v>
      </c>
      <c r="T21" s="570">
        <f t="shared" si="19"/>
        <v>0</v>
      </c>
      <c r="U21" s="570">
        <f t="shared" si="20"/>
        <v>0</v>
      </c>
      <c r="V21" s="570">
        <f t="shared" si="21"/>
        <v>0</v>
      </c>
      <c r="W21" s="570">
        <f t="shared" si="22"/>
        <v>0</v>
      </c>
      <c r="X21" s="570">
        <f t="shared" si="23"/>
        <v>0</v>
      </c>
      <c r="Y21" s="570">
        <f t="shared" si="24"/>
        <v>0</v>
      </c>
      <c r="Z21" s="570">
        <f t="shared" si="25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4"/>
        <v>0</v>
      </c>
      <c r="P22" s="570">
        <f t="shared" si="15"/>
        <v>0</v>
      </c>
      <c r="Q22" s="570">
        <f t="shared" si="16"/>
        <v>0</v>
      </c>
      <c r="R22" s="570">
        <f t="shared" si="17"/>
        <v>0</v>
      </c>
      <c r="S22" s="570">
        <f t="shared" si="18"/>
        <v>0</v>
      </c>
      <c r="T22" s="570">
        <f t="shared" si="19"/>
        <v>0</v>
      </c>
      <c r="U22" s="570">
        <f t="shared" si="20"/>
        <v>0</v>
      </c>
      <c r="V22" s="570">
        <f t="shared" si="21"/>
        <v>0</v>
      </c>
      <c r="W22" s="570">
        <f t="shared" si="22"/>
        <v>0</v>
      </c>
      <c r="X22" s="570">
        <f t="shared" si="23"/>
        <v>0</v>
      </c>
      <c r="Y22" s="570">
        <f t="shared" si="24"/>
        <v>0</v>
      </c>
      <c r="Z22" s="570">
        <f t="shared" si="25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4"/>
        <v>0</v>
      </c>
      <c r="P23" s="570">
        <f t="shared" si="15"/>
        <v>0</v>
      </c>
      <c r="Q23" s="570">
        <f t="shared" si="16"/>
        <v>0</v>
      </c>
      <c r="R23" s="570">
        <f t="shared" si="17"/>
        <v>0</v>
      </c>
      <c r="S23" s="570">
        <f t="shared" si="18"/>
        <v>0</v>
      </c>
      <c r="T23" s="570">
        <f t="shared" si="19"/>
        <v>0</v>
      </c>
      <c r="U23" s="570">
        <f t="shared" si="20"/>
        <v>0</v>
      </c>
      <c r="V23" s="570">
        <f t="shared" si="21"/>
        <v>0</v>
      </c>
      <c r="W23" s="570">
        <f t="shared" si="22"/>
        <v>0</v>
      </c>
      <c r="X23" s="570">
        <f t="shared" si="23"/>
        <v>0</v>
      </c>
      <c r="Y23" s="570">
        <f t="shared" si="24"/>
        <v>0</v>
      </c>
      <c r="Z23" s="570">
        <f t="shared" si="25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4"/>
        <v>0</v>
      </c>
      <c r="P24" s="570">
        <f t="shared" si="15"/>
        <v>0</v>
      </c>
      <c r="Q24" s="570">
        <f t="shared" si="16"/>
        <v>0</v>
      </c>
      <c r="R24" s="570">
        <f t="shared" si="17"/>
        <v>0</v>
      </c>
      <c r="S24" s="570">
        <f t="shared" si="18"/>
        <v>0</v>
      </c>
      <c r="T24" s="570">
        <f t="shared" si="19"/>
        <v>0</v>
      </c>
      <c r="U24" s="570">
        <f t="shared" si="20"/>
        <v>0</v>
      </c>
      <c r="V24" s="570">
        <f t="shared" si="21"/>
        <v>0</v>
      </c>
      <c r="W24" s="570">
        <f t="shared" si="22"/>
        <v>0</v>
      </c>
      <c r="X24" s="570">
        <f t="shared" si="23"/>
        <v>0</v>
      </c>
      <c r="Y24" s="570">
        <f t="shared" si="24"/>
        <v>0</v>
      </c>
      <c r="Z24" s="570">
        <f t="shared" si="25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4"/>
        <v>0</v>
      </c>
      <c r="P25" s="570">
        <f t="shared" si="15"/>
        <v>0</v>
      </c>
      <c r="Q25" s="570">
        <f t="shared" si="16"/>
        <v>0</v>
      </c>
      <c r="R25" s="570">
        <f t="shared" si="17"/>
        <v>0</v>
      </c>
      <c r="S25" s="570">
        <f t="shared" si="18"/>
        <v>0</v>
      </c>
      <c r="T25" s="570">
        <f t="shared" si="19"/>
        <v>0</v>
      </c>
      <c r="U25" s="570">
        <f t="shared" si="20"/>
        <v>0</v>
      </c>
      <c r="V25" s="570">
        <f t="shared" si="21"/>
        <v>0</v>
      </c>
      <c r="W25" s="570">
        <f t="shared" si="22"/>
        <v>0</v>
      </c>
      <c r="X25" s="570">
        <f t="shared" si="23"/>
        <v>0</v>
      </c>
      <c r="Y25" s="570">
        <f t="shared" si="24"/>
        <v>0</v>
      </c>
      <c r="Z25" s="570">
        <f t="shared" si="25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4"/>
        <v>0</v>
      </c>
      <c r="P26" s="570">
        <f t="shared" si="15"/>
        <v>0</v>
      </c>
      <c r="Q26" s="570">
        <f t="shared" si="16"/>
        <v>0</v>
      </c>
      <c r="R26" s="570">
        <f t="shared" si="17"/>
        <v>0</v>
      </c>
      <c r="S26" s="570">
        <f t="shared" si="18"/>
        <v>0</v>
      </c>
      <c r="T26" s="570">
        <f t="shared" si="19"/>
        <v>0</v>
      </c>
      <c r="U26" s="570">
        <f t="shared" si="20"/>
        <v>0</v>
      </c>
      <c r="V26" s="570">
        <f t="shared" si="21"/>
        <v>0</v>
      </c>
      <c r="W26" s="570">
        <f t="shared" si="22"/>
        <v>0</v>
      </c>
      <c r="X26" s="570">
        <f t="shared" si="23"/>
        <v>0</v>
      </c>
      <c r="Y26" s="570">
        <f t="shared" si="24"/>
        <v>0</v>
      </c>
      <c r="Z26" s="570">
        <f t="shared" si="25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4"/>
        <v>0</v>
      </c>
      <c r="P27" s="570">
        <f t="shared" si="15"/>
        <v>0</v>
      </c>
      <c r="Q27" s="570">
        <f t="shared" si="16"/>
        <v>0</v>
      </c>
      <c r="R27" s="570">
        <f t="shared" si="17"/>
        <v>0</v>
      </c>
      <c r="S27" s="570">
        <f t="shared" si="18"/>
        <v>0</v>
      </c>
      <c r="T27" s="570">
        <f t="shared" si="19"/>
        <v>0</v>
      </c>
      <c r="U27" s="570">
        <f t="shared" si="20"/>
        <v>0</v>
      </c>
      <c r="V27" s="570">
        <f t="shared" si="21"/>
        <v>0</v>
      </c>
      <c r="W27" s="570">
        <f t="shared" si="22"/>
        <v>0</v>
      </c>
      <c r="X27" s="570">
        <f t="shared" si="23"/>
        <v>0</v>
      </c>
      <c r="Y27" s="570">
        <f t="shared" si="24"/>
        <v>0</v>
      </c>
      <c r="Z27" s="570">
        <f t="shared" si="25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4"/>
        <v>0</v>
      </c>
      <c r="P28" s="570">
        <f t="shared" si="15"/>
        <v>0</v>
      </c>
      <c r="Q28" s="570">
        <f t="shared" si="16"/>
        <v>0</v>
      </c>
      <c r="R28" s="570">
        <f t="shared" si="17"/>
        <v>0</v>
      </c>
      <c r="S28" s="570">
        <f t="shared" si="18"/>
        <v>0</v>
      </c>
      <c r="T28" s="570">
        <f t="shared" si="19"/>
        <v>0</v>
      </c>
      <c r="U28" s="570">
        <f t="shared" si="20"/>
        <v>0</v>
      </c>
      <c r="V28" s="570">
        <f t="shared" si="21"/>
        <v>0</v>
      </c>
      <c r="W28" s="570">
        <f t="shared" si="22"/>
        <v>0</v>
      </c>
      <c r="X28" s="570">
        <f t="shared" si="23"/>
        <v>0</v>
      </c>
      <c r="Y28" s="570">
        <f t="shared" si="24"/>
        <v>0</v>
      </c>
      <c r="Z28" s="570">
        <f t="shared" si="25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386</v>
      </c>
      <c r="B30" s="573">
        <f>SUM(B6:B28)</f>
        <v>0</v>
      </c>
      <c r="C30" s="573">
        <f t="shared" ref="C30:N30" si="26">SUM(C6:C28)</f>
        <v>0</v>
      </c>
      <c r="D30" s="573">
        <f t="shared" si="26"/>
        <v>0</v>
      </c>
      <c r="E30" s="573">
        <f t="shared" si="26"/>
        <v>639113030</v>
      </c>
      <c r="F30" s="573">
        <f t="shared" si="26"/>
        <v>0</v>
      </c>
      <c r="G30" s="573">
        <f t="shared" si="26"/>
        <v>0</v>
      </c>
      <c r="H30" s="573">
        <f t="shared" si="26"/>
        <v>0</v>
      </c>
      <c r="I30" s="573">
        <f t="shared" si="26"/>
        <v>0</v>
      </c>
      <c r="J30" s="573">
        <f t="shared" si="26"/>
        <v>0</v>
      </c>
      <c r="K30" s="573">
        <f t="shared" si="26"/>
        <v>0</v>
      </c>
      <c r="L30" s="573">
        <f t="shared" si="26"/>
        <v>0</v>
      </c>
      <c r="M30" s="573">
        <f t="shared" si="26"/>
        <v>0</v>
      </c>
      <c r="N30" s="573">
        <f t="shared" si="26"/>
        <v>0</v>
      </c>
      <c r="O30" s="573">
        <f t="shared" ref="O30:Z30" si="27">SUM(O23:O28)</f>
        <v>0</v>
      </c>
      <c r="P30" s="573">
        <f t="shared" si="27"/>
        <v>0</v>
      </c>
      <c r="Q30" s="573">
        <f t="shared" si="27"/>
        <v>0</v>
      </c>
      <c r="R30" s="573">
        <f t="shared" si="27"/>
        <v>0</v>
      </c>
      <c r="S30" s="573">
        <f t="shared" si="27"/>
        <v>0</v>
      </c>
      <c r="T30" s="573">
        <f t="shared" si="27"/>
        <v>0</v>
      </c>
      <c r="U30" s="573">
        <f t="shared" si="27"/>
        <v>0</v>
      </c>
      <c r="V30" s="573">
        <f t="shared" si="27"/>
        <v>0</v>
      </c>
      <c r="W30" s="573">
        <f t="shared" si="27"/>
        <v>0</v>
      </c>
      <c r="X30" s="573">
        <f t="shared" si="27"/>
        <v>0</v>
      </c>
      <c r="Y30" s="573">
        <f t="shared" si="27"/>
        <v>0</v>
      </c>
      <c r="Z30" s="573">
        <f t="shared" si="27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8">+O30-O18</f>
        <v>0</v>
      </c>
      <c r="P31" s="573">
        <f t="shared" si="28"/>
        <v>0</v>
      </c>
      <c r="Q31" s="573">
        <f t="shared" si="28"/>
        <v>-639113030</v>
      </c>
      <c r="R31" s="573">
        <f t="shared" si="28"/>
        <v>639113030</v>
      </c>
      <c r="S31" s="573">
        <f t="shared" si="28"/>
        <v>0</v>
      </c>
      <c r="T31" s="573">
        <f t="shared" si="28"/>
        <v>0</v>
      </c>
      <c r="U31" s="573">
        <f t="shared" si="28"/>
        <v>0</v>
      </c>
      <c r="V31" s="573">
        <f t="shared" si="28"/>
        <v>0</v>
      </c>
      <c r="W31" s="573">
        <f t="shared" si="28"/>
        <v>0</v>
      </c>
      <c r="X31" s="573">
        <f t="shared" si="28"/>
        <v>0</v>
      </c>
      <c r="Y31" s="573">
        <f t="shared" si="28"/>
        <v>0</v>
      </c>
      <c r="Z31" s="573">
        <f t="shared" si="28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19"/>
  <dimension ref="A2:Z35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E6" sqref="E6"/>
    </sheetView>
  </sheetViews>
  <sheetFormatPr defaultRowHeight="12.75"/>
  <cols>
    <col min="1" max="1" width="44.85546875" customWidth="1"/>
    <col min="2" max="4" width="11.42578125" customWidth="1"/>
    <col min="5" max="5" width="15.28515625" customWidth="1"/>
    <col min="6" max="6" width="14.42578125" customWidth="1"/>
    <col min="7" max="7" width="11.42578125" customWidth="1"/>
    <col min="8" max="8" width="15.42578125" customWidth="1"/>
    <col min="9" max="16" width="11.42578125" customWidth="1"/>
    <col min="17" max="17" width="13.7109375" customWidth="1"/>
    <col min="18" max="18" width="13.5703125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40878</v>
      </c>
      <c r="C3" s="569">
        <v>40909</v>
      </c>
      <c r="D3" s="569">
        <v>40940</v>
      </c>
      <c r="E3" s="569">
        <v>40969</v>
      </c>
      <c r="F3" s="569">
        <v>41000</v>
      </c>
      <c r="G3" s="569">
        <v>41030</v>
      </c>
      <c r="H3" s="569">
        <v>41061</v>
      </c>
      <c r="I3" s="569">
        <v>41091</v>
      </c>
      <c r="J3" s="569">
        <v>41122</v>
      </c>
      <c r="K3" s="569">
        <v>41153</v>
      </c>
      <c r="L3" s="569">
        <v>41183</v>
      </c>
      <c r="M3" s="569">
        <v>41214</v>
      </c>
      <c r="N3" s="569">
        <v>41244</v>
      </c>
      <c r="O3" s="569">
        <v>40909</v>
      </c>
      <c r="P3" s="569">
        <v>40940</v>
      </c>
      <c r="Q3" s="569">
        <v>40969</v>
      </c>
      <c r="R3" s="569">
        <v>41000</v>
      </c>
      <c r="S3" s="569">
        <v>41030</v>
      </c>
      <c r="T3" s="569">
        <v>41061</v>
      </c>
      <c r="U3" s="569">
        <v>41091</v>
      </c>
      <c r="V3" s="569">
        <v>41122</v>
      </c>
      <c r="W3" s="569">
        <v>41153</v>
      </c>
      <c r="X3" s="569">
        <v>41183</v>
      </c>
      <c r="Y3" s="569">
        <v>41214</v>
      </c>
      <c r="Z3" s="569">
        <v>41244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653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>
        <f t="shared" ref="O5:O15" si="0">C5-B5</f>
        <v>0</v>
      </c>
      <c r="P5" s="570">
        <f t="shared" ref="P5:P15" si="1">D5-C5</f>
        <v>0</v>
      </c>
      <c r="Q5" s="570">
        <f t="shared" ref="Q5:Q15" si="2">E5-D5</f>
        <v>0</v>
      </c>
      <c r="R5" s="570">
        <f t="shared" ref="R5:R15" si="3">F5-E5</f>
        <v>0</v>
      </c>
      <c r="S5" s="570">
        <f t="shared" ref="S5:S15" si="4">G5-F5</f>
        <v>0</v>
      </c>
      <c r="T5" s="570">
        <f t="shared" ref="T5:T15" si="5">H5-G5</f>
        <v>0</v>
      </c>
      <c r="U5" s="570">
        <f t="shared" ref="U5:U15" si="6">I5-H5</f>
        <v>0</v>
      </c>
      <c r="V5" s="570">
        <f t="shared" ref="V5:V15" si="7">J5-I5</f>
        <v>0</v>
      </c>
      <c r="W5" s="570">
        <f t="shared" ref="W5:W15" si="8">K5-J5</f>
        <v>0</v>
      </c>
      <c r="X5" s="570">
        <f t="shared" ref="X5:X15" si="9">L5-K5</f>
        <v>0</v>
      </c>
      <c r="Y5" s="570">
        <f t="shared" ref="Y5:Y15" si="10">M5-L5</f>
        <v>0</v>
      </c>
      <c r="Z5" s="570">
        <f t="shared" ref="Z5:Z15" si="11">N5-M5</f>
        <v>0</v>
      </c>
    </row>
    <row r="6" spans="1:26" ht="15.6" customHeight="1">
      <c r="A6" s="589" t="s">
        <v>797</v>
      </c>
      <c r="B6" s="570"/>
      <c r="C6" s="570"/>
      <c r="D6" s="570"/>
      <c r="E6" s="1418">
        <v>5000000000</v>
      </c>
      <c r="F6" s="1418"/>
      <c r="G6" s="570"/>
      <c r="H6" s="570"/>
      <c r="I6" s="570"/>
      <c r="J6" s="570"/>
      <c r="K6" s="570"/>
      <c r="L6" s="570"/>
      <c r="M6" s="570"/>
      <c r="N6" s="570"/>
      <c r="O6" s="570">
        <f t="shared" si="0"/>
        <v>0</v>
      </c>
      <c r="P6" s="570">
        <f t="shared" si="1"/>
        <v>0</v>
      </c>
      <c r="Q6" s="570">
        <f t="shared" si="2"/>
        <v>5000000000</v>
      </c>
      <c r="R6" s="570">
        <f t="shared" si="3"/>
        <v>-5000000000</v>
      </c>
      <c r="S6" s="570">
        <f t="shared" si="4"/>
        <v>0</v>
      </c>
      <c r="T6" s="570">
        <f t="shared" si="5"/>
        <v>0</v>
      </c>
      <c r="U6" s="570">
        <f t="shared" si="6"/>
        <v>0</v>
      </c>
      <c r="V6" s="570">
        <f t="shared" si="7"/>
        <v>0</v>
      </c>
      <c r="W6" s="570">
        <f t="shared" si="8"/>
        <v>0</v>
      </c>
      <c r="X6" s="570">
        <f t="shared" si="9"/>
        <v>0</v>
      </c>
      <c r="Y6" s="570">
        <f t="shared" si="10"/>
        <v>0</v>
      </c>
      <c r="Z6" s="570">
        <f t="shared" si="11"/>
        <v>0</v>
      </c>
    </row>
    <row r="7" spans="1:26" ht="15.6" customHeight="1">
      <c r="A7" s="590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0"/>
        <v>0</v>
      </c>
      <c r="P7" s="570">
        <f t="shared" si="1"/>
        <v>0</v>
      </c>
      <c r="Q7" s="570">
        <f t="shared" si="2"/>
        <v>0</v>
      </c>
      <c r="R7" s="570">
        <f t="shared" si="3"/>
        <v>0</v>
      </c>
      <c r="S7" s="570">
        <f t="shared" si="4"/>
        <v>0</v>
      </c>
      <c r="T7" s="570">
        <f t="shared" si="5"/>
        <v>0</v>
      </c>
      <c r="U7" s="570">
        <f t="shared" si="6"/>
        <v>0</v>
      </c>
      <c r="V7" s="570">
        <f t="shared" si="7"/>
        <v>0</v>
      </c>
      <c r="W7" s="570">
        <f t="shared" si="8"/>
        <v>0</v>
      </c>
      <c r="X7" s="570">
        <f t="shared" si="9"/>
        <v>0</v>
      </c>
      <c r="Y7" s="570">
        <f t="shared" si="10"/>
        <v>0</v>
      </c>
      <c r="Z7" s="570">
        <f t="shared" si="11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0"/>
        <v>0</v>
      </c>
      <c r="P8" s="570">
        <f t="shared" si="1"/>
        <v>0</v>
      </c>
      <c r="Q8" s="570">
        <f t="shared" si="2"/>
        <v>0</v>
      </c>
      <c r="R8" s="570">
        <f t="shared" si="3"/>
        <v>0</v>
      </c>
      <c r="S8" s="570">
        <f t="shared" si="4"/>
        <v>0</v>
      </c>
      <c r="T8" s="570">
        <f t="shared" si="5"/>
        <v>0</v>
      </c>
      <c r="U8" s="570">
        <f t="shared" si="6"/>
        <v>0</v>
      </c>
      <c r="V8" s="570">
        <f t="shared" si="7"/>
        <v>0</v>
      </c>
      <c r="W8" s="570">
        <f t="shared" si="8"/>
        <v>0</v>
      </c>
      <c r="X8" s="570">
        <f t="shared" si="9"/>
        <v>0</v>
      </c>
      <c r="Y8" s="570">
        <f t="shared" si="10"/>
        <v>0</v>
      </c>
      <c r="Z8" s="570">
        <f t="shared" si="11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0"/>
        <v>0</v>
      </c>
      <c r="P9" s="570">
        <f t="shared" si="1"/>
        <v>0</v>
      </c>
      <c r="Q9" s="570">
        <f t="shared" si="2"/>
        <v>0</v>
      </c>
      <c r="R9" s="570">
        <f t="shared" si="3"/>
        <v>0</v>
      </c>
      <c r="S9" s="570">
        <f t="shared" si="4"/>
        <v>0</v>
      </c>
      <c r="T9" s="570">
        <f t="shared" si="5"/>
        <v>0</v>
      </c>
      <c r="U9" s="570">
        <f t="shared" si="6"/>
        <v>0</v>
      </c>
      <c r="V9" s="570">
        <f t="shared" si="7"/>
        <v>0</v>
      </c>
      <c r="W9" s="570">
        <f t="shared" si="8"/>
        <v>0</v>
      </c>
      <c r="X9" s="570">
        <f t="shared" si="9"/>
        <v>0</v>
      </c>
      <c r="Y9" s="570">
        <f t="shared" si="10"/>
        <v>0</v>
      </c>
      <c r="Z9" s="570">
        <f t="shared" si="11"/>
        <v>0</v>
      </c>
    </row>
    <row r="10" spans="1:26" ht="15.6" customHeight="1">
      <c r="A10" s="1587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0"/>
        <v>0</v>
      </c>
      <c r="P10" s="570">
        <f t="shared" si="1"/>
        <v>0</v>
      </c>
      <c r="Q10" s="570">
        <f t="shared" si="2"/>
        <v>0</v>
      </c>
      <c r="R10" s="570">
        <f t="shared" si="3"/>
        <v>0</v>
      </c>
      <c r="S10" s="570">
        <f t="shared" si="4"/>
        <v>0</v>
      </c>
      <c r="T10" s="570">
        <f t="shared" si="5"/>
        <v>0</v>
      </c>
      <c r="U10" s="570">
        <f t="shared" si="6"/>
        <v>0</v>
      </c>
      <c r="V10" s="570">
        <f t="shared" si="7"/>
        <v>0</v>
      </c>
      <c r="W10" s="570">
        <f t="shared" si="8"/>
        <v>0</v>
      </c>
      <c r="X10" s="570">
        <f t="shared" si="9"/>
        <v>0</v>
      </c>
      <c r="Y10" s="570">
        <f t="shared" si="10"/>
        <v>0</v>
      </c>
      <c r="Z10" s="570">
        <f t="shared" si="11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0"/>
        <v>0</v>
      </c>
      <c r="P11" s="570">
        <f t="shared" si="1"/>
        <v>0</v>
      </c>
      <c r="Q11" s="570">
        <f t="shared" si="2"/>
        <v>0</v>
      </c>
      <c r="R11" s="570">
        <f t="shared" si="3"/>
        <v>0</v>
      </c>
      <c r="S11" s="570">
        <f t="shared" si="4"/>
        <v>0</v>
      </c>
      <c r="T11" s="570">
        <f t="shared" si="5"/>
        <v>0</v>
      </c>
      <c r="U11" s="570">
        <f t="shared" si="6"/>
        <v>0</v>
      </c>
      <c r="V11" s="570">
        <f t="shared" si="7"/>
        <v>0</v>
      </c>
      <c r="W11" s="570">
        <f t="shared" si="8"/>
        <v>0</v>
      </c>
      <c r="X11" s="570">
        <f t="shared" si="9"/>
        <v>0</v>
      </c>
      <c r="Y11" s="570">
        <f t="shared" si="10"/>
        <v>0</v>
      </c>
      <c r="Z11" s="570">
        <f t="shared" si="11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0"/>
        <v>0</v>
      </c>
      <c r="P12" s="570">
        <f t="shared" si="1"/>
        <v>0</v>
      </c>
      <c r="Q12" s="570">
        <f t="shared" si="2"/>
        <v>0</v>
      </c>
      <c r="R12" s="570">
        <f t="shared" si="3"/>
        <v>0</v>
      </c>
      <c r="S12" s="570">
        <f t="shared" si="4"/>
        <v>0</v>
      </c>
      <c r="T12" s="570">
        <f t="shared" si="5"/>
        <v>0</v>
      </c>
      <c r="U12" s="570">
        <f t="shared" si="6"/>
        <v>0</v>
      </c>
      <c r="V12" s="570">
        <f t="shared" si="7"/>
        <v>0</v>
      </c>
      <c r="W12" s="570">
        <f t="shared" si="8"/>
        <v>0</v>
      </c>
      <c r="X12" s="570">
        <f t="shared" si="9"/>
        <v>0</v>
      </c>
      <c r="Y12" s="570">
        <f t="shared" si="10"/>
        <v>0</v>
      </c>
      <c r="Z12" s="570">
        <f t="shared" si="11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0"/>
        <v>0</v>
      </c>
      <c r="P13" s="570">
        <f t="shared" si="1"/>
        <v>0</v>
      </c>
      <c r="Q13" s="570">
        <f t="shared" si="2"/>
        <v>0</v>
      </c>
      <c r="R13" s="570">
        <f t="shared" si="3"/>
        <v>0</v>
      </c>
      <c r="S13" s="570">
        <f t="shared" si="4"/>
        <v>0</v>
      </c>
      <c r="T13" s="570">
        <f t="shared" si="5"/>
        <v>0</v>
      </c>
      <c r="U13" s="570">
        <f t="shared" si="6"/>
        <v>0</v>
      </c>
      <c r="V13" s="570">
        <f t="shared" si="7"/>
        <v>0</v>
      </c>
      <c r="W13" s="570">
        <f t="shared" si="8"/>
        <v>0</v>
      </c>
      <c r="X13" s="570">
        <f t="shared" si="9"/>
        <v>0</v>
      </c>
      <c r="Y13" s="570">
        <f t="shared" si="10"/>
        <v>0</v>
      </c>
      <c r="Z13" s="570">
        <f t="shared" si="11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0"/>
        <v>0</v>
      </c>
      <c r="P14" s="570">
        <f t="shared" si="1"/>
        <v>0</v>
      </c>
      <c r="Q14" s="570">
        <f t="shared" si="2"/>
        <v>0</v>
      </c>
      <c r="R14" s="570">
        <f t="shared" si="3"/>
        <v>0</v>
      </c>
      <c r="S14" s="570">
        <f t="shared" si="4"/>
        <v>0</v>
      </c>
      <c r="T14" s="570">
        <f t="shared" si="5"/>
        <v>0</v>
      </c>
      <c r="U14" s="570">
        <f t="shared" si="6"/>
        <v>0</v>
      </c>
      <c r="V14" s="570">
        <f t="shared" si="7"/>
        <v>0</v>
      </c>
      <c r="W14" s="570">
        <f t="shared" si="8"/>
        <v>0</v>
      </c>
      <c r="X14" s="570">
        <f t="shared" si="9"/>
        <v>0</v>
      </c>
      <c r="Y14" s="570">
        <f t="shared" si="10"/>
        <v>0</v>
      </c>
      <c r="Z14" s="570">
        <f t="shared" si="11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0"/>
        <v>0</v>
      </c>
      <c r="P15" s="570">
        <f t="shared" si="1"/>
        <v>0</v>
      </c>
      <c r="Q15" s="570">
        <f t="shared" si="2"/>
        <v>0</v>
      </c>
      <c r="R15" s="570">
        <f t="shared" si="3"/>
        <v>0</v>
      </c>
      <c r="S15" s="570">
        <f t="shared" si="4"/>
        <v>0</v>
      </c>
      <c r="T15" s="570">
        <f t="shared" si="5"/>
        <v>0</v>
      </c>
      <c r="U15" s="570">
        <f t="shared" si="6"/>
        <v>0</v>
      </c>
      <c r="V15" s="570">
        <f t="shared" si="7"/>
        <v>0</v>
      </c>
      <c r="W15" s="570">
        <f t="shared" si="8"/>
        <v>0</v>
      </c>
      <c r="X15" s="570">
        <f t="shared" si="9"/>
        <v>0</v>
      </c>
      <c r="Y15" s="570">
        <f t="shared" si="10"/>
        <v>0</v>
      </c>
      <c r="Z15" s="570">
        <f t="shared" si="11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2">O5+O13</f>
        <v>0</v>
      </c>
      <c r="P18" s="573">
        <f t="shared" si="12"/>
        <v>0</v>
      </c>
      <c r="Q18" s="573">
        <f t="shared" si="12"/>
        <v>0</v>
      </c>
      <c r="R18" s="573">
        <f t="shared" si="12"/>
        <v>0</v>
      </c>
      <c r="S18" s="573">
        <f t="shared" si="12"/>
        <v>0</v>
      </c>
      <c r="T18" s="573">
        <f t="shared" si="12"/>
        <v>0</v>
      </c>
      <c r="U18" s="573">
        <f t="shared" si="12"/>
        <v>0</v>
      </c>
      <c r="V18" s="573">
        <f t="shared" si="12"/>
        <v>0</v>
      </c>
      <c r="W18" s="573">
        <f t="shared" si="12"/>
        <v>0</v>
      </c>
      <c r="X18" s="573">
        <f t="shared" si="12"/>
        <v>0</v>
      </c>
      <c r="Y18" s="573">
        <f t="shared" si="12"/>
        <v>0</v>
      </c>
      <c r="Z18" s="573">
        <f t="shared" si="12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/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3">C20-B20</f>
        <v>0</v>
      </c>
      <c r="P20" s="570">
        <f t="shared" ref="P20:P28" si="14">D20-C20</f>
        <v>0</v>
      </c>
      <c r="Q20" s="570">
        <f t="shared" ref="Q20:Q28" si="15">E20-D20</f>
        <v>0</v>
      </c>
      <c r="R20" s="570">
        <f t="shared" ref="R20:R28" si="16">F20-E20</f>
        <v>0</v>
      </c>
      <c r="S20" s="570">
        <f t="shared" ref="S20:S28" si="17">G20-F20</f>
        <v>0</v>
      </c>
      <c r="T20" s="570">
        <f t="shared" ref="T20:T28" si="18">H20-G20</f>
        <v>0</v>
      </c>
      <c r="U20" s="570">
        <f t="shared" ref="U20:U28" si="19">I20-H20</f>
        <v>0</v>
      </c>
      <c r="V20" s="570">
        <f t="shared" ref="V20:V28" si="20">J20-I20</f>
        <v>0</v>
      </c>
      <c r="W20" s="570">
        <f t="shared" ref="W20:W28" si="21">K20-J20</f>
        <v>0</v>
      </c>
      <c r="X20" s="570">
        <f t="shared" ref="X20:X28" si="22">L20-K20</f>
        <v>0</v>
      </c>
      <c r="Y20" s="570">
        <f t="shared" ref="Y20:Y28" si="23">M20-L20</f>
        <v>0</v>
      </c>
      <c r="Z20" s="570">
        <f t="shared" ref="Z20:Z28" si="24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3"/>
        <v>0</v>
      </c>
      <c r="P21" s="570">
        <f t="shared" si="14"/>
        <v>0</v>
      </c>
      <c r="Q21" s="570">
        <f t="shared" si="15"/>
        <v>0</v>
      </c>
      <c r="R21" s="570">
        <f t="shared" si="16"/>
        <v>0</v>
      </c>
      <c r="S21" s="570">
        <f t="shared" si="17"/>
        <v>0</v>
      </c>
      <c r="T21" s="570">
        <f t="shared" si="18"/>
        <v>0</v>
      </c>
      <c r="U21" s="570">
        <f t="shared" si="19"/>
        <v>0</v>
      </c>
      <c r="V21" s="570">
        <f t="shared" si="20"/>
        <v>0</v>
      </c>
      <c r="W21" s="570">
        <f t="shared" si="21"/>
        <v>0</v>
      </c>
      <c r="X21" s="570">
        <f t="shared" si="22"/>
        <v>0</v>
      </c>
      <c r="Y21" s="570">
        <f t="shared" si="23"/>
        <v>0</v>
      </c>
      <c r="Z21" s="570">
        <f t="shared" si="24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3"/>
        <v>0</v>
      </c>
      <c r="P22" s="570">
        <f t="shared" si="14"/>
        <v>0</v>
      </c>
      <c r="Q22" s="570">
        <f t="shared" si="15"/>
        <v>0</v>
      </c>
      <c r="R22" s="570">
        <f t="shared" si="16"/>
        <v>0</v>
      </c>
      <c r="S22" s="570">
        <f t="shared" si="17"/>
        <v>0</v>
      </c>
      <c r="T22" s="570">
        <f t="shared" si="18"/>
        <v>0</v>
      </c>
      <c r="U22" s="570">
        <f t="shared" si="19"/>
        <v>0</v>
      </c>
      <c r="V22" s="570">
        <f t="shared" si="20"/>
        <v>0</v>
      </c>
      <c r="W22" s="570">
        <f t="shared" si="21"/>
        <v>0</v>
      </c>
      <c r="X22" s="570">
        <f t="shared" si="22"/>
        <v>0</v>
      </c>
      <c r="Y22" s="570">
        <f t="shared" si="23"/>
        <v>0</v>
      </c>
      <c r="Z22" s="570">
        <f t="shared" si="24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3"/>
        <v>0</v>
      </c>
      <c r="P23" s="570">
        <f t="shared" si="14"/>
        <v>0</v>
      </c>
      <c r="Q23" s="570">
        <f t="shared" si="15"/>
        <v>0</v>
      </c>
      <c r="R23" s="570">
        <f t="shared" si="16"/>
        <v>0</v>
      </c>
      <c r="S23" s="570">
        <f t="shared" si="17"/>
        <v>0</v>
      </c>
      <c r="T23" s="570">
        <f t="shared" si="18"/>
        <v>0</v>
      </c>
      <c r="U23" s="570">
        <f t="shared" si="19"/>
        <v>0</v>
      </c>
      <c r="V23" s="570">
        <f t="shared" si="20"/>
        <v>0</v>
      </c>
      <c r="W23" s="570">
        <f t="shared" si="21"/>
        <v>0</v>
      </c>
      <c r="X23" s="570">
        <f t="shared" si="22"/>
        <v>0</v>
      </c>
      <c r="Y23" s="570">
        <f t="shared" si="23"/>
        <v>0</v>
      </c>
      <c r="Z23" s="570">
        <f t="shared" si="24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3"/>
        <v>0</v>
      </c>
      <c r="P24" s="570">
        <f t="shared" si="14"/>
        <v>0</v>
      </c>
      <c r="Q24" s="570">
        <f t="shared" si="15"/>
        <v>0</v>
      </c>
      <c r="R24" s="570">
        <f t="shared" si="16"/>
        <v>0</v>
      </c>
      <c r="S24" s="570">
        <f t="shared" si="17"/>
        <v>0</v>
      </c>
      <c r="T24" s="570">
        <f t="shared" si="18"/>
        <v>0</v>
      </c>
      <c r="U24" s="570">
        <f t="shared" si="19"/>
        <v>0</v>
      </c>
      <c r="V24" s="570">
        <f t="shared" si="20"/>
        <v>0</v>
      </c>
      <c r="W24" s="570">
        <f t="shared" si="21"/>
        <v>0</v>
      </c>
      <c r="X24" s="570">
        <f t="shared" si="22"/>
        <v>0</v>
      </c>
      <c r="Y24" s="570">
        <f t="shared" si="23"/>
        <v>0</v>
      </c>
      <c r="Z24" s="570">
        <f t="shared" si="24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3"/>
        <v>0</v>
      </c>
      <c r="P25" s="570">
        <f t="shared" si="14"/>
        <v>0</v>
      </c>
      <c r="Q25" s="570">
        <f t="shared" si="15"/>
        <v>0</v>
      </c>
      <c r="R25" s="570">
        <f t="shared" si="16"/>
        <v>0</v>
      </c>
      <c r="S25" s="570">
        <f t="shared" si="17"/>
        <v>0</v>
      </c>
      <c r="T25" s="570">
        <f t="shared" si="18"/>
        <v>0</v>
      </c>
      <c r="U25" s="570">
        <f t="shared" si="19"/>
        <v>0</v>
      </c>
      <c r="V25" s="570">
        <f t="shared" si="20"/>
        <v>0</v>
      </c>
      <c r="W25" s="570">
        <f t="shared" si="21"/>
        <v>0</v>
      </c>
      <c r="X25" s="570">
        <f t="shared" si="22"/>
        <v>0</v>
      </c>
      <c r="Y25" s="570">
        <f t="shared" si="23"/>
        <v>0</v>
      </c>
      <c r="Z25" s="570">
        <f t="shared" si="24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3"/>
        <v>0</v>
      </c>
      <c r="P26" s="570">
        <f t="shared" si="14"/>
        <v>0</v>
      </c>
      <c r="Q26" s="570">
        <f t="shared" si="15"/>
        <v>0</v>
      </c>
      <c r="R26" s="570">
        <f t="shared" si="16"/>
        <v>0</v>
      </c>
      <c r="S26" s="570">
        <f t="shared" si="17"/>
        <v>0</v>
      </c>
      <c r="T26" s="570">
        <f t="shared" si="18"/>
        <v>0</v>
      </c>
      <c r="U26" s="570">
        <f t="shared" si="19"/>
        <v>0</v>
      </c>
      <c r="V26" s="570">
        <f t="shared" si="20"/>
        <v>0</v>
      </c>
      <c r="W26" s="570">
        <f t="shared" si="21"/>
        <v>0</v>
      </c>
      <c r="X26" s="570">
        <f t="shared" si="22"/>
        <v>0</v>
      </c>
      <c r="Y26" s="570">
        <f t="shared" si="23"/>
        <v>0</v>
      </c>
      <c r="Z26" s="570">
        <f t="shared" si="24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3"/>
        <v>0</v>
      </c>
      <c r="P27" s="570">
        <f t="shared" si="14"/>
        <v>0</v>
      </c>
      <c r="Q27" s="570">
        <f t="shared" si="15"/>
        <v>0</v>
      </c>
      <c r="R27" s="570">
        <f t="shared" si="16"/>
        <v>0</v>
      </c>
      <c r="S27" s="570">
        <f t="shared" si="17"/>
        <v>0</v>
      </c>
      <c r="T27" s="570">
        <f t="shared" si="18"/>
        <v>0</v>
      </c>
      <c r="U27" s="570">
        <f t="shared" si="19"/>
        <v>0</v>
      </c>
      <c r="V27" s="570">
        <f t="shared" si="20"/>
        <v>0</v>
      </c>
      <c r="W27" s="570">
        <f t="shared" si="21"/>
        <v>0</v>
      </c>
      <c r="X27" s="570">
        <f t="shared" si="22"/>
        <v>0</v>
      </c>
      <c r="Y27" s="570">
        <f t="shared" si="23"/>
        <v>0</v>
      </c>
      <c r="Z27" s="570">
        <f t="shared" si="24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3"/>
        <v>0</v>
      </c>
      <c r="P28" s="570">
        <f t="shared" si="14"/>
        <v>0</v>
      </c>
      <c r="Q28" s="570">
        <f t="shared" si="15"/>
        <v>0</v>
      </c>
      <c r="R28" s="570">
        <f t="shared" si="16"/>
        <v>0</v>
      </c>
      <c r="S28" s="570">
        <f t="shared" si="17"/>
        <v>0</v>
      </c>
      <c r="T28" s="570">
        <f t="shared" si="18"/>
        <v>0</v>
      </c>
      <c r="U28" s="570">
        <f t="shared" si="19"/>
        <v>0</v>
      </c>
      <c r="V28" s="570">
        <f t="shared" si="20"/>
        <v>0</v>
      </c>
      <c r="W28" s="570">
        <f t="shared" si="21"/>
        <v>0</v>
      </c>
      <c r="X28" s="570">
        <f t="shared" si="22"/>
        <v>0</v>
      </c>
      <c r="Y28" s="570">
        <f t="shared" si="23"/>
        <v>0</v>
      </c>
      <c r="Z28" s="570">
        <f t="shared" si="24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386</v>
      </c>
      <c r="B30" s="573">
        <f>SUM(B23:B28)</f>
        <v>0</v>
      </c>
      <c r="C30" s="573">
        <f t="shared" ref="C30:N30" si="25">SUM(C6:C29)</f>
        <v>0</v>
      </c>
      <c r="D30" s="573">
        <f t="shared" si="25"/>
        <v>0</v>
      </c>
      <c r="E30" s="573">
        <f t="shared" si="25"/>
        <v>5000000000</v>
      </c>
      <c r="F30" s="573">
        <f t="shared" si="25"/>
        <v>0</v>
      </c>
      <c r="G30" s="573">
        <f t="shared" si="25"/>
        <v>0</v>
      </c>
      <c r="H30" s="573">
        <f t="shared" si="25"/>
        <v>0</v>
      </c>
      <c r="I30" s="573">
        <f t="shared" si="25"/>
        <v>0</v>
      </c>
      <c r="J30" s="573">
        <f t="shared" si="25"/>
        <v>0</v>
      </c>
      <c r="K30" s="573">
        <f t="shared" si="25"/>
        <v>0</v>
      </c>
      <c r="L30" s="573">
        <f t="shared" si="25"/>
        <v>0</v>
      </c>
      <c r="M30" s="573">
        <f t="shared" si="25"/>
        <v>0</v>
      </c>
      <c r="N30" s="573">
        <f t="shared" si="25"/>
        <v>0</v>
      </c>
      <c r="O30" s="573">
        <f t="shared" ref="O30:Z30" si="26">SUM(O23:O28)</f>
        <v>0</v>
      </c>
      <c r="P30" s="573">
        <f t="shared" si="26"/>
        <v>0</v>
      </c>
      <c r="Q30" s="573">
        <f t="shared" si="26"/>
        <v>0</v>
      </c>
      <c r="R30" s="573">
        <f t="shared" si="26"/>
        <v>0</v>
      </c>
      <c r="S30" s="573">
        <f t="shared" si="26"/>
        <v>0</v>
      </c>
      <c r="T30" s="573">
        <f t="shared" si="26"/>
        <v>0</v>
      </c>
      <c r="U30" s="573">
        <f t="shared" si="26"/>
        <v>0</v>
      </c>
      <c r="V30" s="573">
        <f t="shared" si="26"/>
        <v>0</v>
      </c>
      <c r="W30" s="573">
        <f t="shared" si="26"/>
        <v>0</v>
      </c>
      <c r="X30" s="573">
        <f t="shared" si="26"/>
        <v>0</v>
      </c>
      <c r="Y30" s="573">
        <f t="shared" si="26"/>
        <v>0</v>
      </c>
      <c r="Z30" s="573">
        <f t="shared" si="26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+O30-O18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0"/>
  <dimension ref="A2:Z35"/>
  <sheetViews>
    <sheetView workbookViewId="0">
      <selection activeCell="A23" sqref="A23"/>
    </sheetView>
  </sheetViews>
  <sheetFormatPr defaultRowHeight="12.75"/>
  <cols>
    <col min="1" max="1" width="44.85546875" customWidth="1"/>
    <col min="2" max="4" width="11.42578125" customWidth="1"/>
    <col min="5" max="5" width="13" customWidth="1"/>
  </cols>
  <sheetData>
    <row r="2" spans="1:26">
      <c r="O2" t="s">
        <v>192</v>
      </c>
      <c r="P2" t="s">
        <v>192</v>
      </c>
      <c r="Q2" t="s">
        <v>192</v>
      </c>
      <c r="R2" t="s">
        <v>192</v>
      </c>
      <c r="S2" t="s">
        <v>192</v>
      </c>
      <c r="T2" t="s">
        <v>192</v>
      </c>
      <c r="U2" t="s">
        <v>192</v>
      </c>
      <c r="V2" t="s">
        <v>192</v>
      </c>
      <c r="W2" t="s">
        <v>192</v>
      </c>
      <c r="X2" t="s">
        <v>192</v>
      </c>
      <c r="Y2" t="s">
        <v>192</v>
      </c>
      <c r="Z2" t="s">
        <v>192</v>
      </c>
    </row>
    <row r="3" spans="1:26" ht="15.6" customHeight="1">
      <c r="A3" s="565"/>
      <c r="B3" s="569">
        <v>40878</v>
      </c>
      <c r="C3" s="569">
        <v>40909</v>
      </c>
      <c r="D3" s="569">
        <v>40940</v>
      </c>
      <c r="E3" s="569">
        <v>40969</v>
      </c>
      <c r="F3" s="569">
        <v>41000</v>
      </c>
      <c r="G3" s="569">
        <v>41030</v>
      </c>
      <c r="H3" s="569">
        <v>41061</v>
      </c>
      <c r="I3" s="569">
        <v>40725</v>
      </c>
      <c r="J3" s="569">
        <v>41122</v>
      </c>
      <c r="K3" s="569">
        <v>41153</v>
      </c>
      <c r="L3" s="569">
        <v>41183</v>
      </c>
      <c r="M3" s="569">
        <v>41214</v>
      </c>
      <c r="N3" s="569">
        <v>41244</v>
      </c>
      <c r="O3" s="569">
        <v>40909</v>
      </c>
      <c r="P3" s="569">
        <v>40940</v>
      </c>
      <c r="Q3" s="569">
        <v>40969</v>
      </c>
      <c r="R3" s="569">
        <v>41000</v>
      </c>
      <c r="S3" s="569">
        <v>41030</v>
      </c>
      <c r="T3" s="569">
        <v>41061</v>
      </c>
      <c r="U3" s="569">
        <v>41091</v>
      </c>
      <c r="V3" s="569">
        <v>41122</v>
      </c>
      <c r="W3" s="569">
        <v>41153</v>
      </c>
      <c r="X3" s="569">
        <v>41183</v>
      </c>
      <c r="Y3" s="569">
        <v>41214</v>
      </c>
      <c r="Z3" s="569">
        <v>41244</v>
      </c>
    </row>
    <row r="4" spans="1:26" ht="15.6" customHeight="1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5.6" customHeight="1">
      <c r="A5" s="441" t="s">
        <v>651</v>
      </c>
      <c r="B5" s="570"/>
      <c r="C5" s="570"/>
      <c r="D5" s="570"/>
      <c r="E5" s="570"/>
      <c r="F5" s="570"/>
      <c r="G5" s="570"/>
      <c r="H5" s="570"/>
      <c r="I5" s="570"/>
      <c r="J5" s="570"/>
      <c r="K5" s="570"/>
      <c r="L5" s="570"/>
      <c r="M5" s="570"/>
      <c r="N5" s="570"/>
      <c r="O5" s="570">
        <f t="shared" ref="O5:O15" si="0">C5-B5</f>
        <v>0</v>
      </c>
      <c r="P5" s="570">
        <f t="shared" ref="P5:P15" si="1">D5-C5</f>
        <v>0</v>
      </c>
      <c r="Q5" s="570">
        <f t="shared" ref="Q5:Q15" si="2">E5-D5</f>
        <v>0</v>
      </c>
      <c r="R5" s="570">
        <f t="shared" ref="R5:R15" si="3">F5-E5</f>
        <v>0</v>
      </c>
      <c r="S5" s="570">
        <f t="shared" ref="S5:S15" si="4">G5-F5</f>
        <v>0</v>
      </c>
      <c r="T5" s="570">
        <f t="shared" ref="T5:T15" si="5">H5-G5</f>
        <v>0</v>
      </c>
      <c r="U5" s="570">
        <f t="shared" ref="U5:U15" si="6">I5-H5</f>
        <v>0</v>
      </c>
      <c r="V5" s="570">
        <f t="shared" ref="V5:V15" si="7">J5-I5</f>
        <v>0</v>
      </c>
      <c r="W5" s="570">
        <f t="shared" ref="W5:W15" si="8">K5-J5</f>
        <v>0</v>
      </c>
      <c r="X5" s="570">
        <f t="shared" ref="X5:X15" si="9">L5-K5</f>
        <v>0</v>
      </c>
      <c r="Y5" s="570">
        <f t="shared" ref="Y5:Y15" si="10">M5-L5</f>
        <v>0</v>
      </c>
      <c r="Z5" s="570">
        <f t="shared" ref="Z5:Z15" si="11">N5-M5</f>
        <v>0</v>
      </c>
    </row>
    <row r="6" spans="1:26" ht="15.6" customHeight="1">
      <c r="A6" s="589" t="s">
        <v>652</v>
      </c>
      <c r="B6" s="570"/>
      <c r="C6" s="570"/>
      <c r="D6" s="570"/>
      <c r="E6" s="120"/>
      <c r="F6" s="570"/>
      <c r="G6" s="570"/>
      <c r="H6" s="570"/>
      <c r="I6" s="570"/>
      <c r="J6" s="570"/>
      <c r="K6" s="570"/>
      <c r="L6" s="570"/>
      <c r="M6" s="570"/>
      <c r="N6" s="570"/>
      <c r="O6" s="570">
        <f t="shared" si="0"/>
        <v>0</v>
      </c>
      <c r="P6" s="570">
        <f t="shared" si="1"/>
        <v>0</v>
      </c>
      <c r="Q6" s="570">
        <f t="shared" si="2"/>
        <v>0</v>
      </c>
      <c r="R6" s="570">
        <f t="shared" si="3"/>
        <v>0</v>
      </c>
      <c r="S6" s="570">
        <f t="shared" si="4"/>
        <v>0</v>
      </c>
      <c r="T6" s="570">
        <f t="shared" si="5"/>
        <v>0</v>
      </c>
      <c r="U6" s="570">
        <f t="shared" si="6"/>
        <v>0</v>
      </c>
      <c r="V6" s="570">
        <f t="shared" si="7"/>
        <v>0</v>
      </c>
      <c r="W6" s="570">
        <f t="shared" si="8"/>
        <v>0</v>
      </c>
      <c r="X6" s="570">
        <f t="shared" si="9"/>
        <v>0</v>
      </c>
      <c r="Y6" s="570">
        <f t="shared" si="10"/>
        <v>0</v>
      </c>
      <c r="Z6" s="570">
        <f t="shared" si="11"/>
        <v>0</v>
      </c>
    </row>
    <row r="7" spans="1:26" ht="15.6" customHeight="1">
      <c r="A7" s="590"/>
      <c r="B7" s="570"/>
      <c r="C7" s="570"/>
      <c r="D7" s="570"/>
      <c r="E7" s="570"/>
      <c r="F7" s="570"/>
      <c r="G7" s="570"/>
      <c r="H7" s="570"/>
      <c r="I7" s="570"/>
      <c r="J7" s="570"/>
      <c r="K7" s="570"/>
      <c r="L7" s="570"/>
      <c r="M7" s="570"/>
      <c r="N7" s="570"/>
      <c r="O7" s="570">
        <f t="shared" si="0"/>
        <v>0</v>
      </c>
      <c r="P7" s="570">
        <f t="shared" si="1"/>
        <v>0</v>
      </c>
      <c r="Q7" s="570">
        <f t="shared" si="2"/>
        <v>0</v>
      </c>
      <c r="R7" s="570">
        <f t="shared" si="3"/>
        <v>0</v>
      </c>
      <c r="S7" s="570">
        <f t="shared" si="4"/>
        <v>0</v>
      </c>
      <c r="T7" s="570">
        <f t="shared" si="5"/>
        <v>0</v>
      </c>
      <c r="U7" s="570">
        <f t="shared" si="6"/>
        <v>0</v>
      </c>
      <c r="V7" s="570">
        <f t="shared" si="7"/>
        <v>0</v>
      </c>
      <c r="W7" s="570">
        <f t="shared" si="8"/>
        <v>0</v>
      </c>
      <c r="X7" s="570">
        <f t="shared" si="9"/>
        <v>0</v>
      </c>
      <c r="Y7" s="570">
        <f t="shared" si="10"/>
        <v>0</v>
      </c>
      <c r="Z7" s="570">
        <f t="shared" si="11"/>
        <v>0</v>
      </c>
    </row>
    <row r="8" spans="1:26" ht="15.6" customHeight="1">
      <c r="A8" s="590"/>
      <c r="B8" s="570"/>
      <c r="C8" s="570"/>
      <c r="D8" s="570"/>
      <c r="E8" s="570"/>
      <c r="F8" s="570"/>
      <c r="G8" s="570"/>
      <c r="H8" s="570"/>
      <c r="I8" s="570"/>
      <c r="J8" s="570"/>
      <c r="K8" s="570"/>
      <c r="L8" s="570"/>
      <c r="M8" s="570"/>
      <c r="N8" s="570"/>
      <c r="O8" s="570">
        <f t="shared" si="0"/>
        <v>0</v>
      </c>
      <c r="P8" s="570">
        <f t="shared" si="1"/>
        <v>0</v>
      </c>
      <c r="Q8" s="570">
        <f t="shared" si="2"/>
        <v>0</v>
      </c>
      <c r="R8" s="570">
        <f t="shared" si="3"/>
        <v>0</v>
      </c>
      <c r="S8" s="570">
        <f t="shared" si="4"/>
        <v>0</v>
      </c>
      <c r="T8" s="570">
        <f t="shared" si="5"/>
        <v>0</v>
      </c>
      <c r="U8" s="570">
        <f t="shared" si="6"/>
        <v>0</v>
      </c>
      <c r="V8" s="570">
        <f t="shared" si="7"/>
        <v>0</v>
      </c>
      <c r="W8" s="570">
        <f t="shared" si="8"/>
        <v>0</v>
      </c>
      <c r="X8" s="570">
        <f t="shared" si="9"/>
        <v>0</v>
      </c>
      <c r="Y8" s="570">
        <f t="shared" si="10"/>
        <v>0</v>
      </c>
      <c r="Z8" s="570">
        <f t="shared" si="11"/>
        <v>0</v>
      </c>
    </row>
    <row r="9" spans="1:26" ht="15.6" customHeight="1">
      <c r="A9" s="590"/>
      <c r="B9" s="570"/>
      <c r="C9" s="570"/>
      <c r="D9" s="570"/>
      <c r="E9" s="570"/>
      <c r="F9" s="570"/>
      <c r="G9" s="570"/>
      <c r="H9" s="570"/>
      <c r="I9" s="570"/>
      <c r="J9" s="570"/>
      <c r="K9" s="570"/>
      <c r="L9" s="570"/>
      <c r="M9" s="570"/>
      <c r="N9" s="570"/>
      <c r="O9" s="570">
        <f t="shared" si="0"/>
        <v>0</v>
      </c>
      <c r="P9" s="570">
        <f t="shared" si="1"/>
        <v>0</v>
      </c>
      <c r="Q9" s="570">
        <f t="shared" si="2"/>
        <v>0</v>
      </c>
      <c r="R9" s="570">
        <f t="shared" si="3"/>
        <v>0</v>
      </c>
      <c r="S9" s="570">
        <f t="shared" si="4"/>
        <v>0</v>
      </c>
      <c r="T9" s="570">
        <f t="shared" si="5"/>
        <v>0</v>
      </c>
      <c r="U9" s="570">
        <f t="shared" si="6"/>
        <v>0</v>
      </c>
      <c r="V9" s="570">
        <f t="shared" si="7"/>
        <v>0</v>
      </c>
      <c r="W9" s="570">
        <f t="shared" si="8"/>
        <v>0</v>
      </c>
      <c r="X9" s="570">
        <f t="shared" si="9"/>
        <v>0</v>
      </c>
      <c r="Y9" s="570">
        <f t="shared" si="10"/>
        <v>0</v>
      </c>
      <c r="Z9" s="570">
        <f t="shared" si="11"/>
        <v>0</v>
      </c>
    </row>
    <row r="10" spans="1:26" ht="15.6" customHeight="1">
      <c r="A10" s="591"/>
      <c r="B10" s="570"/>
      <c r="C10" s="570"/>
      <c r="D10" s="570"/>
      <c r="E10" s="570"/>
      <c r="F10" s="570"/>
      <c r="G10" s="570"/>
      <c r="H10" s="570"/>
      <c r="I10" s="570"/>
      <c r="J10" s="570"/>
      <c r="K10" s="570"/>
      <c r="L10" s="570"/>
      <c r="M10" s="570"/>
      <c r="N10" s="570"/>
      <c r="O10" s="570">
        <f t="shared" si="0"/>
        <v>0</v>
      </c>
      <c r="P10" s="570">
        <f t="shared" si="1"/>
        <v>0</v>
      </c>
      <c r="Q10" s="570">
        <f t="shared" si="2"/>
        <v>0</v>
      </c>
      <c r="R10" s="570">
        <f t="shared" si="3"/>
        <v>0</v>
      </c>
      <c r="S10" s="570">
        <f t="shared" si="4"/>
        <v>0</v>
      </c>
      <c r="T10" s="570">
        <f t="shared" si="5"/>
        <v>0</v>
      </c>
      <c r="U10" s="570">
        <f t="shared" si="6"/>
        <v>0</v>
      </c>
      <c r="V10" s="570">
        <f t="shared" si="7"/>
        <v>0</v>
      </c>
      <c r="W10" s="570">
        <f t="shared" si="8"/>
        <v>0</v>
      </c>
      <c r="X10" s="570">
        <f t="shared" si="9"/>
        <v>0</v>
      </c>
      <c r="Y10" s="570">
        <f t="shared" si="10"/>
        <v>0</v>
      </c>
      <c r="Z10" s="570">
        <f t="shared" si="11"/>
        <v>0</v>
      </c>
    </row>
    <row r="11" spans="1:26" ht="15.6" customHeight="1">
      <c r="A11" s="591"/>
      <c r="B11" s="570"/>
      <c r="C11" s="570"/>
      <c r="D11" s="570"/>
      <c r="E11" s="570"/>
      <c r="F11" s="570"/>
      <c r="G11" s="570"/>
      <c r="H11" s="570"/>
      <c r="I11" s="570"/>
      <c r="J11" s="570"/>
      <c r="K11" s="570"/>
      <c r="L11" s="570"/>
      <c r="M11" s="570"/>
      <c r="N11" s="570"/>
      <c r="O11" s="570">
        <f t="shared" si="0"/>
        <v>0</v>
      </c>
      <c r="P11" s="570">
        <f t="shared" si="1"/>
        <v>0</v>
      </c>
      <c r="Q11" s="570">
        <f t="shared" si="2"/>
        <v>0</v>
      </c>
      <c r="R11" s="570">
        <f t="shared" si="3"/>
        <v>0</v>
      </c>
      <c r="S11" s="570">
        <f t="shared" si="4"/>
        <v>0</v>
      </c>
      <c r="T11" s="570">
        <f t="shared" si="5"/>
        <v>0</v>
      </c>
      <c r="U11" s="570">
        <f t="shared" si="6"/>
        <v>0</v>
      </c>
      <c r="V11" s="570">
        <f t="shared" si="7"/>
        <v>0</v>
      </c>
      <c r="W11" s="570">
        <f t="shared" si="8"/>
        <v>0</v>
      </c>
      <c r="X11" s="570">
        <f t="shared" si="9"/>
        <v>0</v>
      </c>
      <c r="Y11" s="570">
        <f t="shared" si="10"/>
        <v>0</v>
      </c>
      <c r="Z11" s="570">
        <f t="shared" si="11"/>
        <v>0</v>
      </c>
    </row>
    <row r="12" spans="1:26" ht="15.6" customHeight="1">
      <c r="A12" s="591"/>
      <c r="B12" s="570"/>
      <c r="C12" s="570"/>
      <c r="D12" s="570"/>
      <c r="E12" s="570"/>
      <c r="F12" s="570"/>
      <c r="G12" s="570"/>
      <c r="H12" s="570"/>
      <c r="I12" s="570"/>
      <c r="J12" s="570"/>
      <c r="K12" s="570"/>
      <c r="L12" s="570"/>
      <c r="M12" s="570"/>
      <c r="N12" s="570"/>
      <c r="O12" s="570">
        <f t="shared" si="0"/>
        <v>0</v>
      </c>
      <c r="P12" s="570">
        <f t="shared" si="1"/>
        <v>0</v>
      </c>
      <c r="Q12" s="570">
        <f t="shared" si="2"/>
        <v>0</v>
      </c>
      <c r="R12" s="570">
        <f t="shared" si="3"/>
        <v>0</v>
      </c>
      <c r="S12" s="570">
        <f t="shared" si="4"/>
        <v>0</v>
      </c>
      <c r="T12" s="570">
        <f t="shared" si="5"/>
        <v>0</v>
      </c>
      <c r="U12" s="570">
        <f t="shared" si="6"/>
        <v>0</v>
      </c>
      <c r="V12" s="570">
        <f t="shared" si="7"/>
        <v>0</v>
      </c>
      <c r="W12" s="570">
        <f t="shared" si="8"/>
        <v>0</v>
      </c>
      <c r="X12" s="570">
        <f t="shared" si="9"/>
        <v>0</v>
      </c>
      <c r="Y12" s="570">
        <f t="shared" si="10"/>
        <v>0</v>
      </c>
      <c r="Z12" s="570">
        <f t="shared" si="11"/>
        <v>0</v>
      </c>
    </row>
    <row r="13" spans="1:26" ht="15.6" customHeight="1">
      <c r="A13" s="591"/>
      <c r="B13" s="570"/>
      <c r="C13" s="570"/>
      <c r="D13" s="570"/>
      <c r="E13" s="570"/>
      <c r="F13" s="570"/>
      <c r="G13" s="570"/>
      <c r="H13" s="570"/>
      <c r="I13" s="570"/>
      <c r="J13" s="570"/>
      <c r="K13" s="570"/>
      <c r="L13" s="570"/>
      <c r="M13" s="570"/>
      <c r="N13" s="570"/>
      <c r="O13" s="570">
        <f t="shared" si="0"/>
        <v>0</v>
      </c>
      <c r="P13" s="570">
        <f t="shared" si="1"/>
        <v>0</v>
      </c>
      <c r="Q13" s="570">
        <f t="shared" si="2"/>
        <v>0</v>
      </c>
      <c r="R13" s="570">
        <f t="shared" si="3"/>
        <v>0</v>
      </c>
      <c r="S13" s="570">
        <f t="shared" si="4"/>
        <v>0</v>
      </c>
      <c r="T13" s="570">
        <f t="shared" si="5"/>
        <v>0</v>
      </c>
      <c r="U13" s="570">
        <f t="shared" si="6"/>
        <v>0</v>
      </c>
      <c r="V13" s="570">
        <f t="shared" si="7"/>
        <v>0</v>
      </c>
      <c r="W13" s="570">
        <f t="shared" si="8"/>
        <v>0</v>
      </c>
      <c r="X13" s="570">
        <f t="shared" si="9"/>
        <v>0</v>
      </c>
      <c r="Y13" s="570">
        <f t="shared" si="10"/>
        <v>0</v>
      </c>
      <c r="Z13" s="570">
        <f t="shared" si="11"/>
        <v>0</v>
      </c>
    </row>
    <row r="14" spans="1:26" ht="15.6" customHeight="1">
      <c r="A14" s="591"/>
      <c r="B14" s="570"/>
      <c r="C14" s="570"/>
      <c r="D14" s="570"/>
      <c r="E14" s="570"/>
      <c r="F14" s="570"/>
      <c r="G14" s="570"/>
      <c r="H14" s="570"/>
      <c r="I14" s="570"/>
      <c r="J14" s="570"/>
      <c r="K14" s="570"/>
      <c r="L14" s="570"/>
      <c r="M14" s="570"/>
      <c r="N14" s="570"/>
      <c r="O14" s="570">
        <f t="shared" si="0"/>
        <v>0</v>
      </c>
      <c r="P14" s="570">
        <f t="shared" si="1"/>
        <v>0</v>
      </c>
      <c r="Q14" s="570">
        <f t="shared" si="2"/>
        <v>0</v>
      </c>
      <c r="R14" s="570">
        <f t="shared" si="3"/>
        <v>0</v>
      </c>
      <c r="S14" s="570">
        <f t="shared" si="4"/>
        <v>0</v>
      </c>
      <c r="T14" s="570">
        <f t="shared" si="5"/>
        <v>0</v>
      </c>
      <c r="U14" s="570">
        <f t="shared" si="6"/>
        <v>0</v>
      </c>
      <c r="V14" s="570">
        <f t="shared" si="7"/>
        <v>0</v>
      </c>
      <c r="W14" s="570">
        <f t="shared" si="8"/>
        <v>0</v>
      </c>
      <c r="X14" s="570">
        <f t="shared" si="9"/>
        <v>0</v>
      </c>
      <c r="Y14" s="570">
        <f t="shared" si="10"/>
        <v>0</v>
      </c>
      <c r="Z14" s="570">
        <f t="shared" si="11"/>
        <v>0</v>
      </c>
    </row>
    <row r="15" spans="1:26" ht="15.6" customHeight="1">
      <c r="A15" s="591"/>
      <c r="B15" s="570"/>
      <c r="C15" s="570"/>
      <c r="D15" s="570"/>
      <c r="E15" s="570"/>
      <c r="F15" s="570"/>
      <c r="G15" s="570"/>
      <c r="H15" s="570"/>
      <c r="I15" s="570"/>
      <c r="J15" s="570"/>
      <c r="K15" s="570"/>
      <c r="L15" s="570"/>
      <c r="M15" s="570"/>
      <c r="N15" s="570"/>
      <c r="O15" s="570">
        <f t="shared" si="0"/>
        <v>0</v>
      </c>
      <c r="P15" s="570">
        <f t="shared" si="1"/>
        <v>0</v>
      </c>
      <c r="Q15" s="570">
        <f t="shared" si="2"/>
        <v>0</v>
      </c>
      <c r="R15" s="570">
        <f t="shared" si="3"/>
        <v>0</v>
      </c>
      <c r="S15" s="570">
        <f t="shared" si="4"/>
        <v>0</v>
      </c>
      <c r="T15" s="570">
        <f t="shared" si="5"/>
        <v>0</v>
      </c>
      <c r="U15" s="570">
        <f t="shared" si="6"/>
        <v>0</v>
      </c>
      <c r="V15" s="570">
        <f t="shared" si="7"/>
        <v>0</v>
      </c>
      <c r="W15" s="570">
        <f t="shared" si="8"/>
        <v>0</v>
      </c>
      <c r="X15" s="570">
        <f t="shared" si="9"/>
        <v>0</v>
      </c>
      <c r="Y15" s="570">
        <f t="shared" si="10"/>
        <v>0</v>
      </c>
      <c r="Z15" s="570">
        <f t="shared" si="11"/>
        <v>0</v>
      </c>
    </row>
    <row r="16" spans="1:26" ht="15.6" customHeight="1">
      <c r="A16" s="591"/>
      <c r="B16" s="570"/>
      <c r="C16" s="570"/>
      <c r="D16" s="570"/>
      <c r="E16" s="570"/>
      <c r="F16" s="570"/>
      <c r="G16" s="570"/>
      <c r="H16" s="570"/>
      <c r="I16" s="570"/>
      <c r="J16" s="570"/>
      <c r="K16" s="570"/>
      <c r="L16" s="570"/>
      <c r="M16" s="570"/>
      <c r="N16" s="570"/>
      <c r="O16" s="570"/>
      <c r="P16" s="570"/>
      <c r="Q16" s="570"/>
      <c r="R16" s="570"/>
      <c r="S16" s="570"/>
      <c r="T16" s="570"/>
      <c r="U16" s="570"/>
      <c r="V16" s="570"/>
      <c r="W16" s="570"/>
      <c r="X16" s="570"/>
      <c r="Y16" s="570"/>
      <c r="Z16" s="570"/>
    </row>
    <row r="17" spans="1:26">
      <c r="A17" s="592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>
      <c r="A18" s="565"/>
      <c r="B18" s="573"/>
      <c r="C18" s="573"/>
      <c r="D18" s="573"/>
      <c r="E18" s="573"/>
      <c r="F18" s="573"/>
      <c r="G18" s="573"/>
      <c r="H18" s="573"/>
      <c r="I18" s="573"/>
      <c r="J18" s="573"/>
      <c r="K18" s="573"/>
      <c r="L18" s="573"/>
      <c r="M18" s="573"/>
      <c r="N18" s="573"/>
      <c r="O18" s="573">
        <f t="shared" ref="O18:Z18" si="12">O5+O13</f>
        <v>0</v>
      </c>
      <c r="P18" s="573">
        <f t="shared" si="12"/>
        <v>0</v>
      </c>
      <c r="Q18" s="573">
        <f t="shared" si="12"/>
        <v>0</v>
      </c>
      <c r="R18" s="573">
        <f t="shared" si="12"/>
        <v>0</v>
      </c>
      <c r="S18" s="573">
        <f t="shared" si="12"/>
        <v>0</v>
      </c>
      <c r="T18" s="573">
        <f t="shared" si="12"/>
        <v>0</v>
      </c>
      <c r="U18" s="573">
        <f t="shared" si="12"/>
        <v>0</v>
      </c>
      <c r="V18" s="573">
        <f t="shared" si="12"/>
        <v>0</v>
      </c>
      <c r="W18" s="573">
        <f t="shared" si="12"/>
        <v>0</v>
      </c>
      <c r="X18" s="573">
        <f t="shared" si="12"/>
        <v>0</v>
      </c>
      <c r="Y18" s="573">
        <f t="shared" si="12"/>
        <v>0</v>
      </c>
      <c r="Z18" s="573">
        <f t="shared" si="12"/>
        <v>0</v>
      </c>
    </row>
    <row r="19" spans="1:26">
      <c r="B19" s="574"/>
      <c r="C19" s="574"/>
      <c r="D19" s="574"/>
      <c r="E19" s="574"/>
      <c r="F19" s="574"/>
      <c r="G19" s="574"/>
      <c r="H19" s="574"/>
      <c r="I19" s="574"/>
      <c r="J19" s="574"/>
      <c r="K19" s="574"/>
      <c r="L19" s="574"/>
      <c r="M19" s="574"/>
      <c r="N19" s="574"/>
      <c r="O19" s="574"/>
      <c r="P19" s="574"/>
      <c r="Q19" s="574"/>
      <c r="R19" s="574"/>
      <c r="S19" s="574"/>
      <c r="T19" s="574"/>
      <c r="U19" s="574"/>
      <c r="V19" s="574"/>
      <c r="W19" s="574"/>
      <c r="X19" s="574"/>
      <c r="Y19" s="574"/>
      <c r="Z19" s="574"/>
    </row>
    <row r="20" spans="1:26">
      <c r="B20" s="570"/>
      <c r="C20" s="570"/>
      <c r="D20" s="570"/>
      <c r="E20" s="570"/>
      <c r="F20" s="570"/>
      <c r="G20" s="570"/>
      <c r="H20" s="570"/>
      <c r="I20" s="570"/>
      <c r="J20" s="570"/>
      <c r="K20" s="570"/>
      <c r="L20" s="570"/>
      <c r="M20" s="570"/>
      <c r="N20" s="570"/>
      <c r="O20" s="570">
        <f t="shared" ref="O20:O28" si="13">C20-B20</f>
        <v>0</v>
      </c>
      <c r="P20" s="570">
        <f t="shared" ref="P20:P28" si="14">D20-C20</f>
        <v>0</v>
      </c>
      <c r="Q20" s="570">
        <f t="shared" ref="Q20:Q28" si="15">E20-D20</f>
        <v>0</v>
      </c>
      <c r="R20" s="570">
        <f t="shared" ref="R20:R28" si="16">F20-E20</f>
        <v>0</v>
      </c>
      <c r="S20" s="570">
        <f t="shared" ref="S20:S28" si="17">G20-F20</f>
        <v>0</v>
      </c>
      <c r="T20" s="570">
        <f t="shared" ref="T20:T28" si="18">H20-G20</f>
        <v>0</v>
      </c>
      <c r="U20" s="570">
        <f t="shared" ref="U20:U28" si="19">I20-H20</f>
        <v>0</v>
      </c>
      <c r="V20" s="570">
        <f t="shared" ref="V20:V28" si="20">J20-I20</f>
        <v>0</v>
      </c>
      <c r="W20" s="570">
        <f t="shared" ref="W20:W28" si="21">K20-J20</f>
        <v>0</v>
      </c>
      <c r="X20" s="570">
        <f t="shared" ref="X20:X28" si="22">L20-K20</f>
        <v>0</v>
      </c>
      <c r="Y20" s="570">
        <f t="shared" ref="Y20:Y28" si="23">M20-L20</f>
        <v>0</v>
      </c>
      <c r="Z20" s="570">
        <f t="shared" ref="Z20:Z28" si="24">N20-M20</f>
        <v>0</v>
      </c>
    </row>
    <row r="21" spans="1:26">
      <c r="B21" s="570"/>
      <c r="C21" s="570"/>
      <c r="D21" s="570"/>
      <c r="E21" s="570"/>
      <c r="F21" s="570"/>
      <c r="G21" s="570"/>
      <c r="H21" s="570"/>
      <c r="I21" s="570"/>
      <c r="J21" s="570"/>
      <c r="K21" s="570"/>
      <c r="L21" s="570"/>
      <c r="M21" s="570"/>
      <c r="N21" s="570"/>
      <c r="O21" s="570">
        <f t="shared" si="13"/>
        <v>0</v>
      </c>
      <c r="P21" s="570">
        <f t="shared" si="14"/>
        <v>0</v>
      </c>
      <c r="Q21" s="570">
        <f t="shared" si="15"/>
        <v>0</v>
      </c>
      <c r="R21" s="570">
        <f t="shared" si="16"/>
        <v>0</v>
      </c>
      <c r="S21" s="570">
        <f t="shared" si="17"/>
        <v>0</v>
      </c>
      <c r="T21" s="570">
        <f t="shared" si="18"/>
        <v>0</v>
      </c>
      <c r="U21" s="570">
        <f t="shared" si="19"/>
        <v>0</v>
      </c>
      <c r="V21" s="570">
        <f t="shared" si="20"/>
        <v>0</v>
      </c>
      <c r="W21" s="570">
        <f t="shared" si="21"/>
        <v>0</v>
      </c>
      <c r="X21" s="570">
        <f t="shared" si="22"/>
        <v>0</v>
      </c>
      <c r="Y21" s="570">
        <f t="shared" si="23"/>
        <v>0</v>
      </c>
      <c r="Z21" s="570">
        <f t="shared" si="24"/>
        <v>0</v>
      </c>
    </row>
    <row r="22" spans="1:26">
      <c r="B22" s="570"/>
      <c r="C22" s="570"/>
      <c r="D22" s="570"/>
      <c r="E22" s="570"/>
      <c r="F22" s="570"/>
      <c r="G22" s="570"/>
      <c r="H22" s="570"/>
      <c r="I22" s="570"/>
      <c r="J22" s="570"/>
      <c r="K22" s="570"/>
      <c r="L22" s="570"/>
      <c r="M22" s="570"/>
      <c r="N22" s="570"/>
      <c r="O22" s="570">
        <f t="shared" si="13"/>
        <v>0</v>
      </c>
      <c r="P22" s="570">
        <f t="shared" si="14"/>
        <v>0</v>
      </c>
      <c r="Q22" s="570">
        <f t="shared" si="15"/>
        <v>0</v>
      </c>
      <c r="R22" s="570">
        <f t="shared" si="16"/>
        <v>0</v>
      </c>
      <c r="S22" s="570">
        <f t="shared" si="17"/>
        <v>0</v>
      </c>
      <c r="T22" s="570">
        <f t="shared" si="18"/>
        <v>0</v>
      </c>
      <c r="U22" s="570">
        <f t="shared" si="19"/>
        <v>0</v>
      </c>
      <c r="V22" s="570">
        <f t="shared" si="20"/>
        <v>0</v>
      </c>
      <c r="W22" s="570">
        <f t="shared" si="21"/>
        <v>0</v>
      </c>
      <c r="X22" s="570">
        <f t="shared" si="22"/>
        <v>0</v>
      </c>
      <c r="Y22" s="570">
        <f t="shared" si="23"/>
        <v>0</v>
      </c>
      <c r="Z22" s="570">
        <f t="shared" si="24"/>
        <v>0</v>
      </c>
    </row>
    <row r="23" spans="1:26">
      <c r="B23" s="570"/>
      <c r="C23" s="570"/>
      <c r="D23" s="570"/>
      <c r="E23" s="570"/>
      <c r="F23" s="570"/>
      <c r="G23" s="570"/>
      <c r="H23" s="570"/>
      <c r="I23" s="570"/>
      <c r="J23" s="570"/>
      <c r="K23" s="570"/>
      <c r="L23" s="570"/>
      <c r="M23" s="570"/>
      <c r="N23" s="570"/>
      <c r="O23" s="570">
        <f t="shared" si="13"/>
        <v>0</v>
      </c>
      <c r="P23" s="570">
        <f t="shared" si="14"/>
        <v>0</v>
      </c>
      <c r="Q23" s="570">
        <f t="shared" si="15"/>
        <v>0</v>
      </c>
      <c r="R23" s="570">
        <f t="shared" si="16"/>
        <v>0</v>
      </c>
      <c r="S23" s="570">
        <f t="shared" si="17"/>
        <v>0</v>
      </c>
      <c r="T23" s="570">
        <f t="shared" si="18"/>
        <v>0</v>
      </c>
      <c r="U23" s="570">
        <f t="shared" si="19"/>
        <v>0</v>
      </c>
      <c r="V23" s="570">
        <f t="shared" si="20"/>
        <v>0</v>
      </c>
      <c r="W23" s="570">
        <f t="shared" si="21"/>
        <v>0</v>
      </c>
      <c r="X23" s="570">
        <f t="shared" si="22"/>
        <v>0</v>
      </c>
      <c r="Y23" s="570">
        <f t="shared" si="23"/>
        <v>0</v>
      </c>
      <c r="Z23" s="570">
        <f t="shared" si="24"/>
        <v>0</v>
      </c>
    </row>
    <row r="24" spans="1:26">
      <c r="B24" s="570"/>
      <c r="C24" s="570"/>
      <c r="D24" s="570"/>
      <c r="E24" s="570"/>
      <c r="F24" s="570"/>
      <c r="G24" s="570"/>
      <c r="H24" s="570"/>
      <c r="I24" s="570"/>
      <c r="J24" s="570"/>
      <c r="K24" s="570"/>
      <c r="L24" s="570"/>
      <c r="M24" s="570"/>
      <c r="N24" s="570"/>
      <c r="O24" s="570">
        <f t="shared" si="13"/>
        <v>0</v>
      </c>
      <c r="P24" s="570">
        <f t="shared" si="14"/>
        <v>0</v>
      </c>
      <c r="Q24" s="570">
        <f t="shared" si="15"/>
        <v>0</v>
      </c>
      <c r="R24" s="570">
        <f t="shared" si="16"/>
        <v>0</v>
      </c>
      <c r="S24" s="570">
        <f t="shared" si="17"/>
        <v>0</v>
      </c>
      <c r="T24" s="570">
        <f t="shared" si="18"/>
        <v>0</v>
      </c>
      <c r="U24" s="570">
        <f t="shared" si="19"/>
        <v>0</v>
      </c>
      <c r="V24" s="570">
        <f t="shared" si="20"/>
        <v>0</v>
      </c>
      <c r="W24" s="570">
        <f t="shared" si="21"/>
        <v>0</v>
      </c>
      <c r="X24" s="570">
        <f t="shared" si="22"/>
        <v>0</v>
      </c>
      <c r="Y24" s="570">
        <f t="shared" si="23"/>
        <v>0</v>
      </c>
      <c r="Z24" s="570">
        <f t="shared" si="24"/>
        <v>0</v>
      </c>
    </row>
    <row r="25" spans="1:26">
      <c r="B25" s="570"/>
      <c r="C25" s="575"/>
      <c r="D25" s="570"/>
      <c r="E25" s="570"/>
      <c r="F25" s="570"/>
      <c r="G25" s="570"/>
      <c r="H25" s="570"/>
      <c r="I25" s="570"/>
      <c r="J25" s="570"/>
      <c r="K25" s="570"/>
      <c r="L25" s="570"/>
      <c r="M25" s="570"/>
      <c r="N25" s="570"/>
      <c r="O25" s="570">
        <f t="shared" si="13"/>
        <v>0</v>
      </c>
      <c r="P25" s="570">
        <f t="shared" si="14"/>
        <v>0</v>
      </c>
      <c r="Q25" s="570">
        <f t="shared" si="15"/>
        <v>0</v>
      </c>
      <c r="R25" s="570">
        <f t="shared" si="16"/>
        <v>0</v>
      </c>
      <c r="S25" s="570">
        <f t="shared" si="17"/>
        <v>0</v>
      </c>
      <c r="T25" s="570">
        <f t="shared" si="18"/>
        <v>0</v>
      </c>
      <c r="U25" s="570">
        <f t="shared" si="19"/>
        <v>0</v>
      </c>
      <c r="V25" s="570">
        <f t="shared" si="20"/>
        <v>0</v>
      </c>
      <c r="W25" s="570">
        <f t="shared" si="21"/>
        <v>0</v>
      </c>
      <c r="X25" s="570">
        <f t="shared" si="22"/>
        <v>0</v>
      </c>
      <c r="Y25" s="570">
        <f t="shared" si="23"/>
        <v>0</v>
      </c>
      <c r="Z25" s="570">
        <f t="shared" si="24"/>
        <v>0</v>
      </c>
    </row>
    <row r="26" spans="1:26">
      <c r="B26" s="570"/>
      <c r="C26" s="575"/>
      <c r="D26" s="570"/>
      <c r="E26" s="570"/>
      <c r="F26" s="570"/>
      <c r="G26" s="570"/>
      <c r="H26" s="570"/>
      <c r="I26" s="570"/>
      <c r="J26" s="570"/>
      <c r="K26" s="570"/>
      <c r="L26" s="570"/>
      <c r="M26" s="570"/>
      <c r="N26" s="570"/>
      <c r="O26" s="570">
        <f t="shared" si="13"/>
        <v>0</v>
      </c>
      <c r="P26" s="570">
        <f t="shared" si="14"/>
        <v>0</v>
      </c>
      <c r="Q26" s="570">
        <f t="shared" si="15"/>
        <v>0</v>
      </c>
      <c r="R26" s="570">
        <f t="shared" si="16"/>
        <v>0</v>
      </c>
      <c r="S26" s="570">
        <f t="shared" si="17"/>
        <v>0</v>
      </c>
      <c r="T26" s="570">
        <f t="shared" si="18"/>
        <v>0</v>
      </c>
      <c r="U26" s="570">
        <f t="shared" si="19"/>
        <v>0</v>
      </c>
      <c r="V26" s="570">
        <f t="shared" si="20"/>
        <v>0</v>
      </c>
      <c r="W26" s="570">
        <f t="shared" si="21"/>
        <v>0</v>
      </c>
      <c r="X26" s="570">
        <f t="shared" si="22"/>
        <v>0</v>
      </c>
      <c r="Y26" s="570">
        <f t="shared" si="23"/>
        <v>0</v>
      </c>
      <c r="Z26" s="570">
        <f t="shared" si="24"/>
        <v>0</v>
      </c>
    </row>
    <row r="27" spans="1:26">
      <c r="B27" s="570"/>
      <c r="C27" s="575"/>
      <c r="D27" s="575"/>
      <c r="E27" s="570"/>
      <c r="F27" s="570"/>
      <c r="G27" s="570"/>
      <c r="H27" s="570"/>
      <c r="I27" s="570"/>
      <c r="J27" s="570"/>
      <c r="K27" s="570"/>
      <c r="L27" s="570"/>
      <c r="M27" s="570"/>
      <c r="N27" s="570"/>
      <c r="O27" s="570">
        <f t="shared" si="13"/>
        <v>0</v>
      </c>
      <c r="P27" s="570">
        <f t="shared" si="14"/>
        <v>0</v>
      </c>
      <c r="Q27" s="570">
        <f t="shared" si="15"/>
        <v>0</v>
      </c>
      <c r="R27" s="570">
        <f t="shared" si="16"/>
        <v>0</v>
      </c>
      <c r="S27" s="570">
        <f t="shared" si="17"/>
        <v>0</v>
      </c>
      <c r="T27" s="570">
        <f t="shared" si="18"/>
        <v>0</v>
      </c>
      <c r="U27" s="570">
        <f t="shared" si="19"/>
        <v>0</v>
      </c>
      <c r="V27" s="570">
        <f t="shared" si="20"/>
        <v>0</v>
      </c>
      <c r="W27" s="570">
        <f t="shared" si="21"/>
        <v>0</v>
      </c>
      <c r="X27" s="570">
        <f t="shared" si="22"/>
        <v>0</v>
      </c>
      <c r="Y27" s="570">
        <f t="shared" si="23"/>
        <v>0</v>
      </c>
      <c r="Z27" s="570">
        <f t="shared" si="24"/>
        <v>0</v>
      </c>
    </row>
    <row r="28" spans="1:26">
      <c r="B28" s="570"/>
      <c r="C28" s="570"/>
      <c r="D28" s="570"/>
      <c r="E28" s="570"/>
      <c r="F28" s="570"/>
      <c r="G28" s="570"/>
      <c r="H28" s="570"/>
      <c r="I28" s="570"/>
      <c r="J28" s="570"/>
      <c r="K28" s="570"/>
      <c r="L28" s="570"/>
      <c r="M28" s="570"/>
      <c r="N28" s="570"/>
      <c r="O28" s="570">
        <f t="shared" si="13"/>
        <v>0</v>
      </c>
      <c r="P28" s="570">
        <f t="shared" si="14"/>
        <v>0</v>
      </c>
      <c r="Q28" s="570">
        <f t="shared" si="15"/>
        <v>0</v>
      </c>
      <c r="R28" s="570">
        <f t="shared" si="16"/>
        <v>0</v>
      </c>
      <c r="S28" s="570">
        <f t="shared" si="17"/>
        <v>0</v>
      </c>
      <c r="T28" s="570">
        <f t="shared" si="18"/>
        <v>0</v>
      </c>
      <c r="U28" s="570">
        <f t="shared" si="19"/>
        <v>0</v>
      </c>
      <c r="V28" s="570">
        <f t="shared" si="20"/>
        <v>0</v>
      </c>
      <c r="W28" s="570">
        <f t="shared" si="21"/>
        <v>0</v>
      </c>
      <c r="X28" s="570">
        <f t="shared" si="22"/>
        <v>0</v>
      </c>
      <c r="Y28" s="570">
        <f t="shared" si="23"/>
        <v>0</v>
      </c>
      <c r="Z28" s="570">
        <f t="shared" si="24"/>
        <v>0</v>
      </c>
    </row>
    <row r="29" spans="1:26">
      <c r="B29" s="576"/>
      <c r="C29" s="576"/>
      <c r="D29" s="576"/>
      <c r="E29" s="576"/>
      <c r="F29" s="576"/>
      <c r="G29" s="576"/>
      <c r="H29" s="576"/>
      <c r="I29" s="576"/>
      <c r="J29" s="576"/>
      <c r="K29" s="576"/>
      <c r="L29" s="576"/>
      <c r="M29" s="576"/>
      <c r="N29" s="576"/>
      <c r="O29" s="576"/>
      <c r="P29" s="576"/>
      <c r="Q29" s="576"/>
      <c r="R29" s="576"/>
      <c r="S29" s="576"/>
      <c r="T29" s="576"/>
      <c r="U29" s="576"/>
      <c r="V29" s="576"/>
      <c r="W29" s="576"/>
      <c r="X29" s="576"/>
      <c r="Y29" s="576"/>
      <c r="Z29" s="576"/>
    </row>
    <row r="30" spans="1:26">
      <c r="A30" s="565" t="s">
        <v>650</v>
      </c>
      <c r="B30" s="573">
        <f>SUM(B23:B28)</f>
        <v>0</v>
      </c>
      <c r="C30" s="573">
        <f t="shared" ref="C30:N30" si="25">SUM(C6:C29)</f>
        <v>0</v>
      </c>
      <c r="D30" s="573">
        <f t="shared" si="25"/>
        <v>0</v>
      </c>
      <c r="E30" s="573">
        <f t="shared" si="25"/>
        <v>0</v>
      </c>
      <c r="F30" s="573">
        <f t="shared" si="25"/>
        <v>0</v>
      </c>
      <c r="G30" s="573">
        <f t="shared" si="25"/>
        <v>0</v>
      </c>
      <c r="H30" s="573">
        <f t="shared" si="25"/>
        <v>0</v>
      </c>
      <c r="I30" s="573">
        <f t="shared" si="25"/>
        <v>0</v>
      </c>
      <c r="J30" s="573">
        <f t="shared" si="25"/>
        <v>0</v>
      </c>
      <c r="K30" s="573">
        <f t="shared" si="25"/>
        <v>0</v>
      </c>
      <c r="L30" s="573">
        <f t="shared" si="25"/>
        <v>0</v>
      </c>
      <c r="M30" s="573">
        <f t="shared" si="25"/>
        <v>0</v>
      </c>
      <c r="N30" s="573">
        <f t="shared" si="25"/>
        <v>0</v>
      </c>
      <c r="O30" s="573">
        <f t="shared" ref="O30:Z30" si="26">SUM(O23:O28)</f>
        <v>0</v>
      </c>
      <c r="P30" s="573">
        <f t="shared" si="26"/>
        <v>0</v>
      </c>
      <c r="Q30" s="573">
        <f t="shared" si="26"/>
        <v>0</v>
      </c>
      <c r="R30" s="573">
        <f t="shared" si="26"/>
        <v>0</v>
      </c>
      <c r="S30" s="573">
        <f t="shared" si="26"/>
        <v>0</v>
      </c>
      <c r="T30" s="573">
        <f t="shared" si="26"/>
        <v>0</v>
      </c>
      <c r="U30" s="573">
        <f t="shared" si="26"/>
        <v>0</v>
      </c>
      <c r="V30" s="573">
        <f t="shared" si="26"/>
        <v>0</v>
      </c>
      <c r="W30" s="573">
        <f t="shared" si="26"/>
        <v>0</v>
      </c>
      <c r="X30" s="573">
        <f t="shared" si="26"/>
        <v>0</v>
      </c>
      <c r="Y30" s="573">
        <f t="shared" si="26"/>
        <v>0</v>
      </c>
      <c r="Z30" s="573">
        <f t="shared" si="26"/>
        <v>0</v>
      </c>
    </row>
    <row r="31" spans="1:26">
      <c r="A31" s="565"/>
      <c r="B31" s="573">
        <f>+B30-B18</f>
        <v>0</v>
      </c>
      <c r="C31" s="573"/>
      <c r="D31" s="573"/>
      <c r="E31" s="573"/>
      <c r="F31" s="573"/>
      <c r="G31" s="573"/>
      <c r="H31" s="573"/>
      <c r="I31" s="573"/>
      <c r="J31" s="573"/>
      <c r="K31" s="573"/>
      <c r="L31" s="573"/>
      <c r="M31" s="573"/>
      <c r="N31" s="573"/>
      <c r="O31" s="573">
        <f t="shared" ref="O31:Z31" si="27">+O30-O18</f>
        <v>0</v>
      </c>
      <c r="P31" s="573">
        <f t="shared" si="27"/>
        <v>0</v>
      </c>
      <c r="Q31" s="573">
        <f t="shared" si="27"/>
        <v>0</v>
      </c>
      <c r="R31" s="573">
        <f t="shared" si="27"/>
        <v>0</v>
      </c>
      <c r="S31" s="573">
        <f t="shared" si="27"/>
        <v>0</v>
      </c>
      <c r="T31" s="573">
        <f t="shared" si="27"/>
        <v>0</v>
      </c>
      <c r="U31" s="573">
        <f t="shared" si="27"/>
        <v>0</v>
      </c>
      <c r="V31" s="573">
        <f t="shared" si="27"/>
        <v>0</v>
      </c>
      <c r="W31" s="573">
        <f t="shared" si="27"/>
        <v>0</v>
      </c>
      <c r="X31" s="573">
        <f t="shared" si="27"/>
        <v>0</v>
      </c>
      <c r="Y31" s="573">
        <f t="shared" si="27"/>
        <v>0</v>
      </c>
      <c r="Z31" s="573">
        <f t="shared" si="27"/>
        <v>0</v>
      </c>
    </row>
    <row r="35" spans="4:5">
      <c r="D35" s="575"/>
      <c r="E35" s="575"/>
    </row>
  </sheetData>
  <phoneticPr fontId="0" type="noConversion"/>
  <pageMargins left="0.75" right="0.75" top="1" bottom="1" header="0.4921259845" footer="0.4921259845"/>
  <pageSetup paperSize="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1"/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2"/>
  <dimension ref="A2:R75"/>
  <sheetViews>
    <sheetView topLeftCell="B1" workbookViewId="0">
      <pane xSplit="1" ySplit="3" topLeftCell="C45" activePane="bottomRight" state="frozen"/>
      <selection activeCell="B1" sqref="B1"/>
      <selection pane="topRight" activeCell="C1" sqref="C1"/>
      <selection pane="bottomLeft" activeCell="B4" sqref="B4"/>
      <selection pane="bottomRight" activeCell="E68" sqref="E68"/>
    </sheetView>
  </sheetViews>
  <sheetFormatPr defaultRowHeight="12.75"/>
  <cols>
    <col min="1" max="1" width="9.140625" customWidth="1"/>
    <col min="2" max="2" width="54.28515625" customWidth="1"/>
    <col min="3" max="3" width="12.7109375" customWidth="1"/>
    <col min="4" max="4" width="12" customWidth="1"/>
    <col min="5" max="5" width="12.42578125" customWidth="1"/>
    <col min="6" max="6" width="12.5703125" customWidth="1"/>
    <col min="7" max="7" width="13.140625" customWidth="1"/>
    <col min="8" max="8" width="13" customWidth="1"/>
    <col min="9" max="9" width="12.5703125" customWidth="1"/>
    <col min="10" max="10" width="12.7109375" customWidth="1"/>
    <col min="11" max="11" width="13.28515625" customWidth="1"/>
    <col min="12" max="12" width="12.42578125" customWidth="1"/>
    <col min="13" max="13" width="14.85546875" customWidth="1"/>
    <col min="14" max="14" width="12.7109375" customWidth="1"/>
    <col min="15" max="15" width="12.140625" customWidth="1"/>
    <col min="16" max="16" width="14.5703125" customWidth="1"/>
    <col min="17" max="17" width="15.7109375" customWidth="1"/>
    <col min="18" max="18" width="13.42578125" customWidth="1"/>
  </cols>
  <sheetData>
    <row r="2" spans="1:18">
      <c r="R2" s="861"/>
    </row>
    <row r="3" spans="1:18" ht="13.5" thickBot="1">
      <c r="R3" s="861"/>
    </row>
    <row r="4" spans="1:18" ht="15.75">
      <c r="A4" s="1218"/>
      <c r="B4" s="1337" t="s">
        <v>2272</v>
      </c>
      <c r="C4" s="1218"/>
      <c r="D4" s="1218"/>
      <c r="E4" s="1324">
        <v>41275</v>
      </c>
      <c r="F4" s="1324">
        <v>41306</v>
      </c>
      <c r="G4" s="1324">
        <v>41334</v>
      </c>
      <c r="H4" s="1324">
        <v>41365</v>
      </c>
      <c r="I4" s="1324">
        <v>41395</v>
      </c>
      <c r="J4" s="1324">
        <v>41426</v>
      </c>
      <c r="K4" s="1324">
        <v>41456</v>
      </c>
      <c r="L4" s="1324">
        <v>41487</v>
      </c>
      <c r="M4" s="1324">
        <v>41518</v>
      </c>
      <c r="N4" s="1324">
        <v>41548</v>
      </c>
      <c r="O4" s="1324">
        <v>41579</v>
      </c>
      <c r="P4" s="1324">
        <v>41609</v>
      </c>
      <c r="Q4" s="1368" t="s">
        <v>208</v>
      </c>
    </row>
    <row r="5" spans="1:18" ht="15.75">
      <c r="A5" s="1219">
        <v>1</v>
      </c>
      <c r="B5" s="1338" t="s">
        <v>2699</v>
      </c>
      <c r="C5" s="1314"/>
      <c r="D5" s="1314"/>
      <c r="E5" s="1325">
        <f t="shared" ref="E5:P5" si="0">E6+E39+E49+E59</f>
        <v>5590621.3829999994</v>
      </c>
      <c r="F5" s="1325">
        <f t="shared" si="0"/>
        <v>7783747.5520000001</v>
      </c>
      <c r="G5" s="1325">
        <f t="shared" si="0"/>
        <v>18210475.594000001</v>
      </c>
      <c r="H5" s="1325">
        <f t="shared" si="0"/>
        <v>5427765.0270000007</v>
      </c>
      <c r="I5" s="1325">
        <f t="shared" si="0"/>
        <v>8350191.4540000008</v>
      </c>
      <c r="J5" s="1325">
        <f t="shared" si="0"/>
        <v>20491999.910999998</v>
      </c>
      <c r="K5" s="1325">
        <f t="shared" si="0"/>
        <v>12145274.793000001</v>
      </c>
      <c r="L5" s="1325">
        <f t="shared" si="0"/>
        <v>7367686.6000399999</v>
      </c>
      <c r="M5" s="1325">
        <f t="shared" si="0"/>
        <v>12061412.563999997</v>
      </c>
      <c r="N5" s="1325">
        <f t="shared" si="0"/>
        <v>14013526.866999999</v>
      </c>
      <c r="O5" s="1325">
        <f t="shared" si="0"/>
        <v>6669756.8940000003</v>
      </c>
      <c r="P5" s="1325">
        <f t="shared" si="0"/>
        <v>11841544.390000001</v>
      </c>
      <c r="Q5" s="1369">
        <f>SUM(E5:P5)</f>
        <v>129954003.02903999</v>
      </c>
      <c r="R5" s="10">
        <f>Q6+Q59</f>
        <v>105589426.13903999</v>
      </c>
    </row>
    <row r="6" spans="1:18" ht="15.75">
      <c r="A6" s="1219" t="s">
        <v>404</v>
      </c>
      <c r="B6" s="1338" t="s">
        <v>2700</v>
      </c>
      <c r="C6" s="1314"/>
      <c r="D6" s="1314"/>
      <c r="E6" s="1325">
        <f t="shared" ref="E6:P6" si="1">E7+E11+E12+E19+E31+E38</f>
        <v>4703236.5889999997</v>
      </c>
      <c r="F6" s="1325">
        <f t="shared" si="1"/>
        <v>5310034.0120000001</v>
      </c>
      <c r="G6" s="1325">
        <f t="shared" si="1"/>
        <v>5789015.3990000002</v>
      </c>
      <c r="H6" s="1325">
        <f t="shared" si="1"/>
        <v>4886952.5250000004</v>
      </c>
      <c r="I6" s="1325">
        <f t="shared" si="1"/>
        <v>7444374.3550000004</v>
      </c>
      <c r="J6" s="1325">
        <f t="shared" si="1"/>
        <v>12840067.868999999</v>
      </c>
      <c r="K6" s="1325">
        <f t="shared" si="1"/>
        <v>10528724.684</v>
      </c>
      <c r="L6" s="1325">
        <f t="shared" si="1"/>
        <v>6543415.28804</v>
      </c>
      <c r="M6" s="1325">
        <f t="shared" si="1"/>
        <v>5516094.5749999993</v>
      </c>
      <c r="N6" s="1325">
        <f t="shared" si="1"/>
        <v>5919596.7799999993</v>
      </c>
      <c r="O6" s="1325">
        <f t="shared" si="1"/>
        <v>4299482.4110000003</v>
      </c>
      <c r="P6" s="1325">
        <f t="shared" si="1"/>
        <v>5335644.8870000001</v>
      </c>
      <c r="Q6" s="1369">
        <f t="shared" ref="Q6:Q69" si="2">SUM(E6:P6)</f>
        <v>79116639.374039993</v>
      </c>
      <c r="R6" s="1375" t="s">
        <v>2753</v>
      </c>
    </row>
    <row r="7" spans="1:18" ht="24.75" customHeight="1">
      <c r="A7" s="1220" t="s">
        <v>407</v>
      </c>
      <c r="B7" s="1339" t="s">
        <v>2701</v>
      </c>
      <c r="C7" s="1315"/>
      <c r="D7" s="1315"/>
      <c r="E7" s="1326">
        <f t="shared" ref="E7:P7" si="3">SUM(E8:E10)</f>
        <v>1344267.8020000001</v>
      </c>
      <c r="F7" s="1326">
        <f t="shared" si="3"/>
        <v>1313791.6870000002</v>
      </c>
      <c r="G7" s="1326">
        <f t="shared" si="3"/>
        <v>2070155.16</v>
      </c>
      <c r="H7" s="1326">
        <f t="shared" si="3"/>
        <v>1503870.3</v>
      </c>
      <c r="I7" s="1326">
        <f t="shared" si="3"/>
        <v>2468355.4010000001</v>
      </c>
      <c r="J7" s="1326">
        <f t="shared" si="3"/>
        <v>6267048.8959999997</v>
      </c>
      <c r="K7" s="1326">
        <f t="shared" si="3"/>
        <v>4359957.3829999994</v>
      </c>
      <c r="L7" s="1326">
        <f t="shared" si="3"/>
        <v>2119342.1708</v>
      </c>
      <c r="M7" s="1326">
        <f t="shared" si="3"/>
        <v>1623095.1890000002</v>
      </c>
      <c r="N7" s="1326">
        <f t="shared" si="3"/>
        <v>1512994.64</v>
      </c>
      <c r="O7" s="1326">
        <f t="shared" si="3"/>
        <v>1128114.8319999999</v>
      </c>
      <c r="P7" s="1326">
        <f t="shared" si="3"/>
        <v>1671288.828</v>
      </c>
      <c r="Q7" s="1369">
        <f t="shared" si="2"/>
        <v>27382282.288800001</v>
      </c>
    </row>
    <row r="8" spans="1:18" ht="15.75">
      <c r="A8" s="1221" t="s">
        <v>410</v>
      </c>
      <c r="B8" s="1340" t="s">
        <v>2273</v>
      </c>
      <c r="C8" s="1316"/>
      <c r="D8" s="1316"/>
      <c r="E8" s="1327">
        <f>'Receitas (mensais)'!E20</f>
        <v>812073.90500000003</v>
      </c>
      <c r="F8" s="1327">
        <f>'Receitas (mensais)'!F20</f>
        <v>906980.625</v>
      </c>
      <c r="G8" s="1327">
        <f>'Receitas (mensais)'!G20</f>
        <v>597885.28200000001</v>
      </c>
      <c r="H8" s="1327">
        <f>'Receitas (mensais)'!H20</f>
        <v>797661.41399999999</v>
      </c>
      <c r="I8" s="1327">
        <f>'Receitas (mensais)'!I20</f>
        <v>494283.02499999991</v>
      </c>
      <c r="J8" s="1327">
        <f>'Receitas (mensais)'!J20</f>
        <v>598025.69700000004</v>
      </c>
      <c r="K8" s="1327">
        <f>'Receitas (mensais)'!K20</f>
        <v>787618.57999999984</v>
      </c>
      <c r="L8" s="1327">
        <f>'Receitas (mensais)'!L20</f>
        <v>701582.76980000001</v>
      </c>
      <c r="M8" s="1327">
        <f>'Receitas (mensais)'!M20</f>
        <v>662998.18599999999</v>
      </c>
      <c r="N8" s="1327">
        <f>'Receitas (mensais)'!N20</f>
        <v>938066.00099999993</v>
      </c>
      <c r="O8" s="1327">
        <f>'Receitas (mensais)'!O20</f>
        <v>718050.99699999997</v>
      </c>
      <c r="P8" s="1327">
        <f>'Receitas (mensais)'!P20</f>
        <v>597660.80599999998</v>
      </c>
      <c r="Q8" s="1367">
        <f t="shared" si="2"/>
        <v>8612887.2877999991</v>
      </c>
    </row>
    <row r="9" spans="1:18" ht="15.75">
      <c r="A9" s="1221" t="s">
        <v>414</v>
      </c>
      <c r="B9" s="1340" t="s">
        <v>2274</v>
      </c>
      <c r="C9" s="1316"/>
      <c r="D9" s="1316"/>
      <c r="E9" s="1327">
        <f>'Receitas (mensais)'!E16</f>
        <v>464452.783</v>
      </c>
      <c r="F9" s="1327">
        <f>'Receitas (mensais)'!F16</f>
        <v>362818.91000000003</v>
      </c>
      <c r="G9" s="1327">
        <f>'Receitas (mensais)'!G16</f>
        <v>1405719.2029999997</v>
      </c>
      <c r="H9" s="1327">
        <f>'Receitas (mensais)'!H16</f>
        <v>676775.44499999995</v>
      </c>
      <c r="I9" s="1327">
        <f>'Receitas (mensais)'!I16</f>
        <v>1369320.4680000001</v>
      </c>
      <c r="J9" s="1327">
        <f>'Receitas (mensais)'!J16</f>
        <v>3362646.9739999999</v>
      </c>
      <c r="K9" s="1327">
        <f>'Receitas (mensais)'!K16</f>
        <v>2014838.6740000001</v>
      </c>
      <c r="L9" s="1327">
        <f>'Receitas (mensais)'!L16</f>
        <v>863820.38100000005</v>
      </c>
      <c r="M9" s="1327">
        <f>'Receitas (mensais)'!M16</f>
        <v>648798.25800000003</v>
      </c>
      <c r="N9" s="1327">
        <f>'Receitas (mensais)'!N16</f>
        <v>550359.94200000004</v>
      </c>
      <c r="O9" s="1327">
        <f>'Receitas (mensais)'!O16</f>
        <v>395014.022</v>
      </c>
      <c r="P9" s="1327">
        <f>'Receitas (mensais)'!P16</f>
        <v>1066782.058</v>
      </c>
      <c r="Q9" s="1367">
        <f t="shared" si="2"/>
        <v>13181347.117999999</v>
      </c>
    </row>
    <row r="10" spans="1:18" ht="15.75">
      <c r="A10" s="1221" t="s">
        <v>417</v>
      </c>
      <c r="B10" s="1340" t="s">
        <v>2275</v>
      </c>
      <c r="C10" s="1316"/>
      <c r="D10" s="1316"/>
      <c r="E10" s="1327">
        <f>'Receitas (mensais)'!E17+'Receitas (mensais)'!E23+'Receitas (mensais)'!E24</f>
        <v>67741.114000000001</v>
      </c>
      <c r="F10" s="1327">
        <f>'Receitas (mensais)'!F17+'Receitas (mensais)'!F23+'Receitas (mensais)'!F24</f>
        <v>43992.152000000002</v>
      </c>
      <c r="G10" s="1327">
        <f>'Receitas (mensais)'!G17+'Receitas (mensais)'!G23+'Receitas (mensais)'!G24</f>
        <v>66550.675000000003</v>
      </c>
      <c r="H10" s="1327">
        <f>'Receitas (mensais)'!H17+'Receitas (mensais)'!H23+'Receitas (mensais)'!H24</f>
        <v>29433.440999999999</v>
      </c>
      <c r="I10" s="1327">
        <f>'Receitas (mensais)'!I17+'Receitas (mensais)'!I23+'Receitas (mensais)'!I24</f>
        <v>604751.90800000005</v>
      </c>
      <c r="J10" s="1327">
        <f>'Receitas (mensais)'!J17+'Receitas (mensais)'!J23+'Receitas (mensais)'!J24</f>
        <v>2306376.2250000001</v>
      </c>
      <c r="K10" s="1327">
        <f>'Receitas (mensais)'!K17+'Receitas (mensais)'!K23+'Receitas (mensais)'!K24</f>
        <v>1557500.129</v>
      </c>
      <c r="L10" s="1327">
        <f>'Receitas (mensais)'!L17+'Receitas (mensais)'!L23+'Receitas (mensais)'!L24</f>
        <v>553939.02</v>
      </c>
      <c r="M10" s="1327">
        <f>'Receitas (mensais)'!M17+'Receitas (mensais)'!M23+'Receitas (mensais)'!M24</f>
        <v>311298.745</v>
      </c>
      <c r="N10" s="1327">
        <f>'Receitas (mensais)'!N17+'Receitas (mensais)'!N23+'Receitas (mensais)'!N24</f>
        <v>24568.697</v>
      </c>
      <c r="O10" s="1327">
        <f>'Receitas (mensais)'!O17+'Receitas (mensais)'!O23+'Receitas (mensais)'!O24</f>
        <v>15049.813000000002</v>
      </c>
      <c r="P10" s="1327">
        <f>'Receitas (mensais)'!P17+'Receitas (mensais)'!P23+'Receitas (mensais)'!P24</f>
        <v>6845.9640000000009</v>
      </c>
      <c r="Q10" s="1367">
        <f t="shared" si="2"/>
        <v>5588047.8830000004</v>
      </c>
    </row>
    <row r="11" spans="1:18" ht="15.75">
      <c r="A11" s="1223" t="s">
        <v>426</v>
      </c>
      <c r="B11" s="1341" t="s">
        <v>2702</v>
      </c>
      <c r="C11" s="1317"/>
      <c r="D11" s="1317"/>
      <c r="E11" s="1327"/>
      <c r="F11" s="1327"/>
      <c r="G11" s="1327"/>
      <c r="H11" s="1327"/>
      <c r="I11" s="1327"/>
      <c r="J11" s="1327"/>
      <c r="K11" s="1327"/>
      <c r="L11" s="1327"/>
      <c r="M11" s="1327"/>
      <c r="N11" s="1327"/>
      <c r="O11" s="1327"/>
      <c r="P11" s="1327"/>
      <c r="Q11" s="1367">
        <f t="shared" si="2"/>
        <v>0</v>
      </c>
    </row>
    <row r="12" spans="1:18" ht="15.75">
      <c r="A12" s="1223" t="s">
        <v>2276</v>
      </c>
      <c r="B12" s="1341" t="s">
        <v>2703</v>
      </c>
      <c r="C12" s="1317"/>
      <c r="D12" s="1317"/>
      <c r="E12" s="1327">
        <f t="shared" ref="E12:P12" si="4">SUM(E13:E18)</f>
        <v>82364.709999999992</v>
      </c>
      <c r="F12" s="1327">
        <f t="shared" si="4"/>
        <v>65523.61</v>
      </c>
      <c r="G12" s="1327">
        <f t="shared" si="4"/>
        <v>35729.979999999996</v>
      </c>
      <c r="H12" s="1327">
        <f t="shared" si="4"/>
        <v>42036.812999999995</v>
      </c>
      <c r="I12" s="1327">
        <f t="shared" si="4"/>
        <v>30662.643</v>
      </c>
      <c r="J12" s="1327">
        <f t="shared" si="4"/>
        <v>128962.63400000001</v>
      </c>
      <c r="K12" s="1327">
        <f t="shared" si="4"/>
        <v>64894.087</v>
      </c>
      <c r="L12" s="1327">
        <f t="shared" si="4"/>
        <v>20458.822</v>
      </c>
      <c r="M12" s="1327">
        <f t="shared" si="4"/>
        <v>12161.083999999999</v>
      </c>
      <c r="N12" s="1327">
        <f t="shared" si="4"/>
        <v>168228.14799999999</v>
      </c>
      <c r="O12" s="1327">
        <f t="shared" si="4"/>
        <v>17661.347000000002</v>
      </c>
      <c r="P12" s="1327">
        <f t="shared" si="4"/>
        <v>25387.755999999994</v>
      </c>
      <c r="Q12" s="1369">
        <f t="shared" si="2"/>
        <v>694071.63399999985</v>
      </c>
    </row>
    <row r="13" spans="1:18" ht="15.75">
      <c r="A13" s="1221" t="s">
        <v>2277</v>
      </c>
      <c r="B13" s="1340" t="s">
        <v>2278</v>
      </c>
      <c r="C13" s="1316"/>
      <c r="D13" s="1316"/>
      <c r="E13" s="1327"/>
      <c r="F13" s="1327"/>
      <c r="G13" s="1327"/>
      <c r="H13" s="1327"/>
      <c r="I13" s="1327"/>
      <c r="J13" s="1327"/>
      <c r="K13" s="1327"/>
      <c r="L13" s="1327"/>
      <c r="M13" s="1327"/>
      <c r="N13" s="1327"/>
      <c r="O13" s="1327"/>
      <c r="P13" s="1327"/>
      <c r="Q13" s="1367">
        <f t="shared" si="2"/>
        <v>0</v>
      </c>
    </row>
    <row r="14" spans="1:18" ht="15.75">
      <c r="A14" s="1221" t="s">
        <v>2279</v>
      </c>
      <c r="B14" s="1340" t="s">
        <v>2280</v>
      </c>
      <c r="C14" s="1316"/>
      <c r="D14" s="1316"/>
      <c r="E14" s="1327"/>
      <c r="F14" s="1327"/>
      <c r="G14" s="1327"/>
      <c r="H14" s="1327"/>
      <c r="I14" s="1327"/>
      <c r="J14" s="1327"/>
      <c r="K14" s="1327"/>
      <c r="L14" s="1327"/>
      <c r="M14" s="1327"/>
      <c r="N14" s="1327"/>
      <c r="O14" s="1327"/>
      <c r="P14" s="1327"/>
      <c r="Q14" s="1367">
        <f t="shared" si="2"/>
        <v>0</v>
      </c>
    </row>
    <row r="15" spans="1:18" ht="32.25" customHeight="1">
      <c r="A15" s="1224" t="s">
        <v>2281</v>
      </c>
      <c r="B15" s="1342" t="s">
        <v>2282</v>
      </c>
      <c r="C15" s="1318"/>
      <c r="D15" s="1318"/>
      <c r="E15" s="1327">
        <f>'Receitas (mensais)'!E32</f>
        <v>39686.868999999999</v>
      </c>
      <c r="F15" s="1327">
        <f>'Receitas (mensais)'!F32</f>
        <v>14623.688</v>
      </c>
      <c r="G15" s="1327">
        <f>'Receitas (mensais)'!G32</f>
        <v>14221.947</v>
      </c>
      <c r="H15" s="1327">
        <f>'Receitas (mensais)'!H32</f>
        <v>31968.258999999998</v>
      </c>
      <c r="I15" s="1327">
        <f>'Receitas (mensais)'!I32</f>
        <v>5449.6790000000001</v>
      </c>
      <c r="J15" s="1327">
        <f>'Receitas (mensais)'!J32</f>
        <v>9439.6400000000012</v>
      </c>
      <c r="K15" s="1327">
        <f>'Receitas (mensais)'!K32</f>
        <v>13185.483</v>
      </c>
      <c r="L15" s="1327">
        <f>'Receitas (mensais)'!L32</f>
        <v>6101.3669999999993</v>
      </c>
      <c r="M15" s="1327">
        <f>'Receitas (mensais)'!M32</f>
        <v>2862.7919999999999</v>
      </c>
      <c r="N15" s="1327">
        <f>'Receitas (mensais)'!N32</f>
        <v>8928.6209999999992</v>
      </c>
      <c r="O15" s="1327">
        <f>'Receitas (mensais)'!O32</f>
        <v>4606.643</v>
      </c>
      <c r="P15" s="1327">
        <f>'Receitas (mensais)'!P32</f>
        <v>6360.2509999999984</v>
      </c>
      <c r="Q15" s="1367">
        <f t="shared" si="2"/>
        <v>157435.23899999997</v>
      </c>
    </row>
    <row r="16" spans="1:18" ht="15.75">
      <c r="A16" s="1221" t="s">
        <v>2283</v>
      </c>
      <c r="B16" s="1340" t="s">
        <v>2284</v>
      </c>
      <c r="C16" s="1316"/>
      <c r="D16" s="1316"/>
      <c r="E16" s="1328">
        <f>'Receitas (mensais)'!E31</f>
        <v>42677.841</v>
      </c>
      <c r="F16" s="1328">
        <f>'Receitas (mensais)'!F31</f>
        <v>50899.921999999999</v>
      </c>
      <c r="G16" s="1328">
        <f>'Receitas (mensais)'!G31</f>
        <v>21508.032999999999</v>
      </c>
      <c r="H16" s="1328">
        <f>'Receitas (mensais)'!H31</f>
        <v>10068.554</v>
      </c>
      <c r="I16" s="1328">
        <f>'Receitas (mensais)'!I31</f>
        <v>25212.964</v>
      </c>
      <c r="J16" s="1328">
        <f>'Receitas (mensais)'!J31</f>
        <v>119522.99400000001</v>
      </c>
      <c r="K16" s="1328">
        <f>'Receitas (mensais)'!K31</f>
        <v>51708.603999999999</v>
      </c>
      <c r="L16" s="1328">
        <f>'Receitas (mensais)'!L31</f>
        <v>14357.455</v>
      </c>
      <c r="M16" s="1328">
        <f>'Receitas (mensais)'!M31</f>
        <v>9298.2919999999995</v>
      </c>
      <c r="N16" s="1328">
        <f>'Receitas (mensais)'!N31</f>
        <v>159299.527</v>
      </c>
      <c r="O16" s="1328">
        <f>'Receitas (mensais)'!O31</f>
        <v>13054.704</v>
      </c>
      <c r="P16" s="1328">
        <f>'Receitas (mensais)'!P31</f>
        <v>19027.504999999997</v>
      </c>
      <c r="Q16" s="1367">
        <f t="shared" si="2"/>
        <v>536636.39500000002</v>
      </c>
    </row>
    <row r="17" spans="1:17" ht="15.75">
      <c r="A17" s="1221" t="s">
        <v>2285</v>
      </c>
      <c r="B17" s="1340" t="s">
        <v>2286</v>
      </c>
      <c r="C17" s="1316"/>
      <c r="D17" s="1316"/>
      <c r="E17" s="1327"/>
      <c r="F17" s="1327"/>
      <c r="G17" s="1327"/>
      <c r="H17" s="1327"/>
      <c r="I17" s="1327"/>
      <c r="J17" s="1327"/>
      <c r="K17" s="1327"/>
      <c r="L17" s="1327"/>
      <c r="M17" s="1327"/>
      <c r="N17" s="1327"/>
      <c r="O17" s="1327"/>
      <c r="P17" s="1327"/>
      <c r="Q17" s="1367">
        <f t="shared" si="2"/>
        <v>0</v>
      </c>
    </row>
    <row r="18" spans="1:17" ht="15.75">
      <c r="A18" s="1221" t="s">
        <v>2287</v>
      </c>
      <c r="B18" s="1340" t="s">
        <v>2288</v>
      </c>
      <c r="C18" s="1316"/>
      <c r="D18" s="1316"/>
      <c r="E18" s="1327">
        <f>+'Receitas (mensais)'!E36</f>
        <v>0</v>
      </c>
      <c r="F18" s="1327">
        <f>+'Receitas (mensais)'!F36</f>
        <v>0</v>
      </c>
      <c r="G18" s="1327">
        <f>+'Receitas (mensais)'!G36</f>
        <v>0</v>
      </c>
      <c r="H18" s="1327">
        <f>+'Receitas (mensais)'!H36</f>
        <v>0</v>
      </c>
      <c r="I18" s="1327">
        <f>+'Receitas (mensais)'!I36</f>
        <v>0</v>
      </c>
      <c r="J18" s="1327">
        <f>+'Receitas (mensais)'!J36</f>
        <v>0</v>
      </c>
      <c r="K18" s="1327">
        <f>+'Receitas (mensais)'!K36</f>
        <v>0</v>
      </c>
      <c r="L18" s="1327">
        <f>+'Receitas (mensais)'!L36</f>
        <v>0</v>
      </c>
      <c r="M18" s="1327">
        <f>+'Receitas (mensais)'!M36</f>
        <v>0</v>
      </c>
      <c r="N18" s="1327">
        <f>+'Receitas (mensais)'!N36</f>
        <v>0</v>
      </c>
      <c r="O18" s="1327">
        <f>+'Receitas (mensais)'!O36</f>
        <v>0</v>
      </c>
      <c r="P18" s="1327">
        <f>+'Receitas (mensais)'!P36</f>
        <v>0</v>
      </c>
      <c r="Q18" s="1367">
        <f t="shared" si="2"/>
        <v>0</v>
      </c>
    </row>
    <row r="19" spans="1:17" ht="15.75">
      <c r="A19" s="1223" t="s">
        <v>449</v>
      </c>
      <c r="B19" s="1341" t="s">
        <v>2704</v>
      </c>
      <c r="C19" s="1317"/>
      <c r="D19" s="1317"/>
      <c r="E19" s="1325">
        <f t="shared" ref="E19:P19" si="5">E20+E24+E25+E26+E27+E30</f>
        <v>2342084.7050000001</v>
      </c>
      <c r="F19" s="1325">
        <f t="shared" si="5"/>
        <v>2667148.983</v>
      </c>
      <c r="G19" s="1325">
        <f t="shared" si="5"/>
        <v>2526237.4109999998</v>
      </c>
      <c r="H19" s="1325">
        <f t="shared" si="5"/>
        <v>2415007.4360000002</v>
      </c>
      <c r="I19" s="1325">
        <f t="shared" si="5"/>
        <v>2786109.3309999998</v>
      </c>
      <c r="J19" s="1325">
        <f t="shared" si="5"/>
        <v>3004042.8659999999</v>
      </c>
      <c r="K19" s="1325">
        <f t="shared" si="5"/>
        <v>3007300.338</v>
      </c>
      <c r="L19" s="1325">
        <f t="shared" si="5"/>
        <v>2574659.3862399999</v>
      </c>
      <c r="M19" s="1325">
        <f t="shared" si="5"/>
        <v>2526450.7089999998</v>
      </c>
      <c r="N19" s="1325">
        <f t="shared" si="5"/>
        <v>2920899.0239999993</v>
      </c>
      <c r="O19" s="1325">
        <f t="shared" si="5"/>
        <v>2379308.9739999999</v>
      </c>
      <c r="P19" s="1329">
        <f t="shared" si="5"/>
        <v>2559259.7510000002</v>
      </c>
      <c r="Q19" s="1369">
        <f t="shared" si="2"/>
        <v>31708508.914239995</v>
      </c>
    </row>
    <row r="20" spans="1:17" ht="15.75">
      <c r="A20" s="1221" t="s">
        <v>2289</v>
      </c>
      <c r="B20" s="1340" t="s">
        <v>2290</v>
      </c>
      <c r="C20" s="1316"/>
      <c r="D20" s="1316"/>
      <c r="E20" s="1327">
        <f t="shared" ref="E20:P20" si="6">SUM(E21:E23)</f>
        <v>1899768.08</v>
      </c>
      <c r="F20" s="1327">
        <f t="shared" si="6"/>
        <v>2072222.98</v>
      </c>
      <c r="G20" s="1327">
        <f t="shared" si="6"/>
        <v>2069960.0019999999</v>
      </c>
      <c r="H20" s="1327">
        <f t="shared" si="6"/>
        <v>1957998.4439999999</v>
      </c>
      <c r="I20" s="1327">
        <f t="shared" si="6"/>
        <v>2292865.3689999999</v>
      </c>
      <c r="J20" s="1327">
        <f t="shared" si="6"/>
        <v>2235598.054</v>
      </c>
      <c r="K20" s="1327">
        <f t="shared" si="6"/>
        <v>2432759.446</v>
      </c>
      <c r="L20" s="1327">
        <f t="shared" si="6"/>
        <v>1981277.1529999999</v>
      </c>
      <c r="M20" s="1327">
        <f t="shared" si="6"/>
        <v>1988413.8909999998</v>
      </c>
      <c r="N20" s="1327">
        <f t="shared" si="6"/>
        <v>2357186.0549999997</v>
      </c>
      <c r="O20" s="1327">
        <f t="shared" si="6"/>
        <v>1894159.0629999998</v>
      </c>
      <c r="P20" s="1327">
        <f t="shared" si="6"/>
        <v>1944480.7209999999</v>
      </c>
      <c r="Q20" s="1369">
        <f t="shared" si="2"/>
        <v>25126689.258000001</v>
      </c>
    </row>
    <row r="21" spans="1:17" ht="15.75">
      <c r="A21" s="1225" t="s">
        <v>2291</v>
      </c>
      <c r="B21" s="1343" t="s">
        <v>2292</v>
      </c>
      <c r="C21" s="1319"/>
      <c r="D21" s="1319"/>
      <c r="E21" s="1327"/>
      <c r="F21" s="1327"/>
      <c r="G21" s="1327"/>
      <c r="H21" s="1327"/>
      <c r="I21" s="1327"/>
      <c r="J21" s="1327"/>
      <c r="K21" s="1327"/>
      <c r="L21" s="1327"/>
      <c r="M21" s="1327"/>
      <c r="N21" s="1327"/>
      <c r="O21" s="1327"/>
      <c r="P21" s="1327"/>
      <c r="Q21" s="1367">
        <f t="shared" si="2"/>
        <v>0</v>
      </c>
    </row>
    <row r="22" spans="1:17" ht="15.75">
      <c r="A22" s="1225" t="s">
        <v>2293</v>
      </c>
      <c r="B22" s="1343" t="s">
        <v>2294</v>
      </c>
      <c r="C22" s="1319"/>
      <c r="D22" s="1319"/>
      <c r="E22" s="1327">
        <f>'Receitas (mensais)'!E72</f>
        <v>1899768.08</v>
      </c>
      <c r="F22" s="1327">
        <f>'Receitas (mensais)'!F72</f>
        <v>2072222.98</v>
      </c>
      <c r="G22" s="1327">
        <f>'Receitas (mensais)'!G72</f>
        <v>2069960.0019999999</v>
      </c>
      <c r="H22" s="1327">
        <f>'Receitas (mensais)'!H72</f>
        <v>1957998.4439999999</v>
      </c>
      <c r="I22" s="1327">
        <f>'Receitas (mensais)'!I72</f>
        <v>2292865.3689999999</v>
      </c>
      <c r="J22" s="1327">
        <f>'Receitas (mensais)'!J72</f>
        <v>2235598.054</v>
      </c>
      <c r="K22" s="1327">
        <f>'Receitas (mensais)'!K72</f>
        <v>2432759.446</v>
      </c>
      <c r="L22" s="1327">
        <f>'Receitas (mensais)'!L72</f>
        <v>1981277.1529999999</v>
      </c>
      <c r="M22" s="1327">
        <f>'Receitas (mensais)'!M72</f>
        <v>1988413.8909999998</v>
      </c>
      <c r="N22" s="1327">
        <f>'Receitas (mensais)'!N72</f>
        <v>2357186.0549999997</v>
      </c>
      <c r="O22" s="1327">
        <f>'Receitas (mensais)'!O72</f>
        <v>1894159.0629999998</v>
      </c>
      <c r="P22" s="1327">
        <f>'Receitas (mensais)'!P72</f>
        <v>1944480.7209999999</v>
      </c>
      <c r="Q22" s="1367">
        <f t="shared" si="2"/>
        <v>25126689.258000001</v>
      </c>
    </row>
    <row r="23" spans="1:17" ht="33" customHeight="1">
      <c r="A23" s="1226" t="s">
        <v>2295</v>
      </c>
      <c r="B23" s="1344" t="s">
        <v>2296</v>
      </c>
      <c r="C23" s="1320"/>
      <c r="D23" s="1320"/>
      <c r="E23" s="1327"/>
      <c r="F23" s="1327"/>
      <c r="G23" s="1327"/>
      <c r="H23" s="1327"/>
      <c r="I23" s="1327"/>
      <c r="J23" s="1327"/>
      <c r="K23" s="1327"/>
      <c r="L23" s="1327"/>
      <c r="M23" s="1327"/>
      <c r="N23" s="1327"/>
      <c r="O23" s="1327"/>
      <c r="P23" s="1327"/>
      <c r="Q23" s="1367">
        <f t="shared" si="2"/>
        <v>0</v>
      </c>
    </row>
    <row r="24" spans="1:17" ht="15.75">
      <c r="A24" s="1221" t="s">
        <v>2297</v>
      </c>
      <c r="B24" s="1340" t="s">
        <v>2298</v>
      </c>
      <c r="C24" s="1316"/>
      <c r="D24" s="1316"/>
      <c r="E24" s="1327">
        <f>'Receitas (mensais)'!E62</f>
        <v>376623.674</v>
      </c>
      <c r="F24" s="1327">
        <f>'Receitas (mensais)'!F62</f>
        <v>306134.59399999998</v>
      </c>
      <c r="G24" s="1327">
        <f>'Receitas (mensais)'!G62</f>
        <v>382954.14600000001</v>
      </c>
      <c r="H24" s="1327">
        <f>'Receitas (mensais)'!H62</f>
        <v>367704.02799999999</v>
      </c>
      <c r="I24" s="1327">
        <f>'Receitas (mensais)'!I62</f>
        <v>408296.82400000002</v>
      </c>
      <c r="J24" s="1327">
        <f>'Receitas (mensais)'!J62</f>
        <v>473008.29700000002</v>
      </c>
      <c r="K24" s="1327">
        <f>'Receitas (mensais)'!K62</f>
        <v>470457.55499999999</v>
      </c>
      <c r="L24" s="1327">
        <f>'Receitas (mensais)'!L62</f>
        <v>483241.38500000001</v>
      </c>
      <c r="M24" s="1327">
        <f>'Receitas (mensais)'!M62</f>
        <v>391480.66000000003</v>
      </c>
      <c r="N24" s="1327">
        <f>'Receitas (mensais)'!N62</f>
        <v>429872.212</v>
      </c>
      <c r="O24" s="1327">
        <f>'Receitas (mensais)'!O62</f>
        <v>354493.087</v>
      </c>
      <c r="P24" s="1327">
        <f>'Receitas (mensais)'!P62</f>
        <v>479777.88099999994</v>
      </c>
      <c r="Q24" s="1367">
        <f t="shared" si="2"/>
        <v>4924044.3430000003</v>
      </c>
    </row>
    <row r="25" spans="1:17" ht="15.75">
      <c r="A25" s="1221" t="s">
        <v>2299</v>
      </c>
      <c r="B25" s="1340" t="s">
        <v>2300</v>
      </c>
      <c r="C25" s="1316"/>
      <c r="D25" s="1316"/>
      <c r="E25" s="1327"/>
      <c r="F25" s="1327"/>
      <c r="G25" s="1327"/>
      <c r="H25" s="1327"/>
      <c r="I25" s="1327"/>
      <c r="J25" s="1327"/>
      <c r="K25" s="1327"/>
      <c r="L25" s="1327"/>
      <c r="M25" s="1327"/>
      <c r="N25" s="1327"/>
      <c r="O25" s="1327"/>
      <c r="P25" s="1327"/>
      <c r="Q25" s="1367">
        <f t="shared" si="2"/>
        <v>0</v>
      </c>
    </row>
    <row r="26" spans="1:17" ht="15.75">
      <c r="A26" s="1221" t="s">
        <v>2301</v>
      </c>
      <c r="B26" s="1340" t="s">
        <v>2302</v>
      </c>
      <c r="C26" s="1316"/>
      <c r="D26" s="1316"/>
      <c r="E26" s="1327"/>
      <c r="F26" s="1327"/>
      <c r="G26" s="1327"/>
      <c r="H26" s="1327"/>
      <c r="I26" s="1327"/>
      <c r="J26" s="1327"/>
      <c r="K26" s="1327"/>
      <c r="L26" s="1327"/>
      <c r="M26" s="1327"/>
      <c r="N26" s="1327"/>
      <c r="O26" s="1327"/>
      <c r="P26" s="1327"/>
      <c r="Q26" s="1367">
        <f t="shared" si="2"/>
        <v>0</v>
      </c>
    </row>
    <row r="27" spans="1:17" ht="36.75" customHeight="1">
      <c r="A27" s="1224" t="s">
        <v>2303</v>
      </c>
      <c r="B27" s="1342" t="s">
        <v>2304</v>
      </c>
      <c r="C27" s="1318"/>
      <c r="D27" s="1318"/>
      <c r="E27" s="1330">
        <f t="shared" ref="E27:P27" si="7">SUM(E28:E29)</f>
        <v>65692.951000000001</v>
      </c>
      <c r="F27" s="1330">
        <f t="shared" si="7"/>
        <v>288791.40899999999</v>
      </c>
      <c r="G27" s="1330">
        <f t="shared" si="7"/>
        <v>73323.263000000006</v>
      </c>
      <c r="H27" s="1330">
        <f t="shared" si="7"/>
        <v>89304.963999999993</v>
      </c>
      <c r="I27" s="1330">
        <f t="shared" si="7"/>
        <v>84947.137999999992</v>
      </c>
      <c r="J27" s="1330">
        <f t="shared" si="7"/>
        <v>295436.51499999996</v>
      </c>
      <c r="K27" s="1330">
        <f t="shared" si="7"/>
        <v>104083.337</v>
      </c>
      <c r="L27" s="1330">
        <f t="shared" si="7"/>
        <v>110140.84823999999</v>
      </c>
      <c r="M27" s="1330">
        <f t="shared" si="7"/>
        <v>146556.158</v>
      </c>
      <c r="N27" s="1330">
        <f t="shared" si="7"/>
        <v>133840.75699999998</v>
      </c>
      <c r="O27" s="1330">
        <f t="shared" si="7"/>
        <v>130656.82399999999</v>
      </c>
      <c r="P27" s="1330">
        <f t="shared" si="7"/>
        <v>135001.14899999998</v>
      </c>
      <c r="Q27" s="1367">
        <f t="shared" si="2"/>
        <v>1657775.31324</v>
      </c>
    </row>
    <row r="28" spans="1:17" ht="15.75">
      <c r="A28" s="1225" t="s">
        <v>2305</v>
      </c>
      <c r="B28" s="1343" t="s">
        <v>2306</v>
      </c>
      <c r="C28" s="1319"/>
      <c r="D28" s="1319"/>
      <c r="E28" s="1330"/>
      <c r="F28" s="1330"/>
      <c r="G28" s="1330"/>
      <c r="H28" s="1330"/>
      <c r="I28" s="1330"/>
      <c r="J28" s="1330"/>
      <c r="K28" s="1330"/>
      <c r="L28" s="1330"/>
      <c r="M28" s="1330"/>
      <c r="N28" s="1330"/>
      <c r="O28" s="1330"/>
      <c r="P28" s="1330"/>
      <c r="Q28" s="1367">
        <f t="shared" si="2"/>
        <v>0</v>
      </c>
    </row>
    <row r="29" spans="1:17" ht="15.75">
      <c r="A29" s="1225" t="s">
        <v>2307</v>
      </c>
      <c r="B29" s="1343" t="s">
        <v>2308</v>
      </c>
      <c r="C29" s="1319"/>
      <c r="D29" s="1319"/>
      <c r="E29" s="1330">
        <f>+'Receitas (mensais)'!E87</f>
        <v>65692.951000000001</v>
      </c>
      <c r="F29" s="1330">
        <f>+'Receitas (mensais)'!F87</f>
        <v>288791.40899999999</v>
      </c>
      <c r="G29" s="1330">
        <f>+'Receitas (mensais)'!G87</f>
        <v>73323.263000000006</v>
      </c>
      <c r="H29" s="1330">
        <f>+'Receitas (mensais)'!H87</f>
        <v>89304.963999999993</v>
      </c>
      <c r="I29" s="1330">
        <f>+'Receitas (mensais)'!I87</f>
        <v>84947.137999999992</v>
      </c>
      <c r="J29" s="1330">
        <f>+'Receitas (mensais)'!J87</f>
        <v>295436.51499999996</v>
      </c>
      <c r="K29" s="1330">
        <f>+'Receitas (mensais)'!K87</f>
        <v>104083.337</v>
      </c>
      <c r="L29" s="1330">
        <f>+'Receitas (mensais)'!L87</f>
        <v>110140.84823999999</v>
      </c>
      <c r="M29" s="1330">
        <f>+'Receitas (mensais)'!M87</f>
        <v>146556.158</v>
      </c>
      <c r="N29" s="1330">
        <f>+'Receitas (mensais)'!N87</f>
        <v>133840.75699999998</v>
      </c>
      <c r="O29" s="1330">
        <f>+'Receitas (mensais)'!O87</f>
        <v>130656.82399999999</v>
      </c>
      <c r="P29" s="1330">
        <f>+'Receitas (mensais)'!P87</f>
        <v>135001.14899999998</v>
      </c>
      <c r="Q29" s="1367">
        <f t="shared" si="2"/>
        <v>1657775.31324</v>
      </c>
    </row>
    <row r="30" spans="1:17" ht="15.75">
      <c r="A30" s="1221" t="s">
        <v>2309</v>
      </c>
      <c r="B30" s="1340" t="s">
        <v>2310</v>
      </c>
      <c r="C30" s="1316"/>
      <c r="D30" s="1316"/>
      <c r="E30" s="1331"/>
      <c r="F30" s="1331"/>
      <c r="G30" s="1331"/>
      <c r="H30" s="1331"/>
      <c r="I30" s="1331"/>
      <c r="J30" s="1331"/>
      <c r="K30" s="1331"/>
      <c r="L30" s="1331"/>
      <c r="M30" s="1331"/>
      <c r="N30" s="1331"/>
      <c r="O30" s="1331"/>
      <c r="P30" s="1331"/>
      <c r="Q30" s="1367">
        <f t="shared" si="2"/>
        <v>0</v>
      </c>
    </row>
    <row r="31" spans="1:17" ht="33.75" customHeight="1">
      <c r="A31" s="1229" t="s">
        <v>452</v>
      </c>
      <c r="B31" s="1345" t="s">
        <v>2705</v>
      </c>
      <c r="C31" s="1321"/>
      <c r="D31" s="1321"/>
      <c r="E31" s="1332">
        <f t="shared" ref="E31:P31" si="8">SUM(E32:E37)</f>
        <v>934519.37199999997</v>
      </c>
      <c r="F31" s="1332">
        <f t="shared" si="8"/>
        <v>1263569.7320000001</v>
      </c>
      <c r="G31" s="1332">
        <f t="shared" si="8"/>
        <v>1156892.848</v>
      </c>
      <c r="H31" s="1332">
        <f t="shared" si="8"/>
        <v>926037.97600000002</v>
      </c>
      <c r="I31" s="1332">
        <f t="shared" si="8"/>
        <v>2159246.98</v>
      </c>
      <c r="J31" s="1332">
        <f t="shared" si="8"/>
        <v>3440013.4730000002</v>
      </c>
      <c r="K31" s="1332">
        <f t="shared" si="8"/>
        <v>3096572.8759999997</v>
      </c>
      <c r="L31" s="1332">
        <f t="shared" si="8"/>
        <v>1828954.9090000002</v>
      </c>
      <c r="M31" s="1332">
        <f t="shared" si="8"/>
        <v>1354387.5929999999</v>
      </c>
      <c r="N31" s="1332">
        <f t="shared" si="8"/>
        <v>1317474.9680000001</v>
      </c>
      <c r="O31" s="1332">
        <f t="shared" si="8"/>
        <v>774397.25800000003</v>
      </c>
      <c r="P31" s="1332">
        <f t="shared" si="8"/>
        <v>1079708.5520000001</v>
      </c>
      <c r="Q31" s="1370">
        <f t="shared" si="2"/>
        <v>19331776.537000004</v>
      </c>
    </row>
    <row r="32" spans="1:17" ht="15.75">
      <c r="A32" s="1221" t="s">
        <v>2311</v>
      </c>
      <c r="B32" s="1340" t="s">
        <v>2312</v>
      </c>
      <c r="C32" s="1316"/>
      <c r="D32" s="1316"/>
      <c r="E32" s="1330">
        <f>'Receitas (mensais)'!E44</f>
        <v>807120.74300000002</v>
      </c>
      <c r="F32" s="1330">
        <f>'Receitas (mensais)'!F44</f>
        <v>1054923.3689999999</v>
      </c>
      <c r="G32" s="1330">
        <f>'Receitas (mensais)'!G44</f>
        <v>970267.11399999994</v>
      </c>
      <c r="H32" s="1330">
        <f>'Receitas (mensais)'!H44</f>
        <v>803018.07500000007</v>
      </c>
      <c r="I32" s="1330">
        <f>'Receitas (mensais)'!I44</f>
        <v>1210067.142</v>
      </c>
      <c r="J32" s="1330">
        <f>'Receitas (mensais)'!J44</f>
        <v>942069.34700000007</v>
      </c>
      <c r="K32" s="1330">
        <f>'Receitas (mensais)'!K44</f>
        <v>961435.0689999999</v>
      </c>
      <c r="L32" s="1330">
        <f>'Receitas (mensais)'!L44</f>
        <v>764205.14400000009</v>
      </c>
      <c r="M32" s="1330">
        <f>'Receitas (mensais)'!M44</f>
        <v>873608.23699999996</v>
      </c>
      <c r="N32" s="1330">
        <f>'Receitas (mensais)'!N44</f>
        <v>1042581.4680000001</v>
      </c>
      <c r="O32" s="1330">
        <f>'Receitas (mensais)'!O44</f>
        <v>677007.04300000006</v>
      </c>
      <c r="P32" s="1330">
        <f>'Receitas (mensais)'!P44</f>
        <v>905389.10400000005</v>
      </c>
      <c r="Q32" s="1367">
        <f t="shared" si="2"/>
        <v>11011691.855</v>
      </c>
    </row>
    <row r="33" spans="1:17" ht="15.75">
      <c r="A33" s="1221" t="s">
        <v>2313</v>
      </c>
      <c r="B33" s="1340" t="s">
        <v>2314</v>
      </c>
      <c r="C33" s="1316"/>
      <c r="D33" s="1316"/>
      <c r="E33" s="1330">
        <f>'Receitas (mensais)'!E50+'Receitas (mensais)'!E49+'Receitas (mensais)'!E51</f>
        <v>0</v>
      </c>
      <c r="F33" s="1330">
        <f>'Receitas (mensais)'!F50+'Receitas (mensais)'!F49+'Receitas (mensais)'!F51</f>
        <v>21394.312999999998</v>
      </c>
      <c r="G33" s="1330">
        <f>'Receitas (mensais)'!G50+'Receitas (mensais)'!G49+'Receitas (mensais)'!G51</f>
        <v>0</v>
      </c>
      <c r="H33" s="1330">
        <f>'Receitas (mensais)'!H50+'Receitas (mensais)'!H49+'Receitas (mensais)'!H51</f>
        <v>1001.449</v>
      </c>
      <c r="I33" s="1330">
        <f>'Receitas (mensais)'!I50+'Receitas (mensais)'!I49+'Receitas (mensais)'!I51</f>
        <v>748753.99199999997</v>
      </c>
      <c r="J33" s="1330">
        <f>'Receitas (mensais)'!J50+'Receitas (mensais)'!J49+'Receitas (mensais)'!J51</f>
        <v>2358374.6260000002</v>
      </c>
      <c r="K33" s="1330">
        <f>'Receitas (mensais)'!K50+'Receitas (mensais)'!K49+'Receitas (mensais)'!K51</f>
        <v>1975131.656</v>
      </c>
      <c r="L33" s="1330">
        <f>'Receitas (mensais)'!L50+'Receitas (mensais)'!L49+'Receitas (mensais)'!L51</f>
        <v>947921.37699999998</v>
      </c>
      <c r="M33" s="1330">
        <f>'Receitas (mensais)'!M50+'Receitas (mensais)'!M49+'Receitas (mensais)'!M51</f>
        <v>317895.61099999998</v>
      </c>
      <c r="N33" s="1330">
        <f>'Receitas (mensais)'!N50+'Receitas (mensais)'!N49+'Receitas (mensais)'!N51</f>
        <v>107037.03599999999</v>
      </c>
      <c r="O33" s="1330">
        <f>'Receitas (mensais)'!O50+'Receitas (mensais)'!O49+'Receitas (mensais)'!O51</f>
        <v>5403.5410000000002</v>
      </c>
      <c r="P33" s="1330">
        <f>'Receitas (mensais)'!P50+'Receitas (mensais)'!P49+'Receitas (mensais)'!P51</f>
        <v>33555.9</v>
      </c>
      <c r="Q33" s="1367">
        <f t="shared" si="2"/>
        <v>6516469.5010000011</v>
      </c>
    </row>
    <row r="34" spans="1:17" ht="15.75">
      <c r="A34" s="1221" t="s">
        <v>2315</v>
      </c>
      <c r="B34" s="1340" t="s">
        <v>2316</v>
      </c>
      <c r="C34" s="1316"/>
      <c r="D34" s="1316"/>
      <c r="E34" s="1330"/>
      <c r="F34" s="1330"/>
      <c r="G34" s="1330"/>
      <c r="H34" s="1330"/>
      <c r="I34" s="1330"/>
      <c r="J34" s="1330"/>
      <c r="K34" s="1330"/>
      <c r="L34" s="1330"/>
      <c r="M34" s="1330"/>
      <c r="N34" s="1330"/>
      <c r="O34" s="1330"/>
      <c r="P34" s="1330"/>
      <c r="Q34" s="1367">
        <f t="shared" si="2"/>
        <v>0</v>
      </c>
    </row>
    <row r="35" spans="1:17" ht="15.75">
      <c r="A35" s="1221" t="s">
        <v>2317</v>
      </c>
      <c r="B35" s="1340" t="s">
        <v>2318</v>
      </c>
      <c r="C35" s="1316"/>
      <c r="D35" s="1316"/>
      <c r="E35" s="1330"/>
      <c r="F35" s="1330"/>
      <c r="G35" s="1330"/>
      <c r="H35" s="1330"/>
      <c r="I35" s="1330"/>
      <c r="J35" s="1330"/>
      <c r="K35" s="1330"/>
      <c r="L35" s="1330"/>
      <c r="M35" s="1330"/>
      <c r="N35" s="1330"/>
      <c r="O35" s="1330"/>
      <c r="P35" s="1330"/>
      <c r="Q35" s="1367">
        <f t="shared" si="2"/>
        <v>0</v>
      </c>
    </row>
    <row r="36" spans="1:17" ht="15.75">
      <c r="A36" s="1221" t="s">
        <v>2319</v>
      </c>
      <c r="B36" s="1340" t="s">
        <v>2320</v>
      </c>
      <c r="C36" s="1316"/>
      <c r="D36" s="1316"/>
      <c r="E36" s="1330"/>
      <c r="F36" s="1330"/>
      <c r="G36" s="1330"/>
      <c r="H36" s="1330"/>
      <c r="I36" s="1330"/>
      <c r="J36" s="1330"/>
      <c r="K36" s="1330"/>
      <c r="L36" s="1330"/>
      <c r="M36" s="1330"/>
      <c r="N36" s="1330"/>
      <c r="O36" s="1330"/>
      <c r="P36" s="1330"/>
      <c r="Q36" s="1367">
        <f t="shared" si="2"/>
        <v>0</v>
      </c>
    </row>
    <row r="37" spans="1:17" ht="38.25" customHeight="1">
      <c r="A37" s="1224" t="s">
        <v>2321</v>
      </c>
      <c r="B37" s="1342" t="s">
        <v>2322</v>
      </c>
      <c r="C37" s="1318"/>
      <c r="D37" s="1318"/>
      <c r="E37" s="1327">
        <f>'Receitas (mensais)'!E57</f>
        <v>127398.62899999999</v>
      </c>
      <c r="F37" s="1327">
        <f>'Receitas (mensais)'!F57</f>
        <v>187252.05</v>
      </c>
      <c r="G37" s="1327">
        <f>'Receitas (mensais)'!G57</f>
        <v>186625.734</v>
      </c>
      <c r="H37" s="1327">
        <f>'Receitas (mensais)'!H57</f>
        <v>122018.45199999999</v>
      </c>
      <c r="I37" s="1327">
        <f>'Receitas (mensais)'!I57</f>
        <v>200425.84599999999</v>
      </c>
      <c r="J37" s="1327">
        <f>'Receitas (mensais)'!J57</f>
        <v>139569.5</v>
      </c>
      <c r="K37" s="1327">
        <f>'Receitas (mensais)'!K57</f>
        <v>160006.15100000001</v>
      </c>
      <c r="L37" s="1327">
        <f>'Receitas (mensais)'!L57</f>
        <v>116828.38799999999</v>
      </c>
      <c r="M37" s="1327">
        <f>'Receitas (mensais)'!M57</f>
        <v>162883.745</v>
      </c>
      <c r="N37" s="1327">
        <f>'Receitas (mensais)'!N57</f>
        <v>167856.46400000001</v>
      </c>
      <c r="O37" s="1327">
        <f>'Receitas (mensais)'!O57</f>
        <v>91986.673999999999</v>
      </c>
      <c r="P37" s="1327">
        <f>'Receitas (mensais)'!P57</f>
        <v>140763.54800000001</v>
      </c>
      <c r="Q37" s="1367">
        <f t="shared" si="2"/>
        <v>1803615.1809999999</v>
      </c>
    </row>
    <row r="38" spans="1:17" ht="15.75">
      <c r="A38" s="1223" t="s">
        <v>2323</v>
      </c>
      <c r="B38" s="1341" t="s">
        <v>2706</v>
      </c>
      <c r="C38" s="1317"/>
      <c r="D38" s="1317"/>
      <c r="E38" s="1334">
        <f>'Receitas (mensais)'!E101</f>
        <v>0</v>
      </c>
      <c r="F38" s="1334">
        <f>'Receitas (mensais)'!F101</f>
        <v>0</v>
      </c>
      <c r="G38" s="1334">
        <f>'Receitas (mensais)'!G101</f>
        <v>0</v>
      </c>
      <c r="H38" s="1334">
        <f>'Receitas (mensais)'!H101</f>
        <v>0</v>
      </c>
      <c r="I38" s="1334">
        <f>'Receitas (mensais)'!I101</f>
        <v>0</v>
      </c>
      <c r="J38" s="1334">
        <f>'Receitas (mensais)'!J101</f>
        <v>0</v>
      </c>
      <c r="K38" s="1334">
        <f>'Receitas (mensais)'!K101</f>
        <v>0</v>
      </c>
      <c r="L38" s="1334">
        <f>'Receitas (mensais)'!L101</f>
        <v>0</v>
      </c>
      <c r="M38" s="1334">
        <f>'Receitas (mensais)'!M101</f>
        <v>0</v>
      </c>
      <c r="N38" s="1334">
        <f>'Receitas (mensais)'!N101</f>
        <v>0</v>
      </c>
      <c r="O38" s="1334">
        <f>'Receitas (mensais)'!O101</f>
        <v>0</v>
      </c>
      <c r="P38" s="1334">
        <f>'Receitas (mensais)'!P101</f>
        <v>0</v>
      </c>
      <c r="Q38" s="1367">
        <f t="shared" si="2"/>
        <v>0</v>
      </c>
    </row>
    <row r="39" spans="1:17" ht="15.75">
      <c r="A39" s="1223" t="s">
        <v>461</v>
      </c>
      <c r="B39" s="1338" t="s">
        <v>2707</v>
      </c>
      <c r="C39" s="1314"/>
      <c r="D39" s="1314"/>
      <c r="E39" s="1333">
        <f t="shared" ref="E39:P39" si="9">E40+E45</f>
        <v>0</v>
      </c>
      <c r="F39" s="1333">
        <f t="shared" si="9"/>
        <v>0</v>
      </c>
      <c r="G39" s="1333">
        <f t="shared" si="9"/>
        <v>0</v>
      </c>
      <c r="H39" s="1333">
        <f t="shared" si="9"/>
        <v>0</v>
      </c>
      <c r="I39" s="1333">
        <f t="shared" si="9"/>
        <v>0</v>
      </c>
      <c r="J39" s="1333">
        <f t="shared" si="9"/>
        <v>0</v>
      </c>
      <c r="K39" s="1333">
        <f t="shared" si="9"/>
        <v>0</v>
      </c>
      <c r="L39" s="1333">
        <f t="shared" si="9"/>
        <v>0</v>
      </c>
      <c r="M39" s="1333">
        <f t="shared" si="9"/>
        <v>0</v>
      </c>
      <c r="N39" s="1333">
        <f t="shared" si="9"/>
        <v>0</v>
      </c>
      <c r="O39" s="1333">
        <f t="shared" si="9"/>
        <v>0</v>
      </c>
      <c r="P39" s="1333">
        <f t="shared" si="9"/>
        <v>0</v>
      </c>
      <c r="Q39" s="1369">
        <f t="shared" si="2"/>
        <v>0</v>
      </c>
    </row>
    <row r="40" spans="1:17" ht="15.75">
      <c r="A40" s="1223" t="s">
        <v>462</v>
      </c>
      <c r="B40" s="1341" t="s">
        <v>2708</v>
      </c>
      <c r="C40" s="1317"/>
      <c r="D40" s="1317"/>
      <c r="E40" s="1334">
        <f t="shared" ref="E40:P40" si="10">SUM(E41:E44)</f>
        <v>0</v>
      </c>
      <c r="F40" s="1334">
        <f t="shared" si="10"/>
        <v>0</v>
      </c>
      <c r="G40" s="1334">
        <f t="shared" si="10"/>
        <v>0</v>
      </c>
      <c r="H40" s="1334">
        <f t="shared" si="10"/>
        <v>0</v>
      </c>
      <c r="I40" s="1334">
        <f t="shared" si="10"/>
        <v>0</v>
      </c>
      <c r="J40" s="1334">
        <f t="shared" si="10"/>
        <v>0</v>
      </c>
      <c r="K40" s="1334">
        <f t="shared" si="10"/>
        <v>0</v>
      </c>
      <c r="L40" s="1334">
        <f t="shared" si="10"/>
        <v>0</v>
      </c>
      <c r="M40" s="1334">
        <f t="shared" si="10"/>
        <v>0</v>
      </c>
      <c r="N40" s="1334">
        <f t="shared" si="10"/>
        <v>0</v>
      </c>
      <c r="O40" s="1334">
        <f t="shared" si="10"/>
        <v>0</v>
      </c>
      <c r="P40" s="1334">
        <f t="shared" si="10"/>
        <v>0</v>
      </c>
      <c r="Q40" s="1369">
        <f t="shared" si="2"/>
        <v>0</v>
      </c>
    </row>
    <row r="41" spans="1:17" ht="15.75">
      <c r="A41" s="1221" t="s">
        <v>464</v>
      </c>
      <c r="B41" s="1340" t="s">
        <v>2324</v>
      </c>
      <c r="C41" s="1316"/>
      <c r="D41" s="1316"/>
      <c r="E41" s="1327"/>
      <c r="F41" s="1327"/>
      <c r="G41" s="1327"/>
      <c r="H41" s="1327"/>
      <c r="I41" s="1327"/>
      <c r="J41" s="1327"/>
      <c r="K41" s="1327"/>
      <c r="L41" s="1327"/>
      <c r="M41" s="1327"/>
      <c r="N41" s="1327"/>
      <c r="O41" s="1327"/>
      <c r="P41" s="1327"/>
      <c r="Q41" s="1367">
        <f t="shared" si="2"/>
        <v>0</v>
      </c>
    </row>
    <row r="42" spans="1:17" ht="15.75">
      <c r="A42" s="1221" t="s">
        <v>466</v>
      </c>
      <c r="B42" s="1340" t="s">
        <v>2325</v>
      </c>
      <c r="C42" s="1316"/>
      <c r="D42" s="1316"/>
      <c r="E42" s="1327"/>
      <c r="F42" s="1327"/>
      <c r="G42" s="1327"/>
      <c r="H42" s="1327"/>
      <c r="I42" s="1327"/>
      <c r="J42" s="1327"/>
      <c r="K42" s="1327"/>
      <c r="L42" s="1327"/>
      <c r="M42" s="1327"/>
      <c r="N42" s="1327"/>
      <c r="O42" s="1327"/>
      <c r="P42" s="1327"/>
      <c r="Q42" s="1367">
        <f t="shared" si="2"/>
        <v>0</v>
      </c>
    </row>
    <row r="43" spans="1:17" ht="30.75" customHeight="1">
      <c r="A43" s="1224" t="s">
        <v>2326</v>
      </c>
      <c r="B43" s="1342" t="s">
        <v>2327</v>
      </c>
      <c r="C43" s="1318"/>
      <c r="D43" s="1318"/>
      <c r="E43" s="1327"/>
      <c r="F43" s="1327"/>
      <c r="G43" s="1327"/>
      <c r="H43" s="1327"/>
      <c r="I43" s="1327"/>
      <c r="J43" s="1327"/>
      <c r="K43" s="1327"/>
      <c r="L43" s="1327"/>
      <c r="M43" s="1327"/>
      <c r="N43" s="1327"/>
      <c r="O43" s="1327"/>
      <c r="P43" s="1327"/>
      <c r="Q43" s="1367">
        <f t="shared" si="2"/>
        <v>0</v>
      </c>
    </row>
    <row r="44" spans="1:17" ht="15.75">
      <c r="A44" s="1221" t="s">
        <v>2328</v>
      </c>
      <c r="B44" s="1340" t="s">
        <v>2329</v>
      </c>
      <c r="C44" s="1316"/>
      <c r="D44" s="1316"/>
      <c r="E44" s="1327"/>
      <c r="F44" s="1327"/>
      <c r="G44" s="1327"/>
      <c r="H44" s="1327"/>
      <c r="I44" s="1327"/>
      <c r="J44" s="1327"/>
      <c r="K44" s="1327"/>
      <c r="L44" s="1327"/>
      <c r="M44" s="1327"/>
      <c r="N44" s="1327"/>
      <c r="O44" s="1327"/>
      <c r="P44" s="1327"/>
      <c r="Q44" s="1367">
        <f t="shared" si="2"/>
        <v>0</v>
      </c>
    </row>
    <row r="45" spans="1:17" ht="15.75">
      <c r="A45" s="1223" t="s">
        <v>468</v>
      </c>
      <c r="B45" s="1341" t="s">
        <v>2709</v>
      </c>
      <c r="C45" s="1317"/>
      <c r="D45" s="1317"/>
      <c r="E45" s="1334">
        <f t="shared" ref="E45:P45" si="11">SUM(E46:E48)</f>
        <v>0</v>
      </c>
      <c r="F45" s="1334">
        <f t="shared" si="11"/>
        <v>0</v>
      </c>
      <c r="G45" s="1334">
        <f t="shared" si="11"/>
        <v>0</v>
      </c>
      <c r="H45" s="1334">
        <f t="shared" si="11"/>
        <v>0</v>
      </c>
      <c r="I45" s="1334">
        <f t="shared" si="11"/>
        <v>0</v>
      </c>
      <c r="J45" s="1334">
        <f t="shared" si="11"/>
        <v>0</v>
      </c>
      <c r="K45" s="1334">
        <f t="shared" si="11"/>
        <v>0</v>
      </c>
      <c r="L45" s="1334">
        <f t="shared" si="11"/>
        <v>0</v>
      </c>
      <c r="M45" s="1334">
        <f t="shared" si="11"/>
        <v>0</v>
      </c>
      <c r="N45" s="1334">
        <f t="shared" si="11"/>
        <v>0</v>
      </c>
      <c r="O45" s="1334">
        <f t="shared" si="11"/>
        <v>0</v>
      </c>
      <c r="P45" s="1334">
        <f t="shared" si="11"/>
        <v>0</v>
      </c>
      <c r="Q45" s="1367">
        <f t="shared" si="2"/>
        <v>0</v>
      </c>
    </row>
    <row r="46" spans="1:17" ht="15.75">
      <c r="A46" s="1221" t="s">
        <v>470</v>
      </c>
      <c r="B46" s="1340" t="s">
        <v>2330</v>
      </c>
      <c r="C46" s="1316"/>
      <c r="D46" s="1316"/>
      <c r="E46" s="1327"/>
      <c r="F46" s="1327"/>
      <c r="G46" s="1327"/>
      <c r="H46" s="1327"/>
      <c r="I46" s="1327"/>
      <c r="J46" s="1327"/>
      <c r="K46" s="1327"/>
      <c r="L46" s="1327"/>
      <c r="M46" s="1327"/>
      <c r="N46" s="1327"/>
      <c r="O46" s="1327"/>
      <c r="P46" s="1327"/>
      <c r="Q46" s="1367">
        <f t="shared" si="2"/>
        <v>0</v>
      </c>
    </row>
    <row r="47" spans="1:17" ht="15.75">
      <c r="A47" s="1221" t="s">
        <v>472</v>
      </c>
      <c r="B47" s="1340" t="s">
        <v>2331</v>
      </c>
      <c r="C47" s="1316"/>
      <c r="D47" s="1316"/>
      <c r="E47" s="1327"/>
      <c r="F47" s="1327"/>
      <c r="G47" s="1327"/>
      <c r="H47" s="1327"/>
      <c r="I47" s="1327"/>
      <c r="J47" s="1327"/>
      <c r="K47" s="1327"/>
      <c r="L47" s="1327"/>
      <c r="M47" s="1327"/>
      <c r="N47" s="1327"/>
      <c r="O47" s="1327"/>
      <c r="P47" s="1327"/>
      <c r="Q47" s="1367">
        <f t="shared" si="2"/>
        <v>0</v>
      </c>
    </row>
    <row r="48" spans="1:17" ht="15.75">
      <c r="A48" s="1221" t="s">
        <v>475</v>
      </c>
      <c r="B48" s="1340" t="s">
        <v>2332</v>
      </c>
      <c r="C48" s="1316"/>
      <c r="D48" s="1316"/>
      <c r="E48" s="1327"/>
      <c r="F48" s="1327"/>
      <c r="G48" s="1327"/>
      <c r="H48" s="1327"/>
      <c r="I48" s="1327"/>
      <c r="J48" s="1327"/>
      <c r="K48" s="1327"/>
      <c r="L48" s="1327"/>
      <c r="M48" s="1327"/>
      <c r="N48" s="1327"/>
      <c r="O48" s="1327"/>
      <c r="P48" s="1327"/>
      <c r="Q48" s="1367">
        <f t="shared" si="2"/>
        <v>0</v>
      </c>
    </row>
    <row r="49" spans="1:18" ht="15.75">
      <c r="A49" s="1219" t="s">
        <v>2333</v>
      </c>
      <c r="B49" s="1338" t="s">
        <v>2710</v>
      </c>
      <c r="C49" s="1314"/>
      <c r="D49" s="1314"/>
      <c r="E49" s="1335">
        <f t="shared" ref="E49:P49" si="12">E50+E53+E56</f>
        <v>0</v>
      </c>
      <c r="F49" s="1335">
        <f t="shared" si="12"/>
        <v>1708986.6359999999</v>
      </c>
      <c r="G49" s="1335">
        <f t="shared" si="12"/>
        <v>6351667.6349999998</v>
      </c>
      <c r="H49" s="1335">
        <f t="shared" si="12"/>
        <v>0</v>
      </c>
      <c r="I49" s="1335">
        <f t="shared" si="12"/>
        <v>0</v>
      </c>
      <c r="J49" s="1335">
        <f t="shared" si="12"/>
        <v>6116982.7189999996</v>
      </c>
      <c r="K49" s="1335">
        <f t="shared" si="12"/>
        <v>0</v>
      </c>
      <c r="L49" s="1335">
        <f t="shared" si="12"/>
        <v>0</v>
      </c>
      <c r="M49" s="1335">
        <f t="shared" si="12"/>
        <v>5832614.3799999999</v>
      </c>
      <c r="N49" s="1335">
        <f t="shared" si="12"/>
        <v>0</v>
      </c>
      <c r="O49" s="1335">
        <f t="shared" si="12"/>
        <v>165000</v>
      </c>
      <c r="P49" s="1335">
        <f t="shared" si="12"/>
        <v>4189325.5199999996</v>
      </c>
      <c r="Q49" s="1369">
        <f t="shared" si="2"/>
        <v>24364576.889999997</v>
      </c>
      <c r="R49" s="861">
        <f>Q49-Tofe!R116</f>
        <v>0</v>
      </c>
    </row>
    <row r="50" spans="1:18" ht="15.75">
      <c r="A50" s="1223" t="s">
        <v>2334</v>
      </c>
      <c r="B50" s="1341" t="s">
        <v>2711</v>
      </c>
      <c r="C50" s="1317"/>
      <c r="D50" s="1317"/>
      <c r="E50" s="1334">
        <f t="shared" ref="E50:P50" si="13">SUM(E51:E52)</f>
        <v>0</v>
      </c>
      <c r="F50" s="1334">
        <f t="shared" si="13"/>
        <v>1708986.6359999999</v>
      </c>
      <c r="G50" s="1334">
        <f t="shared" si="13"/>
        <v>551180.02599999995</v>
      </c>
      <c r="H50" s="1334">
        <f t="shared" si="13"/>
        <v>0</v>
      </c>
      <c r="I50" s="1334">
        <f t="shared" si="13"/>
        <v>0</v>
      </c>
      <c r="J50" s="1334">
        <f t="shared" si="13"/>
        <v>478649.701</v>
      </c>
      <c r="K50" s="1334">
        <f t="shared" si="13"/>
        <v>0</v>
      </c>
      <c r="L50" s="1334">
        <f t="shared" si="13"/>
        <v>0</v>
      </c>
      <c r="M50" s="1334">
        <f t="shared" si="13"/>
        <v>74861.010000000009</v>
      </c>
      <c r="N50" s="1334">
        <f t="shared" si="13"/>
        <v>0</v>
      </c>
      <c r="O50" s="1334">
        <f t="shared" si="13"/>
        <v>165000</v>
      </c>
      <c r="P50" s="1334">
        <f t="shared" si="13"/>
        <v>202163.26</v>
      </c>
      <c r="Q50" s="1369">
        <f t="shared" si="2"/>
        <v>3180840.6329999994</v>
      </c>
    </row>
    <row r="51" spans="1:18" ht="15.75">
      <c r="A51" s="1221" t="s">
        <v>2335</v>
      </c>
      <c r="B51" s="1340" t="s">
        <v>2336</v>
      </c>
      <c r="C51" s="1316"/>
      <c r="D51" s="1316"/>
      <c r="E51" s="1327">
        <f>'Appui-Bud'!G28</f>
        <v>0</v>
      </c>
      <c r="F51" s="1327">
        <f>'Appui-Bud'!H28</f>
        <v>1708986.6359999999</v>
      </c>
      <c r="G51" s="1327">
        <f>'Appui-Bud'!I28</f>
        <v>0</v>
      </c>
      <c r="H51" s="1327">
        <f>'Appui-Bud'!J28</f>
        <v>0</v>
      </c>
      <c r="I51" s="1327">
        <f>'Appui-Bud'!K28</f>
        <v>0</v>
      </c>
      <c r="J51" s="1327">
        <f>'Appui-Bud'!L28</f>
        <v>0</v>
      </c>
      <c r="K51" s="1327">
        <f>'Appui-Bud'!M28</f>
        <v>0</v>
      </c>
      <c r="L51" s="1327">
        <f>'Appui-Bud'!N28</f>
        <v>0</v>
      </c>
      <c r="M51" s="1327">
        <f>'Appui-Bud'!O28</f>
        <v>0</v>
      </c>
      <c r="N51" s="1327">
        <f>'Appui-Bud'!P28</f>
        <v>0</v>
      </c>
      <c r="O51" s="1327">
        <f>'Appui-Bud'!Q28</f>
        <v>165000</v>
      </c>
      <c r="P51" s="1327">
        <f>'Appui-Bud'!R28</f>
        <v>0</v>
      </c>
      <c r="Q51" s="1367">
        <f>SUM(E51:P51)</f>
        <v>1873986.6359999999</v>
      </c>
    </row>
    <row r="52" spans="1:18" ht="15.75">
      <c r="A52" s="1221" t="s">
        <v>2337</v>
      </c>
      <c r="B52" s="1340" t="s">
        <v>2338</v>
      </c>
      <c r="C52" s="1316"/>
      <c r="D52" s="1316"/>
      <c r="E52" s="1327">
        <f>'Appui-Projets'!J69</f>
        <v>0</v>
      </c>
      <c r="F52" s="1327">
        <f>'Appui-Projets'!K69</f>
        <v>0</v>
      </c>
      <c r="G52" s="1327">
        <f>'Appui-Projets'!L69</f>
        <v>551180.02599999995</v>
      </c>
      <c r="H52" s="1327">
        <f>'Appui-Projets'!M69</f>
        <v>0</v>
      </c>
      <c r="I52" s="1327">
        <f>'Appui-Projets'!N69</f>
        <v>0</v>
      </c>
      <c r="J52" s="1327">
        <f>'Appui-Projets'!O69</f>
        <v>478649.701</v>
      </c>
      <c r="K52" s="1327">
        <f>'Appui-Projets'!P69</f>
        <v>0</v>
      </c>
      <c r="L52" s="1327">
        <f>'Appui-Projets'!Q69</f>
        <v>0</v>
      </c>
      <c r="M52" s="1327">
        <f>'Appui-Projets'!R69</f>
        <v>74861.010000000009</v>
      </c>
      <c r="N52" s="1327">
        <f>'Appui-Projets'!S69</f>
        <v>0</v>
      </c>
      <c r="O52" s="1327">
        <f>'Appui-Projets'!T69</f>
        <v>0</v>
      </c>
      <c r="P52" s="1327">
        <f>'Appui-Projets'!U69</f>
        <v>202163.26</v>
      </c>
      <c r="Q52" s="1367">
        <f t="shared" si="2"/>
        <v>1306853.997</v>
      </c>
    </row>
    <row r="53" spans="1:18" ht="15.75">
      <c r="A53" s="1223" t="s">
        <v>2339</v>
      </c>
      <c r="B53" s="1341" t="s">
        <v>2712</v>
      </c>
      <c r="C53" s="1317"/>
      <c r="D53" s="1317"/>
      <c r="E53" s="1334">
        <f t="shared" ref="E53:P53" si="14">SUM(E54:E55)</f>
        <v>0</v>
      </c>
      <c r="F53" s="1334">
        <f t="shared" si="14"/>
        <v>0</v>
      </c>
      <c r="G53" s="1334">
        <f t="shared" si="14"/>
        <v>5800487.6090000002</v>
      </c>
      <c r="H53" s="1334">
        <f t="shared" si="14"/>
        <v>0</v>
      </c>
      <c r="I53" s="1334">
        <f t="shared" si="14"/>
        <v>0</v>
      </c>
      <c r="J53" s="1334">
        <f t="shared" si="14"/>
        <v>5638333.0179999992</v>
      </c>
      <c r="K53" s="1334">
        <f t="shared" si="14"/>
        <v>0</v>
      </c>
      <c r="L53" s="1334">
        <f t="shared" si="14"/>
        <v>0</v>
      </c>
      <c r="M53" s="1334">
        <f t="shared" si="14"/>
        <v>5757753.3700000001</v>
      </c>
      <c r="N53" s="1334">
        <f t="shared" si="14"/>
        <v>0</v>
      </c>
      <c r="O53" s="1334">
        <f t="shared" si="14"/>
        <v>0</v>
      </c>
      <c r="P53" s="1334">
        <f t="shared" si="14"/>
        <v>3987162.26</v>
      </c>
      <c r="Q53" s="1369">
        <f t="shared" si="2"/>
        <v>21183736.256999999</v>
      </c>
      <c r="R53" s="1365"/>
    </row>
    <row r="54" spans="1:18" ht="15.75">
      <c r="A54" s="1221" t="s">
        <v>2340</v>
      </c>
      <c r="B54" s="1340" t="s">
        <v>2341</v>
      </c>
      <c r="C54" s="1316"/>
      <c r="D54" s="1316"/>
      <c r="E54" s="1327">
        <f>'Appui-Bud'!G22</f>
        <v>0</v>
      </c>
      <c r="F54" s="1327">
        <f>'Appui-Bud'!H22</f>
        <v>0</v>
      </c>
      <c r="G54" s="1327">
        <f>'Appui-Bud'!I22</f>
        <v>0</v>
      </c>
      <c r="H54" s="1327">
        <f>'Appui-Bud'!J22</f>
        <v>0</v>
      </c>
      <c r="I54" s="1327">
        <f>'Appui-Bud'!K22</f>
        <v>0</v>
      </c>
      <c r="J54" s="1327">
        <f>'Appui-Bud'!L22</f>
        <v>0</v>
      </c>
      <c r="K54" s="1327">
        <f>'Appui-Bud'!M22</f>
        <v>0</v>
      </c>
      <c r="L54" s="1327">
        <f>'Appui-Bud'!N22</f>
        <v>0</v>
      </c>
      <c r="M54" s="1327">
        <f>'Appui-Bud'!O22</f>
        <v>0</v>
      </c>
      <c r="N54" s="1327">
        <f>'Appui-Bud'!P22</f>
        <v>0</v>
      </c>
      <c r="O54" s="1327">
        <f>'Appui-Bud'!Q22</f>
        <v>0</v>
      </c>
      <c r="P54" s="1327">
        <f>'Appui-Bud'!R22</f>
        <v>0</v>
      </c>
      <c r="Q54" s="1367">
        <f t="shared" si="2"/>
        <v>0</v>
      </c>
    </row>
    <row r="55" spans="1:18" ht="15.75">
      <c r="A55" s="1221" t="s">
        <v>2342</v>
      </c>
      <c r="B55" s="1340" t="s">
        <v>2343</v>
      </c>
      <c r="C55" s="1316"/>
      <c r="D55" s="1316"/>
      <c r="E55" s="1327">
        <f>'Appui-Projets'!J33</f>
        <v>0</v>
      </c>
      <c r="F55" s="1327">
        <f>'Appui-Projets'!K33</f>
        <v>0</v>
      </c>
      <c r="G55" s="1327">
        <f>'Appui-Projets'!L33</f>
        <v>5800487.6090000002</v>
      </c>
      <c r="H55" s="1327">
        <f>'Appui-Projets'!M33</f>
        <v>0</v>
      </c>
      <c r="I55" s="1327">
        <f>'Appui-Projets'!N33</f>
        <v>0</v>
      </c>
      <c r="J55" s="1327">
        <f>'Appui-Projets'!O33</f>
        <v>5638333.0179999992</v>
      </c>
      <c r="K55" s="1327">
        <f>'Appui-Projets'!P33</f>
        <v>0</v>
      </c>
      <c r="L55" s="1327">
        <f>'Appui-Projets'!Q33</f>
        <v>0</v>
      </c>
      <c r="M55" s="1327">
        <f>'Appui-Projets'!R33</f>
        <v>5757753.3700000001</v>
      </c>
      <c r="N55" s="1327">
        <f>'Appui-Projets'!S33</f>
        <v>0</v>
      </c>
      <c r="O55" s="1327">
        <f>'Appui-Projets'!T33</f>
        <v>0</v>
      </c>
      <c r="P55" s="1327">
        <f>'Appui-Projets'!U33</f>
        <v>3987162.26</v>
      </c>
      <c r="Q55" s="1367">
        <f t="shared" si="2"/>
        <v>21183736.256999999</v>
      </c>
      <c r="R55" s="861"/>
    </row>
    <row r="56" spans="1:18" ht="15.75">
      <c r="A56" s="1223" t="s">
        <v>2344</v>
      </c>
      <c r="B56" s="1341" t="s">
        <v>2713</v>
      </c>
      <c r="C56" s="1317"/>
      <c r="D56" s="1317"/>
      <c r="E56" s="1334">
        <f t="shared" ref="E56:P56" si="15">SUM(E57:E58)</f>
        <v>0</v>
      </c>
      <c r="F56" s="1334">
        <f t="shared" si="15"/>
        <v>0</v>
      </c>
      <c r="G56" s="1334">
        <f t="shared" si="15"/>
        <v>0</v>
      </c>
      <c r="H56" s="1334">
        <f t="shared" si="15"/>
        <v>0</v>
      </c>
      <c r="I56" s="1334">
        <f t="shared" si="15"/>
        <v>0</v>
      </c>
      <c r="J56" s="1334">
        <f t="shared" si="15"/>
        <v>0</v>
      </c>
      <c r="K56" s="1334">
        <f t="shared" si="15"/>
        <v>0</v>
      </c>
      <c r="L56" s="1334">
        <f t="shared" si="15"/>
        <v>0</v>
      </c>
      <c r="M56" s="1334">
        <f t="shared" si="15"/>
        <v>0</v>
      </c>
      <c r="N56" s="1334">
        <f t="shared" si="15"/>
        <v>0</v>
      </c>
      <c r="O56" s="1334">
        <f t="shared" si="15"/>
        <v>0</v>
      </c>
      <c r="P56" s="1334">
        <f t="shared" si="15"/>
        <v>0</v>
      </c>
      <c r="Q56" s="1369">
        <f t="shared" si="2"/>
        <v>0</v>
      </c>
    </row>
    <row r="57" spans="1:18" ht="15.75">
      <c r="A57" s="1221" t="s">
        <v>2345</v>
      </c>
      <c r="B57" s="1340" t="s">
        <v>2346</v>
      </c>
      <c r="C57" s="1316"/>
      <c r="D57" s="1316"/>
      <c r="E57" s="1327"/>
      <c r="F57" s="1327"/>
      <c r="G57" s="1327"/>
      <c r="H57" s="1327"/>
      <c r="I57" s="1327"/>
      <c r="J57" s="1327"/>
      <c r="K57" s="1327"/>
      <c r="L57" s="1327"/>
      <c r="M57" s="1327"/>
      <c r="N57" s="1327"/>
      <c r="O57" s="1327"/>
      <c r="P57" s="1327"/>
      <c r="Q57" s="1367">
        <f t="shared" si="2"/>
        <v>0</v>
      </c>
    </row>
    <row r="58" spans="1:18" ht="15.75">
      <c r="A58" s="1221" t="s">
        <v>2347</v>
      </c>
      <c r="B58" s="1340" t="s">
        <v>2348</v>
      </c>
      <c r="C58" s="1316"/>
      <c r="D58" s="1316"/>
      <c r="E58" s="1327">
        <f>'Receitas (mensais)'!E307</f>
        <v>0</v>
      </c>
      <c r="F58" s="1327">
        <f>'Receitas (mensais)'!F307</f>
        <v>0</v>
      </c>
      <c r="G58" s="1327">
        <f>'Receitas (mensais)'!G307</f>
        <v>0</v>
      </c>
      <c r="H58" s="1327">
        <f>'Receitas (mensais)'!H307</f>
        <v>0</v>
      </c>
      <c r="I58" s="1327">
        <f>'Receitas (mensais)'!I307</f>
        <v>0</v>
      </c>
      <c r="J58" s="1327">
        <f>'Receitas (mensais)'!J307</f>
        <v>0</v>
      </c>
      <c r="K58" s="1327">
        <f>'Receitas (mensais)'!K307</f>
        <v>0</v>
      </c>
      <c r="L58" s="1327">
        <f>'Receitas (mensais)'!L307</f>
        <v>0</v>
      </c>
      <c r="M58" s="1327">
        <f>'Receitas (mensais)'!M307</f>
        <v>0</v>
      </c>
      <c r="N58" s="1327">
        <f>'Receitas (mensais)'!N307</f>
        <v>0</v>
      </c>
      <c r="O58" s="1327">
        <f>'Receitas (mensais)'!O307</f>
        <v>0</v>
      </c>
      <c r="P58" s="1327">
        <f>'Receitas (mensais)'!P307</f>
        <v>0</v>
      </c>
      <c r="Q58" s="1367">
        <f t="shared" si="2"/>
        <v>0</v>
      </c>
    </row>
    <row r="59" spans="1:18" ht="15.75">
      <c r="A59" s="1219" t="s">
        <v>2349</v>
      </c>
      <c r="B59" s="1338" t="s">
        <v>2714</v>
      </c>
      <c r="C59" s="1314"/>
      <c r="D59" s="1314"/>
      <c r="E59" s="1334">
        <f t="shared" ref="E59:P59" si="16">E60+E66+E71+E72+E75</f>
        <v>887384.79400000011</v>
      </c>
      <c r="F59" s="1334">
        <f t="shared" si="16"/>
        <v>764726.9040000001</v>
      </c>
      <c r="G59" s="1334">
        <f t="shared" si="16"/>
        <v>6069792.5600000005</v>
      </c>
      <c r="H59" s="1334">
        <f t="shared" si="16"/>
        <v>540812.50199999998</v>
      </c>
      <c r="I59" s="1334">
        <f t="shared" si="16"/>
        <v>905817.09900000005</v>
      </c>
      <c r="J59" s="1334">
        <f t="shared" si="16"/>
        <v>1534949.3230000001</v>
      </c>
      <c r="K59" s="1334">
        <f t="shared" si="16"/>
        <v>1616550.1090000002</v>
      </c>
      <c r="L59" s="1334">
        <f t="shared" si="16"/>
        <v>824271.31200000003</v>
      </c>
      <c r="M59" s="1334">
        <f t="shared" si="16"/>
        <v>712703.60900000005</v>
      </c>
      <c r="N59" s="1334">
        <f t="shared" si="16"/>
        <v>8093930.0870000003</v>
      </c>
      <c r="O59" s="1334">
        <f t="shared" si="16"/>
        <v>2205274.483</v>
      </c>
      <c r="P59" s="1334">
        <f t="shared" si="16"/>
        <v>2316573.983</v>
      </c>
      <c r="Q59" s="1369">
        <f t="shared" si="2"/>
        <v>26472786.765000001</v>
      </c>
      <c r="R59" s="1375" t="s">
        <v>2751</v>
      </c>
    </row>
    <row r="60" spans="1:18" ht="15.75">
      <c r="A60" s="1223" t="s">
        <v>2350</v>
      </c>
      <c r="B60" s="1341" t="s">
        <v>2715</v>
      </c>
      <c r="C60" s="1317"/>
      <c r="D60" s="1317"/>
      <c r="E60" s="1334">
        <f t="shared" ref="E60:P60" si="17">SUM(E61:E65)</f>
        <v>578775.67100000009</v>
      </c>
      <c r="F60" s="1334">
        <f t="shared" si="17"/>
        <v>185593.59100000001</v>
      </c>
      <c r="G60" s="1334">
        <f t="shared" si="17"/>
        <v>5739439.7030000007</v>
      </c>
      <c r="H60" s="1334">
        <f t="shared" si="17"/>
        <v>185384.72</v>
      </c>
      <c r="I60" s="1334">
        <f t="shared" si="17"/>
        <v>113225.68800000001</v>
      </c>
      <c r="J60" s="1334">
        <f t="shared" si="17"/>
        <v>619371.52000000002</v>
      </c>
      <c r="K60" s="1334">
        <f t="shared" si="17"/>
        <v>873402.69300000009</v>
      </c>
      <c r="L60" s="1334">
        <f t="shared" si="17"/>
        <v>212923.19300000003</v>
      </c>
      <c r="M60" s="1334">
        <f t="shared" si="17"/>
        <v>326352.16200000001</v>
      </c>
      <c r="N60" s="1334">
        <f t="shared" si="17"/>
        <v>106354.931</v>
      </c>
      <c r="O60" s="1334">
        <f t="shared" si="17"/>
        <v>627786.37399999995</v>
      </c>
      <c r="P60" s="1334">
        <f t="shared" si="17"/>
        <v>1940049.8730000001</v>
      </c>
      <c r="Q60" s="1369">
        <f t="shared" si="2"/>
        <v>11508660.119000001</v>
      </c>
    </row>
    <row r="61" spans="1:18" ht="15.75">
      <c r="A61" s="1221" t="s">
        <v>2351</v>
      </c>
      <c r="B61" s="1340" t="s">
        <v>2352</v>
      </c>
      <c r="C61" s="1316"/>
      <c r="D61" s="1316"/>
      <c r="E61" s="1327">
        <f>+'Receitas (mensais)'!E176</f>
        <v>0</v>
      </c>
      <c r="F61" s="1327">
        <f>+'Receitas (mensais)'!F176</f>
        <v>0</v>
      </c>
      <c r="G61" s="1327">
        <f>+'Receitas (mensais)'!G176</f>
        <v>639113.03</v>
      </c>
      <c r="H61" s="1327">
        <f>+'Receitas (mensais)'!H176</f>
        <v>0</v>
      </c>
      <c r="I61" s="1327">
        <f>+'Receitas (mensais)'!I176</f>
        <v>0</v>
      </c>
      <c r="J61" s="1327">
        <f>+'Receitas (mensais)'!J176</f>
        <v>0</v>
      </c>
      <c r="K61" s="1327">
        <f>+'Receitas (mensais)'!K176</f>
        <v>0</v>
      </c>
      <c r="L61" s="1327">
        <f>+'Receitas (mensais)'!L176</f>
        <v>0</v>
      </c>
      <c r="M61" s="1327">
        <f>+'Receitas (mensais)'!M176</f>
        <v>0</v>
      </c>
      <c r="N61" s="1327">
        <f>+'Receitas (mensais)'!N176</f>
        <v>0</v>
      </c>
      <c r="O61" s="1327">
        <f>+'Receitas (mensais)'!O176</f>
        <v>0</v>
      </c>
      <c r="P61" s="1327">
        <f>+'Receitas (mensais)'!P176</f>
        <v>0</v>
      </c>
      <c r="Q61" s="1367">
        <f t="shared" si="2"/>
        <v>639113.03</v>
      </c>
    </row>
    <row r="62" spans="1:18" ht="15.75">
      <c r="A62" s="1221" t="s">
        <v>2353</v>
      </c>
      <c r="B62" s="1340" t="s">
        <v>2354</v>
      </c>
      <c r="C62" s="1316"/>
      <c r="D62" s="1316"/>
      <c r="E62" s="1327">
        <f>+'Receitas (mensais)'!E166+'Receitas (mensais)'!E169+'Receitas (mensais)'!E173</f>
        <v>0</v>
      </c>
      <c r="F62" s="1327">
        <f>+'Receitas (mensais)'!F166+'Receitas (mensais)'!F169+'Receitas (mensais)'!F173</f>
        <v>0</v>
      </c>
      <c r="G62" s="1327">
        <f>+'Receitas (mensais)'!G166+'Receitas (mensais)'!G169+'Receitas (mensais)'!G173</f>
        <v>5000000</v>
      </c>
      <c r="H62" s="1327">
        <f>+'Receitas (mensais)'!H166+'Receitas (mensais)'!H169+'Receitas (mensais)'!H173</f>
        <v>0</v>
      </c>
      <c r="I62" s="1327">
        <f>+'Receitas (mensais)'!I166+'Receitas (mensais)'!I169+'Receitas (mensais)'!I173</f>
        <v>0</v>
      </c>
      <c r="J62" s="1327">
        <f>+'Receitas (mensais)'!J166+'Receitas (mensais)'!J169+'Receitas (mensais)'!J173</f>
        <v>0</v>
      </c>
      <c r="K62" s="1327">
        <f>+'Receitas (mensais)'!K166+'Receitas (mensais)'!K169+'Receitas (mensais)'!K173</f>
        <v>0</v>
      </c>
      <c r="L62" s="1327">
        <f>+'Receitas (mensais)'!L166+'Receitas (mensais)'!L169+'Receitas (mensais)'!L173</f>
        <v>0</v>
      </c>
      <c r="M62" s="1327">
        <f>+'Receitas (mensais)'!M166+'Receitas (mensais)'!M169+'Receitas (mensais)'!M173</f>
        <v>0</v>
      </c>
      <c r="N62" s="1327">
        <f>+'Receitas (mensais)'!N166+'Receitas (mensais)'!N169+'Receitas (mensais)'!N173</f>
        <v>0</v>
      </c>
      <c r="O62" s="1327">
        <f>+'Receitas (mensais)'!O166+'Receitas (mensais)'!O169+'Receitas (mensais)'!O173</f>
        <v>0</v>
      </c>
      <c r="P62" s="1327">
        <f>+'Receitas (mensais)'!P166+'Receitas (mensais)'!P169+'Receitas (mensais)'!P173</f>
        <v>0</v>
      </c>
      <c r="Q62" s="1367">
        <f t="shared" si="2"/>
        <v>5000000</v>
      </c>
    </row>
    <row r="63" spans="1:18" ht="15.75">
      <c r="A63" s="1221" t="s">
        <v>2355</v>
      </c>
      <c r="B63" s="1340" t="s">
        <v>2356</v>
      </c>
      <c r="C63" s="1316"/>
      <c r="D63" s="1316"/>
      <c r="E63" s="1327"/>
      <c r="F63" s="1327"/>
      <c r="G63" s="1327"/>
      <c r="H63" s="1327"/>
      <c r="I63" s="1327"/>
      <c r="J63" s="1327"/>
      <c r="K63" s="1327"/>
      <c r="L63" s="1327"/>
      <c r="M63" s="1327"/>
      <c r="N63" s="1327"/>
      <c r="O63" s="1327"/>
      <c r="P63" s="1327"/>
      <c r="Q63" s="1367">
        <f t="shared" si="2"/>
        <v>0</v>
      </c>
    </row>
    <row r="64" spans="1:18" ht="15.75">
      <c r="A64" s="1221" t="s">
        <v>2357</v>
      </c>
      <c r="B64" s="1340" t="s">
        <v>2358</v>
      </c>
      <c r="C64" s="1316"/>
      <c r="D64" s="1316"/>
      <c r="E64" s="1327"/>
      <c r="F64" s="1327"/>
      <c r="G64" s="1327"/>
      <c r="H64" s="1327"/>
      <c r="I64" s="1327"/>
      <c r="J64" s="1327"/>
      <c r="K64" s="1327"/>
      <c r="L64" s="1327"/>
      <c r="M64" s="1327"/>
      <c r="N64" s="1327"/>
      <c r="O64" s="1327"/>
      <c r="P64" s="1327"/>
      <c r="Q64" s="1367">
        <f t="shared" si="2"/>
        <v>0</v>
      </c>
    </row>
    <row r="65" spans="1:17" ht="15.75">
      <c r="A65" s="1221" t="s">
        <v>2359</v>
      </c>
      <c r="B65" s="1340" t="s">
        <v>2360</v>
      </c>
      <c r="C65" s="1316"/>
      <c r="D65" s="1316"/>
      <c r="E65" s="1327">
        <f>'Receitas (mensais)'!E107+'Receitas (mensais)'!E111</f>
        <v>578775.67100000009</v>
      </c>
      <c r="F65" s="1327">
        <f>'Receitas (mensais)'!F107+'Receitas (mensais)'!F111</f>
        <v>185593.59100000001</v>
      </c>
      <c r="G65" s="1327">
        <f>'Receitas (mensais)'!G107+'Receitas (mensais)'!G111</f>
        <v>100326.673</v>
      </c>
      <c r="H65" s="1327">
        <f>'Receitas (mensais)'!H107+'Receitas (mensais)'!H111</f>
        <v>185384.72</v>
      </c>
      <c r="I65" s="1327">
        <f>'Receitas (mensais)'!I107+'Receitas (mensais)'!I111</f>
        <v>113225.68800000001</v>
      </c>
      <c r="J65" s="1327">
        <f>'Receitas (mensais)'!J107+'Receitas (mensais)'!J111</f>
        <v>619371.52000000002</v>
      </c>
      <c r="K65" s="1327">
        <f>'Receitas (mensais)'!K107+'Receitas (mensais)'!K111</f>
        <v>873402.69300000009</v>
      </c>
      <c r="L65" s="1327">
        <f>'Receitas (mensais)'!L107+'Receitas (mensais)'!L111</f>
        <v>212923.19300000003</v>
      </c>
      <c r="M65" s="1327">
        <f>'Receitas (mensais)'!M107+'Receitas (mensais)'!M111</f>
        <v>326352.16200000001</v>
      </c>
      <c r="N65" s="1327">
        <f>'Receitas (mensais)'!N107+'Receitas (mensais)'!N111</f>
        <v>106354.931</v>
      </c>
      <c r="O65" s="1327">
        <f>'Receitas (mensais)'!O107+'Receitas (mensais)'!O111</f>
        <v>627786.37399999995</v>
      </c>
      <c r="P65" s="1327">
        <f>'Receitas (mensais)'!P107+'Receitas (mensais)'!P111</f>
        <v>1940049.8730000001</v>
      </c>
      <c r="Q65" s="1367">
        <f t="shared" si="2"/>
        <v>5869547.0889999997</v>
      </c>
    </row>
    <row r="66" spans="1:17" ht="15.75">
      <c r="A66" s="1223" t="s">
        <v>2361</v>
      </c>
      <c r="B66" s="1341" t="s">
        <v>2716</v>
      </c>
      <c r="C66" s="1317"/>
      <c r="D66" s="1317"/>
      <c r="E66" s="1334">
        <f t="shared" ref="E66:P66" si="18">SUM(E67:E70)</f>
        <v>304945.78599999996</v>
      </c>
      <c r="F66" s="1334">
        <f t="shared" si="18"/>
        <v>501032.24700000009</v>
      </c>
      <c r="G66" s="1334">
        <f t="shared" si="18"/>
        <v>328265.79700000002</v>
      </c>
      <c r="H66" s="1334">
        <f t="shared" si="18"/>
        <v>347313.09699999995</v>
      </c>
      <c r="I66" s="1334">
        <f t="shared" si="18"/>
        <v>598622.94400000002</v>
      </c>
      <c r="J66" s="1334">
        <f t="shared" si="18"/>
        <v>782538.17800000007</v>
      </c>
      <c r="K66" s="1334">
        <f t="shared" si="18"/>
        <v>733547.73800000001</v>
      </c>
      <c r="L66" s="1334">
        <f t="shared" si="18"/>
        <v>485347.57800000004</v>
      </c>
      <c r="M66" s="1334">
        <f t="shared" si="18"/>
        <v>383305.78</v>
      </c>
      <c r="N66" s="1334">
        <f t="shared" si="18"/>
        <v>7981319.2999999998</v>
      </c>
      <c r="O66" s="1334">
        <f t="shared" si="18"/>
        <v>1574850.9580000001</v>
      </c>
      <c r="P66" s="1334">
        <f t="shared" si="18"/>
        <v>370739.56999999995</v>
      </c>
      <c r="Q66" s="1369">
        <f t="shared" si="2"/>
        <v>14391828.973000001</v>
      </c>
    </row>
    <row r="67" spans="1:17" ht="15.75">
      <c r="A67" s="1221" t="s">
        <v>2362</v>
      </c>
      <c r="B67" s="1340" t="s">
        <v>2363</v>
      </c>
      <c r="C67" s="1316"/>
      <c r="D67" s="1316"/>
      <c r="E67" s="1331"/>
      <c r="F67" s="1331"/>
      <c r="G67" s="1331"/>
      <c r="H67" s="1331"/>
      <c r="I67" s="1331"/>
      <c r="J67" s="1331"/>
      <c r="K67" s="1331"/>
      <c r="L67" s="1331"/>
      <c r="M67" s="1331"/>
      <c r="N67" s="1331"/>
      <c r="O67" s="1331"/>
      <c r="P67" s="1331"/>
      <c r="Q67" s="1367">
        <f t="shared" si="2"/>
        <v>0</v>
      </c>
    </row>
    <row r="68" spans="1:17" ht="15.75">
      <c r="A68" s="1221" t="s">
        <v>2364</v>
      </c>
      <c r="B68" s="1340" t="s">
        <v>2365</v>
      </c>
      <c r="C68" s="1316"/>
      <c r="D68" s="1316"/>
      <c r="E68" s="1327">
        <f>'Receitas (mensais)'!E118+'Receitas (mensais)'!E119+'Receitas (mensais)'!E120+'Receitas (mensais)'!E126+'Receitas (mensais)'!E200</f>
        <v>165489.34299999999</v>
      </c>
      <c r="F68" s="1327">
        <f>'Receitas (mensais)'!F118+'Receitas (mensais)'!F119+'Receitas (mensais)'!F120+'Receitas (mensais)'!F126+'Receitas (mensais)'!F200</f>
        <v>297206.48600000003</v>
      </c>
      <c r="G68" s="1327">
        <f>'Receitas (mensais)'!G118+'Receitas (mensais)'!G119+'Receitas (mensais)'!G120+'Receitas (mensais)'!G126+'Receitas (mensais)'!G200</f>
        <v>140033.46900000001</v>
      </c>
      <c r="H68" s="1327">
        <f>'Receitas (mensais)'!H118+'Receitas (mensais)'!H119+'Receitas (mensais)'!H120+'Receitas (mensais)'!H126+'Receitas (mensais)'!H200</f>
        <v>162649.98199999999</v>
      </c>
      <c r="I68" s="1327">
        <f>'Receitas (mensais)'!I118+'Receitas (mensais)'!I119+'Receitas (mensais)'!I120+'Receitas (mensais)'!I126+'Receitas (mensais)'!I200</f>
        <v>242763.81400000001</v>
      </c>
      <c r="J68" s="1327">
        <f>'Receitas (mensais)'!J118+'Receitas (mensais)'!J119+'Receitas (mensais)'!J120+'Receitas (mensais)'!J126+'Receitas (mensais)'!J200</f>
        <v>179375.63799999998</v>
      </c>
      <c r="K68" s="1327">
        <f>'Receitas (mensais)'!K118+'Receitas (mensais)'!K119+'Receitas (mensais)'!K120+'Receitas (mensais)'!K126+'Receitas (mensais)'!K200</f>
        <v>237049.33900000001</v>
      </c>
      <c r="L68" s="1327">
        <f>'Receitas (mensais)'!L118+'Receitas (mensais)'!L119+'Receitas (mensais)'!L120+'Receitas (mensais)'!L126+'Receitas (mensais)'!L200</f>
        <v>157366.315</v>
      </c>
      <c r="M68" s="1327">
        <f>'Receitas (mensais)'!M118+'Receitas (mensais)'!M119+'Receitas (mensais)'!M120+'Receitas (mensais)'!M126+'Receitas (mensais)'!M200</f>
        <v>158702.56399999998</v>
      </c>
      <c r="N68" s="1327">
        <f>'Receitas (mensais)'!N118+'Receitas (mensais)'!N119+'Receitas (mensais)'!N120+'Receitas (mensais)'!N126+'Receitas (mensais)'!N200</f>
        <v>7807660.2829999998</v>
      </c>
      <c r="O68" s="1327">
        <f>'Receitas (mensais)'!O118+'Receitas (mensais)'!O119+'Receitas (mensais)'!O120+'Receitas (mensais)'!O126+'Receitas (mensais)'!O200</f>
        <v>1465795.706</v>
      </c>
      <c r="P68" s="1327">
        <f>'Receitas (mensais)'!P118+'Receitas (mensais)'!P119+'Receitas (mensais)'!P120+'Receitas (mensais)'!P126+'Receitas (mensais)'!P200</f>
        <v>179731.965</v>
      </c>
      <c r="Q68" s="1367">
        <f t="shared" si="2"/>
        <v>11193824.903999999</v>
      </c>
    </row>
    <row r="69" spans="1:17" ht="15.75">
      <c r="A69" s="1221" t="s">
        <v>2366</v>
      </c>
      <c r="B69" s="1340" t="s">
        <v>2367</v>
      </c>
      <c r="C69" s="1316"/>
      <c r="D69" s="1316"/>
      <c r="E69" s="1327">
        <f>'Receitas (mensais)'!E241</f>
        <v>139456.443</v>
      </c>
      <c r="F69" s="1327">
        <f>'Receitas (mensais)'!F241</f>
        <v>203825.76100000003</v>
      </c>
      <c r="G69" s="1327">
        <f>'Receitas (mensais)'!G241</f>
        <v>188232.32800000001</v>
      </c>
      <c r="H69" s="1327">
        <f>'Receitas (mensais)'!H241</f>
        <v>184663.11499999999</v>
      </c>
      <c r="I69" s="1327">
        <f>'Receitas (mensais)'!I241</f>
        <v>355859.13</v>
      </c>
      <c r="J69" s="1327">
        <f>'Receitas (mensais)'!J241</f>
        <v>603162.54</v>
      </c>
      <c r="K69" s="1327">
        <f>'Receitas (mensais)'!K241</f>
        <v>496498.39899999998</v>
      </c>
      <c r="L69" s="1327">
        <f>'Receitas (mensais)'!L241</f>
        <v>327981.26300000004</v>
      </c>
      <c r="M69" s="1327">
        <f>'Receitas (mensais)'!M241</f>
        <v>224603.21600000001</v>
      </c>
      <c r="N69" s="1327">
        <f>'Receitas (mensais)'!N241</f>
        <v>173659.01700000002</v>
      </c>
      <c r="O69" s="1327">
        <f>'Receitas (mensais)'!O241</f>
        <v>109055.25199999999</v>
      </c>
      <c r="P69" s="1327">
        <f>'Receitas (mensais)'!P241</f>
        <v>191007.60499999998</v>
      </c>
      <c r="Q69" s="1367">
        <f t="shared" si="2"/>
        <v>3198004.0690000001</v>
      </c>
    </row>
    <row r="70" spans="1:17" ht="15.75">
      <c r="A70" s="1221" t="s">
        <v>2368</v>
      </c>
      <c r="B70" s="1340" t="s">
        <v>2369</v>
      </c>
      <c r="C70" s="1316"/>
      <c r="D70" s="1316"/>
      <c r="E70" s="1331"/>
      <c r="F70" s="1331"/>
      <c r="G70" s="1331"/>
      <c r="H70" s="1331"/>
      <c r="I70" s="1331"/>
      <c r="J70" s="1331"/>
      <c r="K70" s="1331"/>
      <c r="L70" s="1331"/>
      <c r="M70" s="1331"/>
      <c r="N70" s="1331"/>
      <c r="O70" s="1331"/>
      <c r="P70" s="1331"/>
      <c r="Q70" s="1367">
        <f t="shared" ref="Q70:Q75" si="19">SUM(E70:P70)</f>
        <v>0</v>
      </c>
    </row>
    <row r="71" spans="1:17" ht="15.75">
      <c r="A71" s="1223" t="s">
        <v>2370</v>
      </c>
      <c r="B71" s="1341" t="s">
        <v>2717</v>
      </c>
      <c r="C71" s="1317"/>
      <c r="D71" s="1317"/>
      <c r="E71" s="1336">
        <f>'Receitas (mensais)'!E155</f>
        <v>3663.337</v>
      </c>
      <c r="F71" s="1336">
        <f>'Receitas (mensais)'!F155</f>
        <v>77067.451000000001</v>
      </c>
      <c r="G71" s="1336">
        <f>'Receitas (mensais)'!G155</f>
        <v>1484</v>
      </c>
      <c r="H71" s="1336">
        <f>'Receitas (mensais)'!H155</f>
        <v>7468.2060000000001</v>
      </c>
      <c r="I71" s="1336">
        <f>'Receitas (mensais)'!I155</f>
        <v>192305.641</v>
      </c>
      <c r="J71" s="1336">
        <f>'Receitas (mensais)'!J155</f>
        <v>132272.75</v>
      </c>
      <c r="K71" s="1336">
        <f>'Receitas (mensais)'!K155</f>
        <v>8074.4699999999993</v>
      </c>
      <c r="L71" s="1336">
        <f>'Receitas (mensais)'!L155</f>
        <v>125938.041</v>
      </c>
      <c r="M71" s="1336">
        <f>'Receitas (mensais)'!M155</f>
        <v>2841.8780000000002</v>
      </c>
      <c r="N71" s="1336">
        <f>'Receitas (mensais)'!N155</f>
        <v>6180.8490000000002</v>
      </c>
      <c r="O71" s="1336">
        <f>'Receitas (mensais)'!O155</f>
        <v>2637.1509999999998</v>
      </c>
      <c r="P71" s="1336">
        <f>'Receitas (mensais)'!P155</f>
        <v>5720.42</v>
      </c>
      <c r="Q71" s="1367">
        <f t="shared" si="19"/>
        <v>565654.19400000002</v>
      </c>
    </row>
    <row r="72" spans="1:17" ht="15.75">
      <c r="A72" s="1223" t="s">
        <v>2371</v>
      </c>
      <c r="B72" s="1341" t="s">
        <v>2718</v>
      </c>
      <c r="C72" s="1317"/>
      <c r="D72" s="1317"/>
      <c r="E72" s="1336">
        <f t="shared" ref="E72:P72" si="20">SUM(E73:E74)</f>
        <v>0</v>
      </c>
      <c r="F72" s="1336">
        <f t="shared" si="20"/>
        <v>0</v>
      </c>
      <c r="G72" s="1336">
        <f t="shared" si="20"/>
        <v>0</v>
      </c>
      <c r="H72" s="1336">
        <f t="shared" si="20"/>
        <v>0</v>
      </c>
      <c r="I72" s="1336">
        <f t="shared" si="20"/>
        <v>0</v>
      </c>
      <c r="J72" s="1336">
        <f t="shared" si="20"/>
        <v>0</v>
      </c>
      <c r="K72" s="1336">
        <f t="shared" si="20"/>
        <v>0</v>
      </c>
      <c r="L72" s="1336">
        <f t="shared" si="20"/>
        <v>0</v>
      </c>
      <c r="M72" s="1336">
        <f t="shared" si="20"/>
        <v>0</v>
      </c>
      <c r="N72" s="1336">
        <f t="shared" si="20"/>
        <v>0</v>
      </c>
      <c r="O72" s="1336">
        <f t="shared" si="20"/>
        <v>0</v>
      </c>
      <c r="P72" s="1336">
        <f t="shared" si="20"/>
        <v>0</v>
      </c>
      <c r="Q72" s="1369">
        <f t="shared" si="19"/>
        <v>0</v>
      </c>
    </row>
    <row r="73" spans="1:17" ht="15.75">
      <c r="A73" s="1221" t="s">
        <v>2372</v>
      </c>
      <c r="B73" s="1340" t="s">
        <v>2373</v>
      </c>
      <c r="C73" s="1316"/>
      <c r="D73" s="1316"/>
      <c r="E73" s="1331">
        <f>'Receitas (mensais)'!E307</f>
        <v>0</v>
      </c>
      <c r="F73" s="1331">
        <f>'Receitas (mensais)'!F307</f>
        <v>0</v>
      </c>
      <c r="G73" s="1331">
        <f>'Receitas (mensais)'!G307</f>
        <v>0</v>
      </c>
      <c r="H73" s="1331">
        <f>'Receitas (mensais)'!H307</f>
        <v>0</v>
      </c>
      <c r="I73" s="1331">
        <f>'Receitas (mensais)'!I307</f>
        <v>0</v>
      </c>
      <c r="J73" s="1331">
        <f>'Receitas (mensais)'!J307</f>
        <v>0</v>
      </c>
      <c r="K73" s="1331">
        <f>'Receitas (mensais)'!K307</f>
        <v>0</v>
      </c>
      <c r="L73" s="1331">
        <f>'Receitas (mensais)'!L307</f>
        <v>0</v>
      </c>
      <c r="M73" s="1331">
        <f>'Receitas (mensais)'!M307</f>
        <v>0</v>
      </c>
      <c r="N73" s="1331">
        <f>'Receitas (mensais)'!N307</f>
        <v>0</v>
      </c>
      <c r="O73" s="1331">
        <f>'Receitas (mensais)'!O307</f>
        <v>0</v>
      </c>
      <c r="P73" s="1331">
        <f>'Receitas (mensais)'!P307</f>
        <v>0</v>
      </c>
      <c r="Q73" s="1367">
        <f t="shared" si="19"/>
        <v>0</v>
      </c>
    </row>
    <row r="74" spans="1:17" ht="15.75">
      <c r="A74" s="1221" t="s">
        <v>2374</v>
      </c>
      <c r="B74" s="1340" t="s">
        <v>2375</v>
      </c>
      <c r="C74" s="1316"/>
      <c r="D74" s="1316"/>
      <c r="E74" s="1331"/>
      <c r="F74" s="1331"/>
      <c r="G74" s="1331"/>
      <c r="H74" s="1331"/>
      <c r="I74" s="1331"/>
      <c r="J74" s="1331"/>
      <c r="K74" s="1331"/>
      <c r="L74" s="1331"/>
      <c r="M74" s="1331"/>
      <c r="N74" s="1331"/>
      <c r="O74" s="1331"/>
      <c r="P74" s="1331"/>
      <c r="Q74" s="1367">
        <f t="shared" si="19"/>
        <v>0</v>
      </c>
    </row>
    <row r="75" spans="1:17" ht="16.5" thickBot="1">
      <c r="A75" s="1271" t="s">
        <v>2550</v>
      </c>
      <c r="B75" s="1346" t="s">
        <v>2719</v>
      </c>
      <c r="C75" s="1322"/>
      <c r="D75" s="1322"/>
      <c r="E75" s="1334">
        <f>'Receitas (mensais)'!E324+'Receitas (mensais)'!E180+'Receitas (mensais)'!E187+'Receitas (mensais)'!E196</f>
        <v>0</v>
      </c>
      <c r="F75" s="1334">
        <f>'Receitas (mensais)'!F324+'Receitas (mensais)'!F180+'Receitas (mensais)'!F187+'Receitas (mensais)'!F196</f>
        <v>1033.615</v>
      </c>
      <c r="G75" s="1334">
        <f>'Receitas (mensais)'!G324+'Receitas (mensais)'!G180+'Receitas (mensais)'!G187+'Receitas (mensais)'!G196</f>
        <v>603.05999999999995</v>
      </c>
      <c r="H75" s="1334">
        <f>'Receitas (mensais)'!H324+'Receitas (mensais)'!H180+'Receitas (mensais)'!H187+'Receitas (mensais)'!H196</f>
        <v>646.47900000000004</v>
      </c>
      <c r="I75" s="1334">
        <f>'Receitas (mensais)'!I324+'Receitas (mensais)'!I180+'Receitas (mensais)'!I187+'Receitas (mensais)'!I196</f>
        <v>1662.826</v>
      </c>
      <c r="J75" s="1334">
        <f>'Receitas (mensais)'!J324+'Receitas (mensais)'!J180+'Receitas (mensais)'!J187+'Receitas (mensais)'!J196</f>
        <v>766.875</v>
      </c>
      <c r="K75" s="1334">
        <f>'Receitas (mensais)'!K324+'Receitas (mensais)'!K180+'Receitas (mensais)'!K187+'Receitas (mensais)'!K196</f>
        <v>1525.2080000000001</v>
      </c>
      <c r="L75" s="1334">
        <f>'Receitas (mensais)'!L324+'Receitas (mensais)'!L180+'Receitas (mensais)'!L187+'Receitas (mensais)'!L196</f>
        <v>62.5</v>
      </c>
      <c r="M75" s="1334">
        <f>'Receitas (mensais)'!M324+'Receitas (mensais)'!M180+'Receitas (mensais)'!M187+'Receitas (mensais)'!M196</f>
        <v>203.78899999999999</v>
      </c>
      <c r="N75" s="1334">
        <f>'Receitas (mensais)'!N324+'Receitas (mensais)'!N180+'Receitas (mensais)'!N187+'Receitas (mensais)'!N196</f>
        <v>75.007000000000005</v>
      </c>
      <c r="O75" s="1334">
        <f>'Receitas (mensais)'!O324+'Receitas (mensais)'!O180+'Receitas (mensais)'!O187+'Receitas (mensais)'!O196</f>
        <v>0</v>
      </c>
      <c r="P75" s="1334">
        <f>'Receitas (mensais)'!P324+'Receitas (mensais)'!P180+'Receitas (mensais)'!P187+'Receitas (mensais)'!P196</f>
        <v>64.12</v>
      </c>
      <c r="Q75" s="1367">
        <f t="shared" si="19"/>
        <v>6643.4789999999994</v>
      </c>
    </row>
  </sheetData>
  <pageMargins left="0.26" right="0.25" top="0.34" bottom="0.47" header="0.31496062992125984" footer="0.31496062992125984"/>
  <pageSetup paperSize="9" scale="6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3"/>
  <dimension ref="A1:R163"/>
  <sheetViews>
    <sheetView zoomScale="98" zoomScaleNormal="98" workbookViewId="0">
      <pane xSplit="2" topLeftCell="I1" activePane="topRight" state="frozen"/>
      <selection pane="topRight" activeCell="Q10" sqref="Q10"/>
    </sheetView>
  </sheetViews>
  <sheetFormatPr defaultRowHeight="12.75"/>
  <cols>
    <col min="1" max="1" width="11" customWidth="1"/>
    <col min="2" max="2" width="42.7109375" customWidth="1"/>
    <col min="3" max="3" width="11.28515625" customWidth="1"/>
    <col min="4" max="4" width="10.85546875" customWidth="1"/>
    <col min="5" max="5" width="12.28515625" customWidth="1"/>
    <col min="6" max="6" width="12.7109375" customWidth="1"/>
    <col min="7" max="7" width="13.28515625" customWidth="1"/>
    <col min="8" max="8" width="12.140625" customWidth="1"/>
    <col min="9" max="9" width="12.42578125" customWidth="1"/>
    <col min="10" max="10" width="12.7109375" customWidth="1"/>
    <col min="11" max="11" width="13.140625" customWidth="1"/>
    <col min="12" max="12" width="12.5703125" customWidth="1"/>
    <col min="13" max="13" width="14.140625" customWidth="1"/>
    <col min="14" max="14" width="13.5703125" customWidth="1"/>
    <col min="15" max="15" width="13.140625" customWidth="1"/>
    <col min="16" max="16" width="13" customWidth="1"/>
    <col min="17" max="17" width="14.140625" customWidth="1"/>
  </cols>
  <sheetData>
    <row r="1" spans="1:18" ht="13.5" thickBot="1"/>
    <row r="2" spans="1:18" ht="9.9499999999999993" customHeight="1" thickBot="1">
      <c r="A2" s="1307"/>
      <c r="B2" s="2281" t="s">
        <v>2376</v>
      </c>
      <c r="C2" s="1232"/>
      <c r="D2" s="1232"/>
      <c r="E2" s="2279">
        <v>41275</v>
      </c>
      <c r="F2" s="2279">
        <v>41306</v>
      </c>
      <c r="G2" s="2279">
        <v>41334</v>
      </c>
      <c r="H2" s="2279">
        <v>41365</v>
      </c>
      <c r="I2" s="2279">
        <v>41395</v>
      </c>
      <c r="J2" s="2279">
        <v>41426</v>
      </c>
      <c r="K2" s="2279">
        <v>41456</v>
      </c>
      <c r="L2" s="2279">
        <v>41487</v>
      </c>
      <c r="M2" s="2279">
        <v>41518</v>
      </c>
      <c r="N2" s="2279">
        <v>41548</v>
      </c>
      <c r="O2" s="2279">
        <v>41579</v>
      </c>
      <c r="P2" s="2279">
        <v>41609</v>
      </c>
      <c r="Q2" s="2279" t="s">
        <v>208</v>
      </c>
    </row>
    <row r="3" spans="1:18" ht="9.9499999999999993" customHeight="1" thickBot="1">
      <c r="A3" s="1307"/>
      <c r="B3" s="2281"/>
      <c r="C3" s="1233"/>
      <c r="D3" s="1233"/>
      <c r="E3" s="2280"/>
      <c r="F3" s="2280"/>
      <c r="G3" s="2280"/>
      <c r="H3" s="2280"/>
      <c r="I3" s="2280"/>
      <c r="J3" s="2280"/>
      <c r="K3" s="2280"/>
      <c r="L3" s="2280"/>
      <c r="M3" s="2280"/>
      <c r="N3" s="2280"/>
      <c r="O3" s="2280"/>
      <c r="P3" s="2280"/>
      <c r="Q3" s="2280"/>
    </row>
    <row r="4" spans="1:18" ht="18.75">
      <c r="A4" s="1313">
        <v>2</v>
      </c>
      <c r="B4" s="1308" t="s">
        <v>2377</v>
      </c>
      <c r="C4" s="1234"/>
      <c r="D4" s="1234"/>
      <c r="E4" s="1230">
        <f>E5+E10+E11+E12+E16+E19+E29+E33</f>
        <v>6878238.0820196802</v>
      </c>
      <c r="F4" s="1230">
        <f t="shared" ref="F4:P4" si="0">F5+F10+F11+F12+F16+F19+F29+F33</f>
        <v>11563439.991312649</v>
      </c>
      <c r="G4" s="1230">
        <f t="shared" si="0"/>
        <v>17303781.412956491</v>
      </c>
      <c r="H4" s="1230">
        <f t="shared" si="0"/>
        <v>10602004.944373885</v>
      </c>
      <c r="I4" s="1230">
        <f t="shared" si="0"/>
        <v>5942231.9006650001</v>
      </c>
      <c r="J4" s="1230">
        <f t="shared" si="0"/>
        <v>11120286.40408442</v>
      </c>
      <c r="K4" s="1230">
        <f t="shared" si="0"/>
        <v>9382791.5740480013</v>
      </c>
      <c r="L4" s="1230">
        <f t="shared" si="0"/>
        <v>10855349.889</v>
      </c>
      <c r="M4" s="1230">
        <f t="shared" si="0"/>
        <v>10043625.322085101</v>
      </c>
      <c r="N4" s="1230">
        <f t="shared" si="0"/>
        <v>10936269.536614999</v>
      </c>
      <c r="O4" s="1230">
        <f t="shared" si="0"/>
        <v>8754336.1535251997</v>
      </c>
      <c r="P4" s="1230">
        <f t="shared" si="0"/>
        <v>10141135.08895194</v>
      </c>
      <c r="Q4" s="1230">
        <f>Q5+Q10+Q11+Q12+Q16+Q19+Q29+Q33</f>
        <v>123368275.63563736</v>
      </c>
      <c r="R4" s="1375" t="s">
        <v>2752</v>
      </c>
    </row>
    <row r="5" spans="1:18" ht="18.75">
      <c r="A5" s="1309" t="s">
        <v>481</v>
      </c>
      <c r="B5" s="1309" t="s">
        <v>2378</v>
      </c>
      <c r="C5" s="1235"/>
      <c r="D5" s="1235"/>
      <c r="E5" s="1230">
        <f>SUM(E6:E7)</f>
        <v>3546706</v>
      </c>
      <c r="F5" s="1230">
        <f t="shared" ref="F5:P5" si="1">SUM(F6:F7)</f>
        <v>4497594</v>
      </c>
      <c r="G5" s="1230">
        <f t="shared" si="1"/>
        <v>3461803</v>
      </c>
      <c r="H5" s="1230">
        <f t="shared" si="1"/>
        <v>3775373</v>
      </c>
      <c r="I5" s="1230">
        <f t="shared" si="1"/>
        <v>3247611</v>
      </c>
      <c r="J5" s="1230">
        <f t="shared" si="1"/>
        <v>4400221</v>
      </c>
      <c r="K5" s="1230">
        <f t="shared" si="1"/>
        <v>3523960</v>
      </c>
      <c r="L5" s="1230">
        <f t="shared" si="1"/>
        <v>3674820</v>
      </c>
      <c r="M5" s="1230">
        <f t="shared" si="1"/>
        <v>3557583</v>
      </c>
      <c r="N5" s="1230">
        <f t="shared" si="1"/>
        <v>3639094</v>
      </c>
      <c r="O5" s="1230">
        <f t="shared" si="1"/>
        <v>3722947</v>
      </c>
      <c r="P5" s="1230">
        <f t="shared" si="1"/>
        <v>4427291</v>
      </c>
      <c r="Q5" s="1230">
        <f>SUM(Q6:Q7)</f>
        <v>45475003</v>
      </c>
    </row>
    <row r="6" spans="1:18" ht="18.75">
      <c r="A6" s="1310" t="s">
        <v>487</v>
      </c>
      <c r="B6" s="1310" t="s">
        <v>2379</v>
      </c>
      <c r="C6" s="1236"/>
      <c r="D6" s="1236"/>
      <c r="E6" s="1222">
        <f>'Ordon-Dep'!E7</f>
        <v>3546706</v>
      </c>
      <c r="F6" s="1222">
        <f>'Ordon-Dep'!F7</f>
        <v>4497594</v>
      </c>
      <c r="G6" s="1222">
        <f>'Ordon-Dep'!G7</f>
        <v>3461803</v>
      </c>
      <c r="H6" s="1222">
        <f>'Ordon-Dep'!H7</f>
        <v>3775373</v>
      </c>
      <c r="I6" s="1222">
        <f>'Ordon-Dep'!I7</f>
        <v>3247611</v>
      </c>
      <c r="J6" s="1222">
        <f>'Ordon-Dep'!J7</f>
        <v>4400221</v>
      </c>
      <c r="K6" s="1222">
        <f>'Ordon-Dep'!K7</f>
        <v>3523960</v>
      </c>
      <c r="L6" s="1222">
        <f>'Ordon-Dep'!L7</f>
        <v>3674820</v>
      </c>
      <c r="M6" s="1222">
        <f>'Ordon-Dep'!M7</f>
        <v>3557583</v>
      </c>
      <c r="N6" s="1222">
        <f>'Ordon-Dep'!N7</f>
        <v>3639094</v>
      </c>
      <c r="O6" s="1222">
        <f>'Ordon-Dep'!O7</f>
        <v>3722947</v>
      </c>
      <c r="P6" s="1222">
        <f>'Ordon-Dep'!P7</f>
        <v>4427291</v>
      </c>
      <c r="Q6" s="1222">
        <f>'Ordon-Dep'!Q7</f>
        <v>45475003</v>
      </c>
    </row>
    <row r="7" spans="1:18" ht="18.75">
      <c r="A7" s="1310" t="s">
        <v>513</v>
      </c>
      <c r="B7" s="1310" t="s">
        <v>2380</v>
      </c>
      <c r="C7" s="1236"/>
      <c r="D7" s="1236"/>
      <c r="E7" s="1222">
        <f>SUM(E8:E9)</f>
        <v>0</v>
      </c>
      <c r="F7" s="1222">
        <f t="shared" ref="F7:P7" si="2">SUM(F8:F9)</f>
        <v>0</v>
      </c>
      <c r="G7" s="1222">
        <f t="shared" si="2"/>
        <v>0</v>
      </c>
      <c r="H7" s="1222">
        <f t="shared" si="2"/>
        <v>0</v>
      </c>
      <c r="I7" s="1222">
        <f t="shared" si="2"/>
        <v>0</v>
      </c>
      <c r="J7" s="1222">
        <f t="shared" si="2"/>
        <v>0</v>
      </c>
      <c r="K7" s="1222">
        <f t="shared" si="2"/>
        <v>0</v>
      </c>
      <c r="L7" s="1222">
        <f t="shared" si="2"/>
        <v>0</v>
      </c>
      <c r="M7" s="1222">
        <f t="shared" si="2"/>
        <v>0</v>
      </c>
      <c r="N7" s="1222">
        <f t="shared" si="2"/>
        <v>0</v>
      </c>
      <c r="O7" s="1222">
        <f t="shared" si="2"/>
        <v>0</v>
      </c>
      <c r="P7" s="1222">
        <f t="shared" si="2"/>
        <v>0</v>
      </c>
      <c r="Q7" s="1222">
        <f>SUM(Q8:Q9)</f>
        <v>0</v>
      </c>
    </row>
    <row r="8" spans="1:18" ht="18.75">
      <c r="A8" s="1311" t="s">
        <v>521</v>
      </c>
      <c r="B8" s="1311" t="s">
        <v>2381</v>
      </c>
      <c r="C8" s="1237"/>
      <c r="D8" s="1237"/>
      <c r="E8" s="1222"/>
      <c r="F8" s="1222"/>
      <c r="G8" s="1222"/>
      <c r="H8" s="1222"/>
      <c r="I8" s="1222"/>
      <c r="J8" s="1222"/>
      <c r="K8" s="1222"/>
      <c r="L8" s="1222"/>
      <c r="M8" s="1222"/>
      <c r="N8" s="1222"/>
      <c r="O8" s="1222"/>
      <c r="P8" s="1222"/>
      <c r="Q8" s="1222"/>
    </row>
    <row r="9" spans="1:18" ht="18.75">
      <c r="A9" s="1311" t="s">
        <v>524</v>
      </c>
      <c r="B9" s="1311" t="s">
        <v>2382</v>
      </c>
      <c r="C9" s="1237"/>
      <c r="D9" s="1237"/>
      <c r="E9" s="1222"/>
      <c r="F9" s="1222"/>
      <c r="G9" s="1222"/>
      <c r="H9" s="1222"/>
      <c r="I9" s="1222"/>
      <c r="J9" s="1222"/>
      <c r="K9" s="1222"/>
      <c r="L9" s="1222"/>
      <c r="M9" s="1222"/>
      <c r="N9" s="1222"/>
      <c r="O9" s="1222"/>
      <c r="P9" s="1222"/>
      <c r="Q9" s="1222"/>
    </row>
    <row r="10" spans="1:18" ht="18.75">
      <c r="A10" s="1309" t="s">
        <v>530</v>
      </c>
      <c r="B10" s="1309" t="s">
        <v>2383</v>
      </c>
      <c r="C10" s="1235"/>
      <c r="D10" s="1235"/>
      <c r="E10" s="1230">
        <f>'Ordon-Dep'!E13</f>
        <v>686473</v>
      </c>
      <c r="F10" s="1230">
        <f>'Ordon-Dep'!F13</f>
        <v>2537129</v>
      </c>
      <c r="G10" s="1230">
        <f>'Ordon-Dep'!G13</f>
        <v>1049924.6640000001</v>
      </c>
      <c r="H10" s="1230">
        <f>'Ordon-Dep'!H13</f>
        <v>1405939</v>
      </c>
      <c r="I10" s="1230">
        <f>'Ordon-Dep'!I13</f>
        <v>293793</v>
      </c>
      <c r="J10" s="1230">
        <f>'Ordon-Dep'!J13</f>
        <v>2369321</v>
      </c>
      <c r="K10" s="1230">
        <f>'Ordon-Dep'!K13</f>
        <v>1457666</v>
      </c>
      <c r="L10" s="1230">
        <f>'Ordon-Dep'!L13</f>
        <v>1486964</v>
      </c>
      <c r="M10" s="1230">
        <f>'Ordon-Dep'!M13</f>
        <v>1421689</v>
      </c>
      <c r="N10" s="1230">
        <f>'Ordon-Dep'!N13</f>
        <v>1367113</v>
      </c>
      <c r="O10" s="1230">
        <f>'Ordon-Dep'!O13</f>
        <v>1681653</v>
      </c>
      <c r="P10" s="1230">
        <f>'Ordon-Dep'!P13</f>
        <v>1629753</v>
      </c>
      <c r="Q10" s="1230">
        <f>'Ordon-Dep'!Q13</f>
        <v>17232203</v>
      </c>
    </row>
    <row r="11" spans="1:18" ht="18.75">
      <c r="A11" s="1309" t="s">
        <v>2384</v>
      </c>
      <c r="B11" s="1309" t="s">
        <v>2385</v>
      </c>
      <c r="C11" s="1235"/>
      <c r="D11" s="1235"/>
      <c r="E11" s="1230"/>
      <c r="F11" s="1230"/>
      <c r="G11" s="1230"/>
      <c r="H11" s="1230"/>
      <c r="I11" s="1230"/>
      <c r="J11" s="1230"/>
      <c r="K11" s="1230"/>
      <c r="L11" s="1230"/>
      <c r="M11" s="1230"/>
      <c r="N11" s="1230"/>
      <c r="O11" s="1230"/>
      <c r="P11" s="1230"/>
      <c r="Q11" s="1230"/>
    </row>
    <row r="12" spans="1:18" ht="18.75">
      <c r="A12" s="1309" t="s">
        <v>2386</v>
      </c>
      <c r="B12" s="1309" t="s">
        <v>2387</v>
      </c>
      <c r="C12" s="1235"/>
      <c r="D12" s="1235"/>
      <c r="E12" s="1230">
        <f>SUM(E13:E15)</f>
        <v>242252.08201967998</v>
      </c>
      <c r="F12" s="1230">
        <f t="shared" ref="F12:P12" si="3">SUM(F13:F15)</f>
        <v>330538.99131265003</v>
      </c>
      <c r="G12" s="1230">
        <f t="shared" si="3"/>
        <v>207313.16995648976</v>
      </c>
      <c r="H12" s="1230">
        <f t="shared" si="3"/>
        <v>2359092.9443738847</v>
      </c>
      <c r="I12" s="1230">
        <f t="shared" si="3"/>
        <v>52372.900665000001</v>
      </c>
      <c r="J12" s="1230">
        <f t="shared" si="3"/>
        <v>761733.40408442006</v>
      </c>
      <c r="K12" s="1230">
        <f t="shared" si="3"/>
        <v>942839.57404800004</v>
      </c>
      <c r="L12" s="1230">
        <f t="shared" si="3"/>
        <v>550573.88899999997</v>
      </c>
      <c r="M12" s="1230">
        <f t="shared" si="3"/>
        <v>502892.32208510005</v>
      </c>
      <c r="N12" s="1230">
        <f t="shared" si="3"/>
        <v>1083713.5366149999</v>
      </c>
      <c r="O12" s="1230">
        <f t="shared" si="3"/>
        <v>302280.15352519997</v>
      </c>
      <c r="P12" s="1230">
        <f t="shared" si="3"/>
        <v>483264.08895194007</v>
      </c>
      <c r="Q12" s="1230">
        <f>SUM(Q13:Q15)</f>
        <v>7818867.0566373644</v>
      </c>
    </row>
    <row r="13" spans="1:18" ht="18.75">
      <c r="A13" s="1310" t="s">
        <v>2388</v>
      </c>
      <c r="B13" s="1310" t="s">
        <v>2389</v>
      </c>
      <c r="C13" s="1236"/>
      <c r="D13" s="1236"/>
      <c r="E13" s="1222">
        <f>'Ordon-Dep'!E5</f>
        <v>242252.08201967998</v>
      </c>
      <c r="F13" s="1222">
        <f>'Ordon-Dep'!F5</f>
        <v>57937.760312650003</v>
      </c>
      <c r="G13" s="1222">
        <f>'Ordon-Dep'!G5</f>
        <v>93256.528511389697</v>
      </c>
      <c r="H13" s="1222">
        <f>'Ordon-Dep'!H5</f>
        <v>551493.52637388499</v>
      </c>
      <c r="I13" s="1222">
        <f>'Ordon-Dep'!I5</f>
        <v>22907.567665000002</v>
      </c>
      <c r="J13" s="1222">
        <f>'Ordon-Dep'!J5</f>
        <v>520896.20263931999</v>
      </c>
      <c r="K13" s="1222">
        <f>'Ordon-Dep'!K5</f>
        <v>279819.81404800003</v>
      </c>
      <c r="L13" s="1222">
        <f>'Ordon-Dep'!L5</f>
        <v>95917.945000000007</v>
      </c>
      <c r="M13" s="1222">
        <f>'Ordon-Dep'!M5</f>
        <v>130676.35164000001</v>
      </c>
      <c r="N13" s="1222">
        <f>'Ordon-Dep'!N5</f>
        <v>723790.09461499983</v>
      </c>
      <c r="O13" s="1222">
        <f>'Ordon-Dep'!O5</f>
        <v>50926.7265252</v>
      </c>
      <c r="P13" s="1222">
        <f>'Ordon-Dep'!P5</f>
        <v>372484.62850683997</v>
      </c>
      <c r="Q13" s="1222">
        <f>'Ordon-Dep'!Q5</f>
        <v>3142359.2278569639</v>
      </c>
    </row>
    <row r="14" spans="1:18" ht="18.75">
      <c r="A14" s="1310" t="s">
        <v>2390</v>
      </c>
      <c r="B14" s="1310" t="s">
        <v>2391</v>
      </c>
      <c r="C14" s="1236"/>
      <c r="D14" s="1236"/>
      <c r="E14" s="1222">
        <f>'Ordon-Dep'!E4</f>
        <v>0</v>
      </c>
      <c r="F14" s="1222">
        <f>'Ordon-Dep'!F4</f>
        <v>272601.23100000003</v>
      </c>
      <c r="G14" s="1222">
        <f>'Ordon-Dep'!G4</f>
        <v>114056.64144510006</v>
      </c>
      <c r="H14" s="1222">
        <f>'Ordon-Dep'!H4</f>
        <v>1807599.4179999998</v>
      </c>
      <c r="I14" s="1222">
        <f>'Ordon-Dep'!I4</f>
        <v>29465.332999999999</v>
      </c>
      <c r="J14" s="1222">
        <f>'Ordon-Dep'!J4</f>
        <v>240837.20144510007</v>
      </c>
      <c r="K14" s="1222">
        <f>'Ordon-Dep'!K4</f>
        <v>663019.76</v>
      </c>
      <c r="L14" s="1222">
        <f>'Ordon-Dep'!L4</f>
        <v>454655.94400000002</v>
      </c>
      <c r="M14" s="1222">
        <f>'Ordon-Dep'!M4</f>
        <v>372215.97044510004</v>
      </c>
      <c r="N14" s="1222">
        <f>'Ordon-Dep'!N4</f>
        <v>359923.44199999998</v>
      </c>
      <c r="O14" s="1222">
        <f>'Ordon-Dep'!O4</f>
        <v>251353.427</v>
      </c>
      <c r="P14" s="1222">
        <f>'Ordon-Dep'!P4</f>
        <v>110779.46044510006</v>
      </c>
      <c r="Q14" s="1222">
        <f>'Ordon-Dep'!Q4</f>
        <v>4676507.8287804006</v>
      </c>
    </row>
    <row r="15" spans="1:18" ht="18.75">
      <c r="A15" s="1310" t="s">
        <v>2392</v>
      </c>
      <c r="B15" s="1310" t="s">
        <v>2393</v>
      </c>
      <c r="C15" s="1236"/>
      <c r="D15" s="1236"/>
      <c r="E15" s="1222"/>
      <c r="F15" s="1222"/>
      <c r="G15" s="1222"/>
      <c r="H15" s="1222"/>
      <c r="I15" s="1222"/>
      <c r="J15" s="1222"/>
      <c r="K15" s="1222"/>
      <c r="L15" s="1222"/>
      <c r="M15" s="1222"/>
      <c r="N15" s="1222"/>
      <c r="O15" s="1222"/>
      <c r="P15" s="1222"/>
      <c r="Q15" s="1222"/>
    </row>
    <row r="16" spans="1:18" ht="18.75">
      <c r="A16" s="1309" t="s">
        <v>2394</v>
      </c>
      <c r="B16" s="1309" t="s">
        <v>2395</v>
      </c>
      <c r="C16" s="1235"/>
      <c r="D16" s="1235"/>
      <c r="E16" s="1230">
        <f>SUM(E17:E18)</f>
        <v>0</v>
      </c>
      <c r="F16" s="1230">
        <f t="shared" ref="F16:P16" si="4">SUM(F17:F18)</f>
        <v>0</v>
      </c>
      <c r="G16" s="1230">
        <f t="shared" si="4"/>
        <v>0</v>
      </c>
      <c r="H16" s="1230">
        <f t="shared" si="4"/>
        <v>0</v>
      </c>
      <c r="I16" s="1230">
        <f t="shared" si="4"/>
        <v>0</v>
      </c>
      <c r="J16" s="1230">
        <f t="shared" si="4"/>
        <v>0</v>
      </c>
      <c r="K16" s="1230">
        <f t="shared" si="4"/>
        <v>0</v>
      </c>
      <c r="L16" s="1230">
        <f t="shared" si="4"/>
        <v>0</v>
      </c>
      <c r="M16" s="1230">
        <f t="shared" si="4"/>
        <v>0</v>
      </c>
      <c r="N16" s="1230">
        <f t="shared" si="4"/>
        <v>0</v>
      </c>
      <c r="O16" s="1230">
        <f t="shared" si="4"/>
        <v>0</v>
      </c>
      <c r="P16" s="1230">
        <f t="shared" si="4"/>
        <v>0</v>
      </c>
      <c r="Q16" s="1230">
        <f>SUM(Q17:Q18)</f>
        <v>0</v>
      </c>
    </row>
    <row r="17" spans="1:17" ht="18.75">
      <c r="A17" s="1310" t="s">
        <v>2396</v>
      </c>
      <c r="B17" s="1310" t="s">
        <v>2397</v>
      </c>
      <c r="C17" s="1236"/>
      <c r="D17" s="1236"/>
      <c r="E17" s="1222"/>
      <c r="F17" s="1222"/>
      <c r="G17" s="1222"/>
      <c r="H17" s="1222"/>
      <c r="I17" s="1222"/>
      <c r="J17" s="1222"/>
      <c r="K17" s="1222"/>
      <c r="L17" s="1222"/>
      <c r="M17" s="1222"/>
      <c r="N17" s="1222"/>
      <c r="O17" s="1222"/>
      <c r="P17" s="1222"/>
      <c r="Q17" s="1222"/>
    </row>
    <row r="18" spans="1:17" ht="18.75">
      <c r="A18" s="1310" t="s">
        <v>2398</v>
      </c>
      <c r="B18" s="1310" t="s">
        <v>2399</v>
      </c>
      <c r="C18" s="1236"/>
      <c r="D18" s="1236"/>
      <c r="E18" s="1222"/>
      <c r="F18" s="1222"/>
      <c r="G18" s="1222"/>
      <c r="H18" s="1222"/>
      <c r="I18" s="1222"/>
      <c r="J18" s="1222"/>
      <c r="K18" s="1222"/>
      <c r="L18" s="1222"/>
      <c r="M18" s="1222"/>
      <c r="N18" s="1222"/>
      <c r="O18" s="1222"/>
      <c r="P18" s="1222"/>
      <c r="Q18" s="1222"/>
    </row>
    <row r="19" spans="1:17" ht="18.75">
      <c r="A19" s="1309" t="s">
        <v>2400</v>
      </c>
      <c r="B19" s="1309" t="s">
        <v>2401</v>
      </c>
      <c r="C19" s="1235"/>
      <c r="D19" s="1235"/>
      <c r="E19" s="1230">
        <f>E20+E23+E26</f>
        <v>0</v>
      </c>
      <c r="F19" s="1230">
        <f t="shared" ref="F19:P19" si="5">F20+F23+F26</f>
        <v>0</v>
      </c>
      <c r="G19" s="1230">
        <f t="shared" si="5"/>
        <v>0</v>
      </c>
      <c r="H19" s="1230">
        <f t="shared" si="5"/>
        <v>0</v>
      </c>
      <c r="I19" s="1230">
        <f t="shared" si="5"/>
        <v>0</v>
      </c>
      <c r="J19" s="1230">
        <f t="shared" si="5"/>
        <v>0</v>
      </c>
      <c r="K19" s="1230">
        <f t="shared" si="5"/>
        <v>0</v>
      </c>
      <c r="L19" s="1230">
        <f t="shared" si="5"/>
        <v>0</v>
      </c>
      <c r="M19" s="1230">
        <f t="shared" si="5"/>
        <v>0</v>
      </c>
      <c r="N19" s="1230">
        <f t="shared" si="5"/>
        <v>0</v>
      </c>
      <c r="O19" s="1230">
        <f t="shared" si="5"/>
        <v>0</v>
      </c>
      <c r="P19" s="1230">
        <f t="shared" si="5"/>
        <v>0</v>
      </c>
      <c r="Q19" s="1230">
        <f>Q20+Q23+Q26</f>
        <v>0</v>
      </c>
    </row>
    <row r="20" spans="1:17" ht="18.75">
      <c r="A20" s="1310" t="s">
        <v>2402</v>
      </c>
      <c r="B20" s="1310" t="s">
        <v>2403</v>
      </c>
      <c r="C20" s="1236"/>
      <c r="D20" s="1236"/>
      <c r="E20" s="1222">
        <f>SUM(E21:E22)</f>
        <v>0</v>
      </c>
      <c r="F20" s="1222">
        <f t="shared" ref="F20:P20" si="6">SUM(F21:F22)</f>
        <v>0</v>
      </c>
      <c r="G20" s="1222">
        <f t="shared" si="6"/>
        <v>0</v>
      </c>
      <c r="H20" s="1222">
        <f t="shared" si="6"/>
        <v>0</v>
      </c>
      <c r="I20" s="1222">
        <f t="shared" si="6"/>
        <v>0</v>
      </c>
      <c r="J20" s="1222">
        <f t="shared" si="6"/>
        <v>0</v>
      </c>
      <c r="K20" s="1222">
        <f t="shared" si="6"/>
        <v>0</v>
      </c>
      <c r="L20" s="1222">
        <f t="shared" si="6"/>
        <v>0</v>
      </c>
      <c r="M20" s="1222">
        <f t="shared" si="6"/>
        <v>0</v>
      </c>
      <c r="N20" s="1222">
        <f t="shared" si="6"/>
        <v>0</v>
      </c>
      <c r="O20" s="1222">
        <f t="shared" si="6"/>
        <v>0</v>
      </c>
      <c r="P20" s="1222">
        <f t="shared" si="6"/>
        <v>0</v>
      </c>
      <c r="Q20" s="1222">
        <f>SUM(Q21:Q22)</f>
        <v>0</v>
      </c>
    </row>
    <row r="21" spans="1:17" ht="18.75">
      <c r="A21" s="1311" t="s">
        <v>2404</v>
      </c>
      <c r="B21" s="1311" t="s">
        <v>2405</v>
      </c>
      <c r="C21" s="1237"/>
      <c r="D21" s="1237"/>
      <c r="E21" s="1222"/>
      <c r="F21" s="1222"/>
      <c r="G21" s="1222"/>
      <c r="H21" s="1222"/>
      <c r="I21" s="1222"/>
      <c r="J21" s="1222"/>
      <c r="K21" s="1222"/>
      <c r="L21" s="1222"/>
      <c r="M21" s="1222"/>
      <c r="N21" s="1222"/>
      <c r="O21" s="1222"/>
      <c r="P21" s="1222"/>
      <c r="Q21" s="1222"/>
    </row>
    <row r="22" spans="1:17" ht="18.75">
      <c r="A22" s="1311" t="s">
        <v>2406</v>
      </c>
      <c r="B22" s="1311" t="s">
        <v>2407</v>
      </c>
      <c r="C22" s="1237"/>
      <c r="D22" s="1237"/>
      <c r="E22" s="1222"/>
      <c r="F22" s="1222"/>
      <c r="G22" s="1222"/>
      <c r="H22" s="1222"/>
      <c r="I22" s="1222"/>
      <c r="J22" s="1222"/>
      <c r="K22" s="1222"/>
      <c r="L22" s="1222"/>
      <c r="M22" s="1222"/>
      <c r="N22" s="1222"/>
      <c r="O22" s="1222"/>
      <c r="P22" s="1222"/>
      <c r="Q22" s="1222"/>
    </row>
    <row r="23" spans="1:17" ht="18.75">
      <c r="A23" s="1310" t="s">
        <v>2408</v>
      </c>
      <c r="B23" s="1310" t="s">
        <v>2409</v>
      </c>
      <c r="C23" s="1236"/>
      <c r="D23" s="1236"/>
      <c r="E23" s="1222">
        <f>SUM(E24:E25)</f>
        <v>0</v>
      </c>
      <c r="F23" s="1222">
        <f t="shared" ref="F23:P23" si="7">SUM(F24:F25)</f>
        <v>0</v>
      </c>
      <c r="G23" s="1222">
        <f t="shared" si="7"/>
        <v>0</v>
      </c>
      <c r="H23" s="1222">
        <f t="shared" si="7"/>
        <v>0</v>
      </c>
      <c r="I23" s="1222">
        <f t="shared" si="7"/>
        <v>0</v>
      </c>
      <c r="J23" s="1222">
        <f t="shared" si="7"/>
        <v>0</v>
      </c>
      <c r="K23" s="1222">
        <f t="shared" si="7"/>
        <v>0</v>
      </c>
      <c r="L23" s="1222">
        <f t="shared" si="7"/>
        <v>0</v>
      </c>
      <c r="M23" s="1222">
        <f t="shared" si="7"/>
        <v>0</v>
      </c>
      <c r="N23" s="1222">
        <f t="shared" si="7"/>
        <v>0</v>
      </c>
      <c r="O23" s="1222">
        <f t="shared" si="7"/>
        <v>0</v>
      </c>
      <c r="P23" s="1222">
        <f t="shared" si="7"/>
        <v>0</v>
      </c>
      <c r="Q23" s="1222">
        <f>SUM(Q24:Q25)</f>
        <v>0</v>
      </c>
    </row>
    <row r="24" spans="1:17" ht="18.75">
      <c r="A24" s="1311" t="s">
        <v>2410</v>
      </c>
      <c r="B24" s="1311" t="s">
        <v>2405</v>
      </c>
      <c r="C24" s="1237"/>
      <c r="D24" s="1237"/>
      <c r="E24" s="1222"/>
      <c r="F24" s="1222"/>
      <c r="G24" s="1222"/>
      <c r="H24" s="1222"/>
      <c r="I24" s="1222"/>
      <c r="J24" s="1222"/>
      <c r="K24" s="1222"/>
      <c r="L24" s="1222"/>
      <c r="M24" s="1222"/>
      <c r="N24" s="1222"/>
      <c r="O24" s="1222"/>
      <c r="P24" s="1222"/>
      <c r="Q24" s="1222"/>
    </row>
    <row r="25" spans="1:17" ht="18.75">
      <c r="A25" s="1311" t="s">
        <v>2411</v>
      </c>
      <c r="B25" s="1311" t="s">
        <v>2412</v>
      </c>
      <c r="C25" s="1237"/>
      <c r="D25" s="1237"/>
      <c r="E25" s="1222"/>
      <c r="F25" s="1222"/>
      <c r="G25" s="1222"/>
      <c r="H25" s="1222"/>
      <c r="I25" s="1222"/>
      <c r="J25" s="1222"/>
      <c r="K25" s="1222"/>
      <c r="L25" s="1222"/>
      <c r="M25" s="1222"/>
      <c r="N25" s="1222"/>
      <c r="O25" s="1222"/>
      <c r="P25" s="1222"/>
      <c r="Q25" s="1222"/>
    </row>
    <row r="26" spans="1:17" ht="18.75">
      <c r="A26" s="1310" t="s">
        <v>2413</v>
      </c>
      <c r="B26" s="1310" t="s">
        <v>2414</v>
      </c>
      <c r="C26" s="1236"/>
      <c r="D26" s="1236"/>
      <c r="E26" s="1222">
        <f>SUM(E27:E28)</f>
        <v>0</v>
      </c>
      <c r="F26" s="1222">
        <f t="shared" ref="F26:P26" si="8">SUM(F27:F28)</f>
        <v>0</v>
      </c>
      <c r="G26" s="1222">
        <f t="shared" si="8"/>
        <v>0</v>
      </c>
      <c r="H26" s="1222">
        <f t="shared" si="8"/>
        <v>0</v>
      </c>
      <c r="I26" s="1222">
        <f t="shared" si="8"/>
        <v>0</v>
      </c>
      <c r="J26" s="1222">
        <f t="shared" si="8"/>
        <v>0</v>
      </c>
      <c r="K26" s="1222">
        <f t="shared" si="8"/>
        <v>0</v>
      </c>
      <c r="L26" s="1222">
        <f t="shared" si="8"/>
        <v>0</v>
      </c>
      <c r="M26" s="1222">
        <f t="shared" si="8"/>
        <v>0</v>
      </c>
      <c r="N26" s="1222">
        <f t="shared" si="8"/>
        <v>0</v>
      </c>
      <c r="O26" s="1222">
        <f t="shared" si="8"/>
        <v>0</v>
      </c>
      <c r="P26" s="1222">
        <f t="shared" si="8"/>
        <v>0</v>
      </c>
      <c r="Q26" s="1222">
        <f>SUM(Q27:Q28)</f>
        <v>0</v>
      </c>
    </row>
    <row r="27" spans="1:17" ht="18.75">
      <c r="A27" s="1311" t="s">
        <v>2415</v>
      </c>
      <c r="B27" s="1311" t="s">
        <v>2405</v>
      </c>
      <c r="C27" s="1237"/>
      <c r="D27" s="1237"/>
      <c r="E27" s="1222"/>
      <c r="F27" s="1222"/>
      <c r="G27" s="1222"/>
      <c r="H27" s="1222"/>
      <c r="I27" s="1222"/>
      <c r="J27" s="1222"/>
      <c r="K27" s="1222"/>
      <c r="L27" s="1222"/>
      <c r="M27" s="1222"/>
      <c r="N27" s="1222"/>
      <c r="O27" s="1222"/>
      <c r="P27" s="1222"/>
      <c r="Q27" s="1222"/>
    </row>
    <row r="28" spans="1:17" ht="18.75">
      <c r="A28" s="1311" t="s">
        <v>2416</v>
      </c>
      <c r="B28" s="1311" t="s">
        <v>2407</v>
      </c>
      <c r="C28" s="1237"/>
      <c r="D28" s="1237"/>
      <c r="E28" s="1222"/>
      <c r="F28" s="1222"/>
      <c r="G28" s="1222"/>
      <c r="H28" s="1222"/>
      <c r="I28" s="1222"/>
      <c r="J28" s="1222"/>
      <c r="K28" s="1222"/>
      <c r="L28" s="1222"/>
      <c r="M28" s="1222"/>
      <c r="N28" s="1222"/>
      <c r="O28" s="1222"/>
      <c r="P28" s="1222"/>
      <c r="Q28" s="1222"/>
    </row>
    <row r="29" spans="1:17" ht="18.75">
      <c r="A29" s="1309" t="s">
        <v>2417</v>
      </c>
      <c r="B29" s="1309" t="s">
        <v>2418</v>
      </c>
      <c r="C29" s="1235"/>
      <c r="D29" s="1235"/>
      <c r="E29" s="1230">
        <f>SUM(E30:E32)</f>
        <v>0</v>
      </c>
      <c r="F29" s="1230">
        <f t="shared" ref="F29:P29" si="9">SUM(F30:F32)</f>
        <v>0</v>
      </c>
      <c r="G29" s="1230">
        <f t="shared" si="9"/>
        <v>0</v>
      </c>
      <c r="H29" s="1230">
        <f t="shared" si="9"/>
        <v>0</v>
      </c>
      <c r="I29" s="1230">
        <f t="shared" si="9"/>
        <v>0</v>
      </c>
      <c r="J29" s="1230">
        <f t="shared" si="9"/>
        <v>0</v>
      </c>
      <c r="K29" s="1230">
        <f t="shared" si="9"/>
        <v>0</v>
      </c>
      <c r="L29" s="1230">
        <f t="shared" si="9"/>
        <v>0</v>
      </c>
      <c r="M29" s="1230">
        <f t="shared" si="9"/>
        <v>0</v>
      </c>
      <c r="N29" s="1230">
        <f t="shared" si="9"/>
        <v>0</v>
      </c>
      <c r="O29" s="1230">
        <f t="shared" si="9"/>
        <v>0</v>
      </c>
      <c r="P29" s="1230">
        <f t="shared" si="9"/>
        <v>0</v>
      </c>
      <c r="Q29" s="1230">
        <f>SUM(Q30:Q32)</f>
        <v>0</v>
      </c>
    </row>
    <row r="30" spans="1:17" ht="18.75">
      <c r="A30" s="1310" t="s">
        <v>2419</v>
      </c>
      <c r="B30" s="1310" t="s">
        <v>2420</v>
      </c>
      <c r="C30" s="1236"/>
      <c r="D30" s="1236"/>
      <c r="E30" s="1222"/>
      <c r="F30" s="1222"/>
      <c r="G30" s="1222"/>
      <c r="H30" s="1222"/>
      <c r="I30" s="1222"/>
      <c r="J30" s="1222"/>
      <c r="K30" s="1222"/>
      <c r="L30" s="1222"/>
      <c r="M30" s="1222"/>
      <c r="N30" s="1222"/>
      <c r="O30" s="1222"/>
      <c r="P30" s="1222"/>
      <c r="Q30" s="1222"/>
    </row>
    <row r="31" spans="1:17" ht="18.75">
      <c r="A31" s="1310" t="s">
        <v>2421</v>
      </c>
      <c r="B31" s="1310" t="s">
        <v>2422</v>
      </c>
      <c r="C31" s="1236"/>
      <c r="D31" s="1236"/>
      <c r="E31" s="1222"/>
      <c r="F31" s="1222"/>
      <c r="G31" s="1222"/>
      <c r="H31" s="1222"/>
      <c r="I31" s="1222"/>
      <c r="J31" s="1222"/>
      <c r="K31" s="1222"/>
      <c r="L31" s="1222"/>
      <c r="M31" s="1222"/>
      <c r="N31" s="1222"/>
      <c r="O31" s="1222"/>
      <c r="P31" s="1222"/>
      <c r="Q31" s="1222"/>
    </row>
    <row r="32" spans="1:17" ht="18.75">
      <c r="A32" s="1310" t="s">
        <v>2423</v>
      </c>
      <c r="B32" s="1310" t="s">
        <v>2424</v>
      </c>
      <c r="C32" s="1236"/>
      <c r="D32" s="1236"/>
      <c r="E32" s="1222"/>
      <c r="F32" s="1222"/>
      <c r="G32" s="1222"/>
      <c r="H32" s="1222"/>
      <c r="I32" s="1222"/>
      <c r="J32" s="1222"/>
      <c r="K32" s="1222"/>
      <c r="L32" s="1222"/>
      <c r="M32" s="1222"/>
      <c r="N32" s="1222"/>
      <c r="O32" s="1222"/>
      <c r="P32" s="1222"/>
      <c r="Q32" s="1222"/>
    </row>
    <row r="33" spans="1:17" ht="18.75">
      <c r="A33" s="1309" t="s">
        <v>2425</v>
      </c>
      <c r="B33" s="1309" t="s">
        <v>2426</v>
      </c>
      <c r="C33" s="1235"/>
      <c r="D33" s="1235"/>
      <c r="E33" s="1230">
        <f>E34+E35</f>
        <v>2402807</v>
      </c>
      <c r="F33" s="1230">
        <f t="shared" ref="F33:P33" si="10">F34+F35</f>
        <v>4198178</v>
      </c>
      <c r="G33" s="1230">
        <f t="shared" si="10"/>
        <v>12584740.579</v>
      </c>
      <c r="H33" s="1230">
        <f t="shared" si="10"/>
        <v>3061600</v>
      </c>
      <c r="I33" s="1230">
        <f t="shared" si="10"/>
        <v>2348455</v>
      </c>
      <c r="J33" s="1230">
        <f t="shared" si="10"/>
        <v>3589011</v>
      </c>
      <c r="K33" s="1230">
        <f t="shared" si="10"/>
        <v>3458326</v>
      </c>
      <c r="L33" s="1230">
        <f t="shared" si="10"/>
        <v>5142992</v>
      </c>
      <c r="M33" s="1230">
        <f t="shared" si="10"/>
        <v>4561461</v>
      </c>
      <c r="N33" s="1230">
        <f t="shared" si="10"/>
        <v>4846349</v>
      </c>
      <c r="O33" s="1230">
        <f t="shared" si="10"/>
        <v>3047456</v>
      </c>
      <c r="P33" s="1230">
        <f t="shared" si="10"/>
        <v>3600827</v>
      </c>
      <c r="Q33" s="1230">
        <f>Q34+Q35</f>
        <v>52842202.578999996</v>
      </c>
    </row>
    <row r="34" spans="1:17" ht="18.75">
      <c r="A34" s="1310" t="s">
        <v>2427</v>
      </c>
      <c r="B34" s="1310" t="s">
        <v>2428</v>
      </c>
      <c r="C34" s="1236"/>
      <c r="D34" s="1236"/>
      <c r="E34" s="1222"/>
      <c r="F34" s="1222"/>
      <c r="G34" s="1222"/>
      <c r="H34" s="1222"/>
      <c r="I34" s="1222"/>
      <c r="J34" s="1222"/>
      <c r="K34" s="1222"/>
      <c r="L34" s="1222"/>
      <c r="M34" s="1222"/>
      <c r="N34" s="1222"/>
      <c r="O34" s="1222"/>
      <c r="P34" s="1222"/>
      <c r="Q34" s="1222"/>
    </row>
    <row r="35" spans="1:17" ht="18.75">
      <c r="A35" s="1310" t="s">
        <v>2429</v>
      </c>
      <c r="B35" s="1310" t="s">
        <v>2430</v>
      </c>
      <c r="C35" s="1236"/>
      <c r="D35" s="1236"/>
      <c r="E35" s="1323">
        <f>SUM(E36:E37)</f>
        <v>2402807</v>
      </c>
      <c r="F35" s="1323">
        <f t="shared" ref="F35:P35" si="11">SUM(F36:F37)</f>
        <v>4198178</v>
      </c>
      <c r="G35" s="1323">
        <f t="shared" si="11"/>
        <v>12584740.579</v>
      </c>
      <c r="H35" s="1323">
        <f t="shared" si="11"/>
        <v>3061600</v>
      </c>
      <c r="I35" s="1323">
        <f t="shared" si="11"/>
        <v>2348455</v>
      </c>
      <c r="J35" s="1323">
        <f t="shared" si="11"/>
        <v>3589011</v>
      </c>
      <c r="K35" s="1323">
        <f t="shared" si="11"/>
        <v>3458326</v>
      </c>
      <c r="L35" s="1323">
        <f t="shared" si="11"/>
        <v>5142992</v>
      </c>
      <c r="M35" s="1323">
        <f t="shared" si="11"/>
        <v>4561461</v>
      </c>
      <c r="N35" s="1323">
        <f t="shared" si="11"/>
        <v>4846349</v>
      </c>
      <c r="O35" s="1323">
        <f t="shared" si="11"/>
        <v>3047456</v>
      </c>
      <c r="P35" s="1323">
        <f t="shared" si="11"/>
        <v>3600827</v>
      </c>
      <c r="Q35" s="1323">
        <f>SUM(Q36:Q37)</f>
        <v>52842202.578999996</v>
      </c>
    </row>
    <row r="36" spans="1:17" ht="18.75">
      <c r="A36" s="1311" t="s">
        <v>2431</v>
      </c>
      <c r="B36" s="1311" t="s">
        <v>2432</v>
      </c>
      <c r="C36" s="1237"/>
      <c r="D36" s="1237"/>
      <c r="E36" s="1323">
        <f>'Ordon-Dep'!E27+'Ordon-Dep'!E20</f>
        <v>2402807</v>
      </c>
      <c r="F36" s="1323">
        <f>'Ordon-Dep'!F27+'Ordon-Dep'!F20</f>
        <v>4198178</v>
      </c>
      <c r="G36" s="1323">
        <f>'Ordon-Dep'!G27+'Ordon-Dep'!G20</f>
        <v>12584740.579</v>
      </c>
      <c r="H36" s="1323">
        <f>'Ordon-Dep'!H27+'Ordon-Dep'!H20</f>
        <v>3061600</v>
      </c>
      <c r="I36" s="1323">
        <f>'Ordon-Dep'!I27+'Ordon-Dep'!I20</f>
        <v>2348455</v>
      </c>
      <c r="J36" s="1323">
        <f>'Ordon-Dep'!J27+'Ordon-Dep'!J20</f>
        <v>3589011</v>
      </c>
      <c r="K36" s="1323">
        <f>'Ordon-Dep'!K27+'Ordon-Dep'!K20</f>
        <v>3458326</v>
      </c>
      <c r="L36" s="1323">
        <f>'Ordon-Dep'!L27+'Ordon-Dep'!L20</f>
        <v>5142992</v>
      </c>
      <c r="M36" s="1323">
        <f>'Ordon-Dep'!M27+'Ordon-Dep'!M20</f>
        <v>4561461</v>
      </c>
      <c r="N36" s="1323">
        <f>'Ordon-Dep'!N27+'Ordon-Dep'!N20</f>
        <v>4846349</v>
      </c>
      <c r="O36" s="1323">
        <f>'Ordon-Dep'!O27+'Ordon-Dep'!O20</f>
        <v>3047456</v>
      </c>
      <c r="P36" s="1323">
        <f>'Ordon-Dep'!P27+'Ordon-Dep'!P20</f>
        <v>3600827</v>
      </c>
      <c r="Q36" s="1323">
        <f>'Ordon-Dep'!Q27+'Ordon-Dep'!Q20</f>
        <v>52842202.578999996</v>
      </c>
    </row>
    <row r="37" spans="1:17" ht="19.5" thickBot="1">
      <c r="A37" s="1312" t="s">
        <v>2433</v>
      </c>
      <c r="B37" s="1312" t="s">
        <v>2407</v>
      </c>
      <c r="C37" s="1238"/>
      <c r="D37" s="1238"/>
      <c r="E37" s="1323"/>
      <c r="F37" s="1323"/>
      <c r="G37" s="1323"/>
      <c r="H37" s="1323"/>
      <c r="I37" s="1323"/>
      <c r="J37" s="1323"/>
      <c r="K37" s="1323"/>
      <c r="L37" s="1323"/>
      <c r="M37" s="1323"/>
      <c r="N37" s="1323"/>
      <c r="O37" s="1323"/>
      <c r="P37" s="1323"/>
      <c r="Q37" s="1323"/>
    </row>
    <row r="38" spans="1:17">
      <c r="A38" s="1307"/>
      <c r="B38" s="1307"/>
    </row>
    <row r="39" spans="1:17">
      <c r="A39" s="1307"/>
      <c r="B39" s="1307"/>
    </row>
    <row r="40" spans="1:17">
      <c r="A40" s="1307"/>
      <c r="B40" s="1307"/>
    </row>
    <row r="41" spans="1:17">
      <c r="A41" s="1307"/>
      <c r="B41" s="1307"/>
      <c r="Q41" s="653"/>
    </row>
    <row r="42" spans="1:17">
      <c r="A42" s="1307"/>
      <c r="B42" s="1307"/>
    </row>
    <row r="43" spans="1:17">
      <c r="A43" s="1307"/>
      <c r="B43" s="1307"/>
    </row>
    <row r="44" spans="1:17">
      <c r="A44" s="1307"/>
      <c r="B44" s="1307"/>
    </row>
    <row r="45" spans="1:17">
      <c r="A45" s="1307"/>
      <c r="B45" s="1307"/>
    </row>
    <row r="46" spans="1:17">
      <c r="A46" s="1307"/>
      <c r="B46" s="1307"/>
    </row>
    <row r="47" spans="1:17">
      <c r="A47" s="1307"/>
      <c r="B47" s="1307"/>
    </row>
    <row r="48" spans="1:17">
      <c r="A48" s="1307"/>
      <c r="B48" s="1307"/>
    </row>
    <row r="49" spans="1:2">
      <c r="A49" s="1307"/>
      <c r="B49" s="1307"/>
    </row>
    <row r="50" spans="1:2">
      <c r="A50" s="1307"/>
      <c r="B50" s="1307"/>
    </row>
    <row r="51" spans="1:2">
      <c r="A51" s="1307"/>
      <c r="B51" s="1307"/>
    </row>
    <row r="52" spans="1:2">
      <c r="A52" s="1307"/>
      <c r="B52" s="1307"/>
    </row>
    <row r="53" spans="1:2">
      <c r="A53" s="1307"/>
      <c r="B53" s="1307"/>
    </row>
    <row r="54" spans="1:2">
      <c r="A54" s="1307"/>
      <c r="B54" s="1307"/>
    </row>
    <row r="55" spans="1:2">
      <c r="A55" s="1307"/>
      <c r="B55" s="1307"/>
    </row>
    <row r="56" spans="1:2">
      <c r="A56" s="1307"/>
      <c r="B56" s="1307"/>
    </row>
    <row r="57" spans="1:2">
      <c r="A57" s="1307"/>
      <c r="B57" s="1307"/>
    </row>
    <row r="58" spans="1:2">
      <c r="A58" s="1307"/>
      <c r="B58" s="1307"/>
    </row>
    <row r="59" spans="1:2">
      <c r="A59" s="1307"/>
      <c r="B59" s="1307"/>
    </row>
    <row r="60" spans="1:2">
      <c r="A60" s="1307"/>
      <c r="B60" s="1307"/>
    </row>
    <row r="61" spans="1:2">
      <c r="A61" s="1307"/>
      <c r="B61" s="1307"/>
    </row>
    <row r="62" spans="1:2">
      <c r="A62" s="1307"/>
      <c r="B62" s="1307"/>
    </row>
    <row r="63" spans="1:2">
      <c r="A63" s="1307"/>
      <c r="B63" s="1307"/>
    </row>
    <row r="64" spans="1:2">
      <c r="A64" s="1307"/>
      <c r="B64" s="1307"/>
    </row>
    <row r="65" spans="1:2">
      <c r="A65" s="1307"/>
      <c r="B65" s="1307"/>
    </row>
    <row r="66" spans="1:2">
      <c r="A66" s="1307"/>
      <c r="B66" s="1307"/>
    </row>
    <row r="67" spans="1:2">
      <c r="A67" s="1307"/>
      <c r="B67" s="1307"/>
    </row>
    <row r="68" spans="1:2">
      <c r="A68" s="1307"/>
      <c r="B68" s="1307"/>
    </row>
    <row r="69" spans="1:2">
      <c r="A69" s="1307"/>
      <c r="B69" s="1307"/>
    </row>
    <row r="70" spans="1:2">
      <c r="A70" s="1307"/>
      <c r="B70" s="1307"/>
    </row>
    <row r="71" spans="1:2">
      <c r="A71" s="1307"/>
      <c r="B71" s="1307"/>
    </row>
    <row r="72" spans="1:2">
      <c r="A72" s="1307"/>
      <c r="B72" s="1307"/>
    </row>
    <row r="73" spans="1:2">
      <c r="A73" s="1307"/>
      <c r="B73" s="1307"/>
    </row>
    <row r="74" spans="1:2">
      <c r="A74" s="1307"/>
      <c r="B74" s="1307"/>
    </row>
    <row r="75" spans="1:2">
      <c r="A75" s="1307"/>
      <c r="B75" s="1307"/>
    </row>
    <row r="76" spans="1:2">
      <c r="A76" s="1307"/>
      <c r="B76" s="1307"/>
    </row>
    <row r="77" spans="1:2">
      <c r="A77" s="1307"/>
      <c r="B77" s="1307"/>
    </row>
    <row r="78" spans="1:2">
      <c r="A78" s="1307"/>
      <c r="B78" s="1307"/>
    </row>
    <row r="79" spans="1:2">
      <c r="A79" s="1307"/>
      <c r="B79" s="1307"/>
    </row>
    <row r="80" spans="1:2">
      <c r="A80" s="1307"/>
      <c r="B80" s="1307"/>
    </row>
    <row r="81" spans="1:2">
      <c r="A81" s="1307"/>
      <c r="B81" s="1307"/>
    </row>
    <row r="82" spans="1:2">
      <c r="A82" s="1307"/>
      <c r="B82" s="1307"/>
    </row>
    <row r="83" spans="1:2">
      <c r="A83" s="1307"/>
      <c r="B83" s="1307"/>
    </row>
    <row r="84" spans="1:2">
      <c r="A84" s="1307"/>
      <c r="B84" s="1307"/>
    </row>
    <row r="85" spans="1:2">
      <c r="A85" s="1307"/>
      <c r="B85" s="1307"/>
    </row>
    <row r="86" spans="1:2">
      <c r="A86" s="1307"/>
      <c r="B86" s="1307"/>
    </row>
    <row r="87" spans="1:2">
      <c r="A87" s="1307"/>
      <c r="B87" s="1307"/>
    </row>
    <row r="88" spans="1:2">
      <c r="A88" s="1307"/>
      <c r="B88" s="1307"/>
    </row>
    <row r="89" spans="1:2">
      <c r="A89" s="1307"/>
      <c r="B89" s="1307"/>
    </row>
    <row r="90" spans="1:2">
      <c r="A90" s="1307"/>
      <c r="B90" s="1307"/>
    </row>
    <row r="91" spans="1:2">
      <c r="A91" s="1307"/>
      <c r="B91" s="1307"/>
    </row>
    <row r="92" spans="1:2">
      <c r="A92" s="1307"/>
      <c r="B92" s="1307"/>
    </row>
    <row r="93" spans="1:2">
      <c r="A93" s="1307"/>
      <c r="B93" s="1307"/>
    </row>
    <row r="94" spans="1:2">
      <c r="A94" s="1307"/>
      <c r="B94" s="1307"/>
    </row>
    <row r="95" spans="1:2">
      <c r="A95" s="1307"/>
      <c r="B95" s="1307"/>
    </row>
    <row r="96" spans="1:2">
      <c r="A96" s="1307"/>
      <c r="B96" s="1307"/>
    </row>
    <row r="97" spans="1:2">
      <c r="A97" s="1307"/>
      <c r="B97" s="1307"/>
    </row>
    <row r="98" spans="1:2">
      <c r="A98" s="1307"/>
      <c r="B98" s="1307"/>
    </row>
    <row r="99" spans="1:2">
      <c r="A99" s="1307"/>
      <c r="B99" s="1307"/>
    </row>
    <row r="100" spans="1:2">
      <c r="A100" s="1307"/>
      <c r="B100" s="1307"/>
    </row>
    <row r="101" spans="1:2">
      <c r="A101" s="1307"/>
      <c r="B101" s="1307"/>
    </row>
    <row r="102" spans="1:2">
      <c r="A102" s="1307"/>
      <c r="B102" s="1307"/>
    </row>
    <row r="103" spans="1:2">
      <c r="A103" s="1307"/>
      <c r="B103" s="1307"/>
    </row>
    <row r="104" spans="1:2">
      <c r="A104" s="1307"/>
      <c r="B104" s="1307"/>
    </row>
    <row r="105" spans="1:2">
      <c r="A105" s="1307"/>
      <c r="B105" s="1307"/>
    </row>
    <row r="106" spans="1:2">
      <c r="A106" s="1307"/>
      <c r="B106" s="1307"/>
    </row>
    <row r="107" spans="1:2">
      <c r="A107" s="1307"/>
      <c r="B107" s="1307"/>
    </row>
    <row r="108" spans="1:2">
      <c r="A108" s="1307"/>
      <c r="B108" s="1307"/>
    </row>
    <row r="109" spans="1:2">
      <c r="A109" s="1307"/>
      <c r="B109" s="1307"/>
    </row>
    <row r="110" spans="1:2">
      <c r="A110" s="1307"/>
      <c r="B110" s="1307"/>
    </row>
    <row r="111" spans="1:2">
      <c r="A111" s="1307"/>
      <c r="B111" s="1307"/>
    </row>
    <row r="112" spans="1:2">
      <c r="A112" s="1307"/>
      <c r="B112" s="1307"/>
    </row>
    <row r="113" spans="1:2">
      <c r="A113" s="1307"/>
      <c r="B113" s="1307"/>
    </row>
    <row r="114" spans="1:2">
      <c r="A114" s="1307"/>
      <c r="B114" s="1307"/>
    </row>
    <row r="115" spans="1:2">
      <c r="A115" s="1307"/>
      <c r="B115" s="1307"/>
    </row>
    <row r="116" spans="1:2">
      <c r="A116" s="1307"/>
      <c r="B116" s="1307"/>
    </row>
    <row r="117" spans="1:2">
      <c r="A117" s="1307"/>
      <c r="B117" s="1307"/>
    </row>
    <row r="118" spans="1:2">
      <c r="A118" s="1307"/>
      <c r="B118" s="1307"/>
    </row>
    <row r="119" spans="1:2">
      <c r="A119" s="1307"/>
      <c r="B119" s="1307"/>
    </row>
    <row r="120" spans="1:2">
      <c r="A120" s="1307"/>
      <c r="B120" s="1307"/>
    </row>
    <row r="121" spans="1:2">
      <c r="A121" s="1307"/>
      <c r="B121" s="1307"/>
    </row>
    <row r="122" spans="1:2">
      <c r="A122" s="1307"/>
      <c r="B122" s="1307"/>
    </row>
    <row r="123" spans="1:2">
      <c r="A123" s="1307"/>
      <c r="B123" s="1307"/>
    </row>
    <row r="124" spans="1:2">
      <c r="A124" s="1307"/>
      <c r="B124" s="1307"/>
    </row>
    <row r="125" spans="1:2">
      <c r="A125" s="1307"/>
      <c r="B125" s="1307"/>
    </row>
    <row r="126" spans="1:2">
      <c r="A126" s="1307"/>
      <c r="B126" s="1307"/>
    </row>
    <row r="127" spans="1:2">
      <c r="A127" s="1307"/>
      <c r="B127" s="1307"/>
    </row>
    <row r="128" spans="1:2">
      <c r="A128" s="1307"/>
      <c r="B128" s="1307"/>
    </row>
    <row r="129" spans="1:2">
      <c r="A129" s="1307"/>
      <c r="B129" s="1307"/>
    </row>
    <row r="130" spans="1:2">
      <c r="A130" s="1307"/>
      <c r="B130" s="1307"/>
    </row>
    <row r="131" spans="1:2">
      <c r="A131" s="1307"/>
      <c r="B131" s="1307"/>
    </row>
    <row r="132" spans="1:2">
      <c r="A132" s="1307"/>
      <c r="B132" s="1307"/>
    </row>
    <row r="133" spans="1:2">
      <c r="A133" s="1307"/>
      <c r="B133" s="1307"/>
    </row>
    <row r="134" spans="1:2">
      <c r="A134" s="1307"/>
      <c r="B134" s="1307"/>
    </row>
    <row r="135" spans="1:2">
      <c r="A135" s="1307"/>
      <c r="B135" s="1307"/>
    </row>
    <row r="136" spans="1:2">
      <c r="A136" s="1307"/>
      <c r="B136" s="1307"/>
    </row>
    <row r="137" spans="1:2">
      <c r="A137" s="1307"/>
      <c r="B137" s="1307"/>
    </row>
    <row r="138" spans="1:2">
      <c r="A138" s="1307"/>
      <c r="B138" s="1307"/>
    </row>
    <row r="139" spans="1:2">
      <c r="A139" s="1307"/>
      <c r="B139" s="1307"/>
    </row>
    <row r="140" spans="1:2">
      <c r="A140" s="1307"/>
      <c r="B140" s="1307"/>
    </row>
    <row r="141" spans="1:2">
      <c r="A141" s="1307"/>
      <c r="B141" s="1307"/>
    </row>
    <row r="142" spans="1:2">
      <c r="A142" s="1307"/>
      <c r="B142" s="1307"/>
    </row>
    <row r="143" spans="1:2">
      <c r="A143" s="1307"/>
      <c r="B143" s="1307"/>
    </row>
    <row r="144" spans="1:2">
      <c r="A144" s="1307"/>
      <c r="B144" s="1307"/>
    </row>
    <row r="145" spans="1:2">
      <c r="A145" s="1307"/>
      <c r="B145" s="1307"/>
    </row>
    <row r="146" spans="1:2">
      <c r="A146" s="1307"/>
      <c r="B146" s="1307"/>
    </row>
    <row r="147" spans="1:2">
      <c r="A147" s="1307"/>
      <c r="B147" s="1307"/>
    </row>
    <row r="148" spans="1:2">
      <c r="A148" s="1307"/>
      <c r="B148" s="1307"/>
    </row>
    <row r="149" spans="1:2">
      <c r="A149" s="1307"/>
      <c r="B149" s="1307"/>
    </row>
    <row r="150" spans="1:2">
      <c r="A150" s="1307"/>
      <c r="B150" s="1307"/>
    </row>
    <row r="151" spans="1:2">
      <c r="A151" s="1307"/>
      <c r="B151" s="1307"/>
    </row>
    <row r="152" spans="1:2">
      <c r="A152" s="1307"/>
      <c r="B152" s="1307"/>
    </row>
    <row r="153" spans="1:2">
      <c r="A153" s="1307"/>
      <c r="B153" s="1307"/>
    </row>
    <row r="154" spans="1:2">
      <c r="A154" s="1307"/>
      <c r="B154" s="1307"/>
    </row>
    <row r="155" spans="1:2">
      <c r="A155" s="1307"/>
      <c r="B155" s="1307"/>
    </row>
    <row r="156" spans="1:2">
      <c r="A156" s="1307"/>
      <c r="B156" s="1307"/>
    </row>
    <row r="157" spans="1:2">
      <c r="A157" s="1307"/>
      <c r="B157" s="1307"/>
    </row>
    <row r="158" spans="1:2">
      <c r="A158" s="1307"/>
      <c r="B158" s="1307"/>
    </row>
    <row r="159" spans="1:2">
      <c r="A159" s="1307"/>
      <c r="B159" s="1307"/>
    </row>
    <row r="160" spans="1:2">
      <c r="A160" s="1307"/>
      <c r="B160" s="1307"/>
    </row>
    <row r="161" spans="1:2">
      <c r="A161" s="1307"/>
      <c r="B161" s="1307"/>
    </row>
    <row r="162" spans="1:2">
      <c r="A162" s="1307"/>
      <c r="B162" s="1307"/>
    </row>
    <row r="163" spans="1:2">
      <c r="A163" s="1307"/>
      <c r="B163" s="1307"/>
    </row>
  </sheetData>
  <mergeCells count="14">
    <mergeCell ref="I2:I3"/>
    <mergeCell ref="B2:B3"/>
    <mergeCell ref="E2:E3"/>
    <mergeCell ref="F2:F3"/>
    <mergeCell ref="G2:G3"/>
    <mergeCell ref="H2:H3"/>
    <mergeCell ref="Q2:Q3"/>
    <mergeCell ref="P2:P3"/>
    <mergeCell ref="J2:J3"/>
    <mergeCell ref="K2:K3"/>
    <mergeCell ref="L2:L3"/>
    <mergeCell ref="M2:M3"/>
    <mergeCell ref="N2:N3"/>
    <mergeCell ref="O2:O3"/>
  </mergeCells>
  <pageMargins left="0.25" right="0.25" top="0.74803149606299213" bottom="0.74803149606299213" header="0.31496062992125984" footer="0.31496062992125984"/>
  <pageSetup paperSize="9" scale="6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4"/>
  <dimension ref="A2:Q106"/>
  <sheetViews>
    <sheetView workbookViewId="0">
      <pane xSplit="2" ySplit="3" topLeftCell="K4" activePane="bottomRight" state="frozen"/>
      <selection pane="topRight" activeCell="C1" sqref="C1"/>
      <selection pane="bottomLeft" activeCell="A4" sqref="A4"/>
      <selection pane="bottomRight" activeCell="P16" sqref="P16"/>
    </sheetView>
  </sheetViews>
  <sheetFormatPr defaultRowHeight="12.75"/>
  <cols>
    <col min="1" max="1" width="9.140625" customWidth="1"/>
    <col min="2" max="2" width="63.85546875" customWidth="1"/>
    <col min="3" max="16" width="18.140625" customWidth="1"/>
    <col min="17" max="17" width="14.28515625" customWidth="1"/>
  </cols>
  <sheetData>
    <row r="2" spans="1:17" ht="13.5" thickBot="1"/>
    <row r="3" spans="1:17" ht="16.5" thickBot="1">
      <c r="B3" s="1239" t="s">
        <v>219</v>
      </c>
      <c r="C3" s="1240"/>
      <c r="D3" s="1240"/>
      <c r="E3" s="1241">
        <v>41275</v>
      </c>
      <c r="F3" s="1241">
        <v>41306</v>
      </c>
      <c r="G3" s="1241">
        <v>41334</v>
      </c>
      <c r="H3" s="1241">
        <v>41365</v>
      </c>
      <c r="I3" s="1241">
        <v>41395</v>
      </c>
      <c r="J3" s="1241">
        <v>41426</v>
      </c>
      <c r="K3" s="1241">
        <v>41456</v>
      </c>
      <c r="L3" s="1241">
        <v>41487</v>
      </c>
      <c r="M3" s="1241">
        <v>41518</v>
      </c>
      <c r="N3" s="1241">
        <v>41548</v>
      </c>
      <c r="O3" s="1241">
        <v>41579</v>
      </c>
      <c r="P3" s="1241">
        <v>41609</v>
      </c>
    </row>
    <row r="4" spans="1:17" ht="18.75">
      <c r="A4">
        <v>3</v>
      </c>
      <c r="B4" s="1242" t="s">
        <v>2535</v>
      </c>
      <c r="C4" s="1243"/>
      <c r="D4" s="1243"/>
      <c r="E4" s="1228"/>
    </row>
    <row r="5" spans="1:17" ht="18.75">
      <c r="A5" t="s">
        <v>2536</v>
      </c>
      <c r="B5" s="1244" t="s">
        <v>2434</v>
      </c>
      <c r="C5" s="1244"/>
      <c r="D5" s="1244"/>
      <c r="E5" s="1230">
        <f>E7+E23+E26+E29</f>
        <v>190559.723</v>
      </c>
      <c r="F5" s="1230">
        <f t="shared" ref="F5:P5" si="0">F7+F23+F26+F29</f>
        <v>909583.81599999999</v>
      </c>
      <c r="G5" s="1230">
        <f t="shared" si="0"/>
        <v>41383.207999999999</v>
      </c>
      <c r="H5" s="1230">
        <f t="shared" si="0"/>
        <v>181826.81075</v>
      </c>
      <c r="I5" s="1230">
        <f t="shared" si="0"/>
        <v>74011.236499999999</v>
      </c>
      <c r="J5" s="1231">
        <f t="shared" si="0"/>
        <v>146827.03700000001</v>
      </c>
      <c r="K5" s="1231">
        <f t="shared" si="0"/>
        <v>309049.25599999999</v>
      </c>
      <c r="L5" s="1230">
        <f t="shared" si="0"/>
        <v>446891.83600000001</v>
      </c>
      <c r="M5" s="1231">
        <f t="shared" si="0"/>
        <v>601077.21600000001</v>
      </c>
      <c r="N5" s="1231">
        <f t="shared" si="0"/>
        <v>149707.68400000001</v>
      </c>
      <c r="O5" s="1231">
        <f t="shared" si="0"/>
        <v>1502783.2919999999</v>
      </c>
      <c r="P5" s="1231">
        <f t="shared" si="0"/>
        <v>615781.15399999998</v>
      </c>
      <c r="Q5" s="861">
        <f>SUM(E5:P5)</f>
        <v>5169482.2692499999</v>
      </c>
    </row>
    <row r="6" spans="1:17" ht="15.75">
      <c r="B6" s="1245" t="s">
        <v>2435</v>
      </c>
      <c r="C6" s="1245"/>
      <c r="D6" s="1245"/>
      <c r="E6" s="1230"/>
      <c r="F6" s="1230"/>
      <c r="G6" s="1230"/>
      <c r="H6" s="1230"/>
      <c r="I6" s="1230"/>
      <c r="J6" s="1231"/>
      <c r="K6" s="1231"/>
      <c r="L6" s="1230"/>
      <c r="M6" s="1231"/>
      <c r="N6" s="1231"/>
      <c r="O6" s="1231"/>
      <c r="P6" s="1231"/>
      <c r="Q6" s="861">
        <f t="shared" ref="Q6:Q69" si="1">SUM(E6:P6)</f>
        <v>0</v>
      </c>
    </row>
    <row r="7" spans="1:17" ht="15.75">
      <c r="A7" t="s">
        <v>2537</v>
      </c>
      <c r="B7" s="1246" t="s">
        <v>2436</v>
      </c>
      <c r="C7" s="1246"/>
      <c r="D7" s="1246"/>
      <c r="E7" s="1230">
        <f>E8-E9-E10</f>
        <v>190559.723</v>
      </c>
      <c r="F7" s="1230">
        <f t="shared" ref="F7:P7" si="2">F8-F9-F10</f>
        <v>909583.81599999999</v>
      </c>
      <c r="G7" s="1230">
        <f t="shared" si="2"/>
        <v>41383.207999999999</v>
      </c>
      <c r="H7" s="1230">
        <f t="shared" si="2"/>
        <v>181826.81075</v>
      </c>
      <c r="I7" s="1230">
        <f t="shared" si="2"/>
        <v>74011.236499999999</v>
      </c>
      <c r="J7" s="1231">
        <f t="shared" si="2"/>
        <v>146827.03700000001</v>
      </c>
      <c r="K7" s="1231">
        <f t="shared" si="2"/>
        <v>309049.25599999999</v>
      </c>
      <c r="L7" s="1230">
        <f t="shared" si="2"/>
        <v>446891.83600000001</v>
      </c>
      <c r="M7" s="1231">
        <f t="shared" si="2"/>
        <v>601077.21600000001</v>
      </c>
      <c r="N7" s="1231">
        <f t="shared" si="2"/>
        <v>149707.68400000001</v>
      </c>
      <c r="O7" s="1231">
        <f t="shared" si="2"/>
        <v>1502783.2919999999</v>
      </c>
      <c r="P7" s="1231">
        <f t="shared" si="2"/>
        <v>615781.15399999998</v>
      </c>
      <c r="Q7" s="861">
        <f t="shared" si="1"/>
        <v>5169482.2692499999</v>
      </c>
    </row>
    <row r="8" spans="1:17" ht="15">
      <c r="A8" s="559" t="s">
        <v>2648</v>
      </c>
      <c r="B8" s="1247" t="s">
        <v>2437</v>
      </c>
      <c r="C8" s="1247"/>
      <c r="D8" s="1247"/>
      <c r="E8" s="1222">
        <f>E12+E16+E20</f>
        <v>190559.723</v>
      </c>
      <c r="F8" s="1222">
        <f t="shared" ref="F8:P8" si="3">F12+F16+F20</f>
        <v>909583.81599999999</v>
      </c>
      <c r="G8" s="1222">
        <f t="shared" si="3"/>
        <v>41383.207999999999</v>
      </c>
      <c r="H8" s="1222">
        <f t="shared" si="3"/>
        <v>181826.81075</v>
      </c>
      <c r="I8" s="1222">
        <f t="shared" si="3"/>
        <v>74011.236499999999</v>
      </c>
      <c r="J8" s="1228">
        <f t="shared" si="3"/>
        <v>153303.53700000001</v>
      </c>
      <c r="K8" s="1228">
        <f t="shared" si="3"/>
        <v>309049.25599999999</v>
      </c>
      <c r="L8" s="1222">
        <f t="shared" si="3"/>
        <v>446891.83600000001</v>
      </c>
      <c r="M8" s="1228">
        <f t="shared" si="3"/>
        <v>601077.21600000001</v>
      </c>
      <c r="N8" s="1228">
        <f t="shared" si="3"/>
        <v>149707.68400000001</v>
      </c>
      <c r="O8" s="1228">
        <f t="shared" si="3"/>
        <v>1502783.2919999999</v>
      </c>
      <c r="P8" s="1228">
        <f t="shared" si="3"/>
        <v>615781.15399999998</v>
      </c>
      <c r="Q8" s="861">
        <f t="shared" si="1"/>
        <v>5175958.7692499999</v>
      </c>
    </row>
    <row r="9" spans="1:17" ht="15">
      <c r="A9" s="559" t="s">
        <v>2538</v>
      </c>
      <c r="B9" s="1247" t="s">
        <v>2438</v>
      </c>
      <c r="C9" s="1247"/>
      <c r="D9" s="1247"/>
      <c r="E9" s="1222">
        <f t="shared" ref="E9:P10" si="4">E13+E17+E21</f>
        <v>0</v>
      </c>
      <c r="F9" s="1222">
        <f t="shared" si="4"/>
        <v>0</v>
      </c>
      <c r="G9" s="1222">
        <f t="shared" si="4"/>
        <v>0</v>
      </c>
      <c r="H9" s="1222">
        <f t="shared" si="4"/>
        <v>0</v>
      </c>
      <c r="I9" s="1222">
        <f t="shared" si="4"/>
        <v>0</v>
      </c>
      <c r="J9" s="1228">
        <f t="shared" si="4"/>
        <v>6476.5</v>
      </c>
      <c r="K9" s="1228">
        <f t="shared" si="4"/>
        <v>0</v>
      </c>
      <c r="L9" s="1222">
        <f t="shared" si="4"/>
        <v>0</v>
      </c>
      <c r="M9" s="1228">
        <f t="shared" si="4"/>
        <v>0</v>
      </c>
      <c r="N9" s="1228">
        <f t="shared" si="4"/>
        <v>0</v>
      </c>
      <c r="O9" s="1228">
        <f t="shared" si="4"/>
        <v>0</v>
      </c>
      <c r="P9" s="1228">
        <f t="shared" si="4"/>
        <v>0</v>
      </c>
      <c r="Q9" s="861">
        <f t="shared" si="1"/>
        <v>6476.5</v>
      </c>
    </row>
    <row r="10" spans="1:17" ht="15">
      <c r="A10" s="559" t="s">
        <v>2539</v>
      </c>
      <c r="B10" s="1247" t="s">
        <v>2439</v>
      </c>
      <c r="C10" s="1247"/>
      <c r="D10" s="1247"/>
      <c r="E10" s="1222">
        <f t="shared" si="4"/>
        <v>0</v>
      </c>
      <c r="F10" s="1222">
        <f t="shared" si="4"/>
        <v>0</v>
      </c>
      <c r="G10" s="1222">
        <f t="shared" si="4"/>
        <v>0</v>
      </c>
      <c r="H10" s="1222">
        <f t="shared" si="4"/>
        <v>0</v>
      </c>
      <c r="I10" s="1222">
        <f t="shared" si="4"/>
        <v>0</v>
      </c>
      <c r="J10" s="1228">
        <f t="shared" si="4"/>
        <v>0</v>
      </c>
      <c r="K10" s="1228">
        <f t="shared" si="4"/>
        <v>0</v>
      </c>
      <c r="L10" s="1222">
        <f t="shared" si="4"/>
        <v>0</v>
      </c>
      <c r="M10" s="1228">
        <f t="shared" si="4"/>
        <v>0</v>
      </c>
      <c r="N10" s="1228">
        <f t="shared" si="4"/>
        <v>0</v>
      </c>
      <c r="O10" s="1228">
        <f t="shared" si="4"/>
        <v>0</v>
      </c>
      <c r="P10" s="1228">
        <f t="shared" si="4"/>
        <v>0</v>
      </c>
      <c r="Q10" s="861">
        <f t="shared" si="1"/>
        <v>0</v>
      </c>
    </row>
    <row r="11" spans="1:17" ht="15">
      <c r="A11" t="s">
        <v>2538</v>
      </c>
      <c r="B11" s="1248" t="s">
        <v>2649</v>
      </c>
      <c r="C11" s="1248"/>
      <c r="D11" s="1248"/>
      <c r="E11" s="1222">
        <f>E12-E13-E14</f>
        <v>30000</v>
      </c>
      <c r="F11" s="1222">
        <f t="shared" ref="F11:P11" si="5">F12-F13-F14</f>
        <v>764241</v>
      </c>
      <c r="G11" s="1222">
        <f t="shared" si="5"/>
        <v>0</v>
      </c>
      <c r="H11" s="1222">
        <f t="shared" si="5"/>
        <v>38231</v>
      </c>
      <c r="I11" s="1222">
        <f t="shared" si="5"/>
        <v>0</v>
      </c>
      <c r="J11" s="1228">
        <f t="shared" si="5"/>
        <v>0</v>
      </c>
      <c r="K11" s="1228">
        <f t="shared" si="5"/>
        <v>0</v>
      </c>
      <c r="L11" s="1222">
        <f t="shared" si="5"/>
        <v>316966</v>
      </c>
      <c r="M11" s="1228">
        <f t="shared" si="5"/>
        <v>49334</v>
      </c>
      <c r="N11" s="1228">
        <f t="shared" si="5"/>
        <v>50000</v>
      </c>
      <c r="O11" s="1228">
        <f t="shared" si="5"/>
        <v>0</v>
      </c>
      <c r="P11" s="1228">
        <f t="shared" si="5"/>
        <v>20000</v>
      </c>
      <c r="Q11" s="861">
        <f t="shared" si="1"/>
        <v>1268772</v>
      </c>
    </row>
    <row r="12" spans="1:17" ht="15">
      <c r="A12" t="s">
        <v>2541</v>
      </c>
      <c r="B12" s="1249" t="s">
        <v>2650</v>
      </c>
      <c r="C12" s="1249"/>
      <c r="D12" s="1249"/>
      <c r="E12" s="1222">
        <f>'Ordon-Dep'!E41</f>
        <v>30000</v>
      </c>
      <c r="F12" s="1222">
        <f>'Ordon-Dep'!F41</f>
        <v>764241</v>
      </c>
      <c r="G12" s="1222">
        <f>'Ordon-Dep'!G42</f>
        <v>0</v>
      </c>
      <c r="H12" s="1222">
        <f>'Ordon-Dep'!H41</f>
        <v>38231</v>
      </c>
      <c r="I12" s="1222">
        <f>'Ordon-Dep'!I42</f>
        <v>0</v>
      </c>
      <c r="J12" s="1228">
        <f>'Ordon-Dep'!J41</f>
        <v>0</v>
      </c>
      <c r="K12" s="1228">
        <f>'Ordon-Dep'!K41</f>
        <v>0</v>
      </c>
      <c r="L12" s="1222">
        <f>'Ordon-Dep'!L41</f>
        <v>316966</v>
      </c>
      <c r="M12" s="1228">
        <f>'Ordon-Dep'!M41</f>
        <v>49334</v>
      </c>
      <c r="N12" s="1228">
        <f>'Ordon-Dep'!N41</f>
        <v>50000</v>
      </c>
      <c r="O12" s="1228">
        <f>'Ordon-Dep'!O41</f>
        <v>0</v>
      </c>
      <c r="P12" s="1228">
        <f>'Ordon-Dep'!P41</f>
        <v>20000</v>
      </c>
      <c r="Q12" s="861">
        <f t="shared" si="1"/>
        <v>1268772</v>
      </c>
    </row>
    <row r="13" spans="1:17" ht="15">
      <c r="A13" t="s">
        <v>2542</v>
      </c>
      <c r="B13" s="1249" t="s">
        <v>2651</v>
      </c>
      <c r="C13" s="1249"/>
      <c r="D13" s="1249"/>
      <c r="E13" s="1222">
        <f>'Receitas (mensais)'!E298</f>
        <v>0</v>
      </c>
      <c r="F13" s="1222">
        <f>'Receitas (mensais)'!F298</f>
        <v>0</v>
      </c>
      <c r="G13" s="1222">
        <f>'Receitas (mensais)'!G298</f>
        <v>0</v>
      </c>
      <c r="H13" s="1222">
        <f>'Receitas (mensais)'!H298</f>
        <v>0</v>
      </c>
      <c r="I13" s="1222">
        <f>'Receitas (mensais)'!I298</f>
        <v>0</v>
      </c>
      <c r="J13" s="1228">
        <f>'Receitas (mensais)'!J298</f>
        <v>0</v>
      </c>
      <c r="K13" s="1228">
        <f>'Receitas (mensais)'!K298</f>
        <v>0</v>
      </c>
      <c r="L13" s="1222">
        <f>'Receitas (mensais)'!L298</f>
        <v>0</v>
      </c>
      <c r="M13" s="1228">
        <f>'Receitas (mensais)'!M298</f>
        <v>0</v>
      </c>
      <c r="N13" s="1228">
        <f>'Receitas (mensais)'!N298</f>
        <v>0</v>
      </c>
      <c r="O13" s="1228">
        <f>'Receitas (mensais)'!O298</f>
        <v>0</v>
      </c>
      <c r="P13" s="1228">
        <f>'Receitas (mensais)'!P298</f>
        <v>0</v>
      </c>
      <c r="Q13" s="861">
        <f t="shared" si="1"/>
        <v>0</v>
      </c>
    </row>
    <row r="14" spans="1:17" ht="15">
      <c r="A14" t="s">
        <v>2543</v>
      </c>
      <c r="B14" s="1249" t="s">
        <v>2652</v>
      </c>
      <c r="C14" s="1249"/>
      <c r="D14" s="1249"/>
      <c r="E14" s="1222"/>
      <c r="F14" s="1222"/>
      <c r="G14" s="1222"/>
      <c r="H14" s="1222"/>
      <c r="I14" s="1222"/>
      <c r="J14" s="1228"/>
      <c r="K14" s="1228"/>
      <c r="L14" s="1222"/>
      <c r="M14" s="1228"/>
      <c r="N14" s="1228"/>
      <c r="O14" s="1228"/>
      <c r="P14" s="1228"/>
      <c r="Q14" s="861">
        <f t="shared" si="1"/>
        <v>0</v>
      </c>
    </row>
    <row r="15" spans="1:17" ht="15">
      <c r="A15" t="s">
        <v>2539</v>
      </c>
      <c r="B15" s="1248" t="s">
        <v>2653</v>
      </c>
      <c r="C15" s="1248"/>
      <c r="D15" s="1248"/>
      <c r="E15" s="1222">
        <f>E16-E17-E18</f>
        <v>0</v>
      </c>
      <c r="F15" s="1222">
        <f t="shared" ref="F15:P15" si="6">F16-F17-F18</f>
        <v>0</v>
      </c>
      <c r="G15" s="1222">
        <f t="shared" si="6"/>
        <v>0</v>
      </c>
      <c r="H15" s="1222">
        <f t="shared" si="6"/>
        <v>3395</v>
      </c>
      <c r="I15" s="1222">
        <f t="shared" si="6"/>
        <v>0</v>
      </c>
      <c r="J15" s="1228">
        <f t="shared" si="6"/>
        <v>0</v>
      </c>
      <c r="K15" s="1228">
        <f t="shared" si="6"/>
        <v>0</v>
      </c>
      <c r="L15" s="1222">
        <f t="shared" si="6"/>
        <v>0</v>
      </c>
      <c r="M15" s="1228">
        <f t="shared" si="6"/>
        <v>442041</v>
      </c>
      <c r="N15" s="1228">
        <f t="shared" si="6"/>
        <v>79000</v>
      </c>
      <c r="O15" s="1228">
        <f t="shared" si="6"/>
        <v>0</v>
      </c>
      <c r="P15" s="1228">
        <f t="shared" si="6"/>
        <v>0</v>
      </c>
      <c r="Q15" s="861">
        <f t="shared" si="1"/>
        <v>524436</v>
      </c>
    </row>
    <row r="16" spans="1:17" ht="15">
      <c r="A16" t="s">
        <v>2544</v>
      </c>
      <c r="B16" s="1249" t="s">
        <v>2654</v>
      </c>
      <c r="C16" s="1249"/>
      <c r="D16" s="1249"/>
      <c r="E16" s="1222">
        <f>'Ordon-Dep'!E42</f>
        <v>0</v>
      </c>
      <c r="F16" s="1222">
        <f>'Ordon-Dep'!F42</f>
        <v>0</v>
      </c>
      <c r="G16" s="1222">
        <f>'Ordon-Dep'!G42</f>
        <v>0</v>
      </c>
      <c r="H16" s="1222">
        <f>'Ordon-Dep'!H42</f>
        <v>3395</v>
      </c>
      <c r="I16" s="1222">
        <f>'Ordon-Dep'!I42</f>
        <v>0</v>
      </c>
      <c r="J16" s="1228">
        <f>'Ordon-Dep'!J42</f>
        <v>0</v>
      </c>
      <c r="K16" s="1228">
        <f>'Ordon-Dep'!K42</f>
        <v>0</v>
      </c>
      <c r="L16" s="1222">
        <f>'Ordon-Dep'!L42</f>
        <v>0</v>
      </c>
      <c r="M16" s="1228">
        <f>'Ordon-Dep'!M42</f>
        <v>442041</v>
      </c>
      <c r="N16" s="1228">
        <f>'Ordon-Dep'!N42</f>
        <v>79000</v>
      </c>
      <c r="O16" s="1228">
        <f>'Ordon-Dep'!O42</f>
        <v>0</v>
      </c>
      <c r="P16" s="1228">
        <f>'Ordon-Dep'!P42</f>
        <v>0</v>
      </c>
      <c r="Q16" s="861">
        <f t="shared" si="1"/>
        <v>524436</v>
      </c>
    </row>
    <row r="17" spans="1:17" ht="15">
      <c r="A17" t="s">
        <v>2545</v>
      </c>
      <c r="B17" s="1249" t="s">
        <v>2655</v>
      </c>
      <c r="C17" s="1249"/>
      <c r="D17" s="1249"/>
      <c r="E17" s="1222">
        <f>'Receitas (mensais)'!E301+'Receitas (mensais)'!E303</f>
        <v>0</v>
      </c>
      <c r="F17" s="1222">
        <f>'Receitas (mensais)'!F301+'Receitas (mensais)'!F303</f>
        <v>0</v>
      </c>
      <c r="G17" s="1222">
        <f>'Receitas (mensais)'!G301+'Receitas (mensais)'!G303</f>
        <v>0</v>
      </c>
      <c r="H17" s="1222">
        <f>'Receitas (mensais)'!H301+'Receitas (mensais)'!H303</f>
        <v>0</v>
      </c>
      <c r="I17" s="1222">
        <f>'Receitas (mensais)'!I301+'Receitas (mensais)'!I303</f>
        <v>0</v>
      </c>
      <c r="J17" s="1228">
        <f>'Receitas (mensais)'!J301+'Receitas (mensais)'!J303</f>
        <v>0</v>
      </c>
      <c r="K17" s="1228">
        <f>'Receitas (mensais)'!K301+'Receitas (mensais)'!K303</f>
        <v>0</v>
      </c>
      <c r="L17" s="1222">
        <f>'Receitas (mensais)'!L301+'Receitas (mensais)'!L303</f>
        <v>0</v>
      </c>
      <c r="M17" s="1228">
        <f>'Receitas (mensais)'!M301+'Receitas (mensais)'!M303</f>
        <v>0</v>
      </c>
      <c r="N17" s="1228">
        <f>'Receitas (mensais)'!N301+'Receitas (mensais)'!N303</f>
        <v>0</v>
      </c>
      <c r="O17" s="1228">
        <f>'Receitas (mensais)'!O301+'Receitas (mensais)'!O303</f>
        <v>0</v>
      </c>
      <c r="P17" s="1228">
        <f>'Receitas (mensais)'!P301+'Receitas (mensais)'!P303</f>
        <v>0</v>
      </c>
      <c r="Q17" s="861">
        <f t="shared" si="1"/>
        <v>0</v>
      </c>
    </row>
    <row r="18" spans="1:17" ht="15">
      <c r="A18" t="s">
        <v>2546</v>
      </c>
      <c r="B18" s="1249" t="s">
        <v>2656</v>
      </c>
      <c r="C18" s="1249"/>
      <c r="D18" s="1249"/>
      <c r="E18" s="1222"/>
      <c r="F18" s="1222"/>
      <c r="G18" s="1222"/>
      <c r="H18" s="1222"/>
      <c r="I18" s="1222"/>
      <c r="J18" s="1228"/>
      <c r="K18" s="1228"/>
      <c r="L18" s="1228"/>
      <c r="M18" s="1228"/>
      <c r="N18" s="1228"/>
      <c r="O18" s="1228"/>
      <c r="P18" s="1228"/>
      <c r="Q18" s="861">
        <f t="shared" si="1"/>
        <v>0</v>
      </c>
    </row>
    <row r="19" spans="1:17" ht="15">
      <c r="A19" t="s">
        <v>2540</v>
      </c>
      <c r="B19" s="1248" t="s">
        <v>2657</v>
      </c>
      <c r="C19" s="1248"/>
      <c r="D19" s="1248"/>
      <c r="E19" s="1222">
        <f>E20-E21-E22</f>
        <v>160559.723</v>
      </c>
      <c r="F19" s="1222">
        <f t="shared" ref="F19:P19" si="7">F20-F21-F22</f>
        <v>145342.81599999999</v>
      </c>
      <c r="G19" s="1222">
        <f t="shared" si="7"/>
        <v>41383.207999999999</v>
      </c>
      <c r="H19" s="1222">
        <f t="shared" si="7"/>
        <v>140200.81075</v>
      </c>
      <c r="I19" s="1222">
        <f t="shared" si="7"/>
        <v>74011.236499999999</v>
      </c>
      <c r="J19" s="1228">
        <f t="shared" si="7"/>
        <v>146827.03700000001</v>
      </c>
      <c r="K19" s="1228">
        <f t="shared" si="7"/>
        <v>309049.25599999999</v>
      </c>
      <c r="L19" s="1228">
        <f t="shared" si="7"/>
        <v>129925.83600000001</v>
      </c>
      <c r="M19" s="1228">
        <f t="shared" si="7"/>
        <v>109702.216</v>
      </c>
      <c r="N19" s="1228">
        <f t="shared" si="7"/>
        <v>20707.684000000001</v>
      </c>
      <c r="O19" s="1228">
        <f t="shared" si="7"/>
        <v>1502783.2919999999</v>
      </c>
      <c r="P19" s="1228">
        <f t="shared" si="7"/>
        <v>595781.15399999998</v>
      </c>
      <c r="Q19" s="861">
        <f t="shared" si="1"/>
        <v>3376274.2692499999</v>
      </c>
    </row>
    <row r="20" spans="1:17" ht="15">
      <c r="A20" t="s">
        <v>2547</v>
      </c>
      <c r="B20" s="1249" t="s">
        <v>2658</v>
      </c>
      <c r="C20" s="1249"/>
      <c r="D20" s="1249"/>
      <c r="E20" s="1222">
        <f>'Ordon-Dep'!E47</f>
        <v>160559.723</v>
      </c>
      <c r="F20" s="1222">
        <f>'Ordon-Dep'!F47</f>
        <v>145342.81599999999</v>
      </c>
      <c r="G20" s="1222">
        <f>'Ordon-Dep'!G47</f>
        <v>41383.207999999999</v>
      </c>
      <c r="H20" s="1222">
        <f>'Ordon-Dep'!H47</f>
        <v>140200.81075</v>
      </c>
      <c r="I20" s="1222">
        <f>'Ordon-Dep'!I47</f>
        <v>74011.236499999999</v>
      </c>
      <c r="J20" s="1228">
        <f>'Ordon-Dep'!J47</f>
        <v>153303.53700000001</v>
      </c>
      <c r="K20" s="1228">
        <f>'Ordon-Dep'!K47</f>
        <v>309049.25599999999</v>
      </c>
      <c r="L20" s="1228">
        <f>'Ordon-Dep'!L47</f>
        <v>129925.83600000001</v>
      </c>
      <c r="M20" s="1228">
        <f>'Ordon-Dep'!M47</f>
        <v>109702.216</v>
      </c>
      <c r="N20" s="1228">
        <f>'Ordon-Dep'!N47</f>
        <v>20707.684000000001</v>
      </c>
      <c r="O20" s="1228">
        <f>'Ordon-Dep'!O47</f>
        <v>1502783.2919999999</v>
      </c>
      <c r="P20" s="1228">
        <f>'Ordon-Dep'!P47</f>
        <v>595781.15399999998</v>
      </c>
      <c r="Q20" s="861">
        <f t="shared" si="1"/>
        <v>3382750.7692499999</v>
      </c>
    </row>
    <row r="21" spans="1:17" ht="15">
      <c r="A21" t="s">
        <v>2548</v>
      </c>
      <c r="B21" s="1249" t="s">
        <v>2659</v>
      </c>
      <c r="C21" s="1249"/>
      <c r="D21" s="1249"/>
      <c r="E21" s="1222">
        <f>'Receitas (mensais)'!E305</f>
        <v>0</v>
      </c>
      <c r="F21" s="1222">
        <f>'Receitas (mensais)'!F305</f>
        <v>0</v>
      </c>
      <c r="G21" s="1222">
        <f>'Receitas (mensais)'!G305</f>
        <v>0</v>
      </c>
      <c r="H21" s="1222">
        <f>'Receitas (mensais)'!H305</f>
        <v>0</v>
      </c>
      <c r="I21" s="1222">
        <f>'Receitas (mensais)'!I305</f>
        <v>0</v>
      </c>
      <c r="J21" s="1228">
        <f>'Receitas (mensais)'!J305</f>
        <v>6476.5</v>
      </c>
      <c r="K21" s="1228">
        <f>'Receitas (mensais)'!K305</f>
        <v>0</v>
      </c>
      <c r="L21" s="1228">
        <f>'Receitas (mensais)'!L305</f>
        <v>0</v>
      </c>
      <c r="M21" s="1228">
        <f>'Receitas (mensais)'!M305</f>
        <v>0</v>
      </c>
      <c r="N21" s="1228">
        <f>'Receitas (mensais)'!N305</f>
        <v>0</v>
      </c>
      <c r="O21" s="1228">
        <f>'Receitas (mensais)'!O305</f>
        <v>0</v>
      </c>
      <c r="P21" s="1228">
        <f>'Receitas (mensais)'!P305</f>
        <v>0</v>
      </c>
      <c r="Q21" s="861">
        <f t="shared" si="1"/>
        <v>6476.5</v>
      </c>
    </row>
    <row r="22" spans="1:17" ht="15">
      <c r="A22" t="s">
        <v>2549</v>
      </c>
      <c r="B22" s="1249" t="s">
        <v>2660</v>
      </c>
      <c r="C22" s="1249"/>
      <c r="D22" s="1249"/>
      <c r="E22" s="1222"/>
      <c r="F22" s="1222"/>
      <c r="G22" s="1222"/>
      <c r="H22" s="1222"/>
      <c r="I22" s="1222"/>
      <c r="J22" s="1228"/>
      <c r="K22" s="1228"/>
      <c r="L22" s="1228"/>
      <c r="M22" s="1228"/>
      <c r="N22" s="1228"/>
      <c r="O22" s="1228"/>
      <c r="P22" s="1228"/>
      <c r="Q22" s="861">
        <f t="shared" si="1"/>
        <v>0</v>
      </c>
    </row>
    <row r="23" spans="1:17" ht="15.75">
      <c r="A23" s="559" t="s">
        <v>2552</v>
      </c>
      <c r="B23" s="1223" t="s">
        <v>2661</v>
      </c>
      <c r="C23" s="1223"/>
      <c r="D23" s="1223"/>
      <c r="E23" s="1228">
        <f>SUM(E24:E25)</f>
        <v>0</v>
      </c>
      <c r="F23" s="1228">
        <f t="shared" ref="F23:P23" si="8">SUM(F24:F25)</f>
        <v>0</v>
      </c>
      <c r="G23" s="1228">
        <f t="shared" si="8"/>
        <v>0</v>
      </c>
      <c r="H23" s="1228">
        <f t="shared" si="8"/>
        <v>0</v>
      </c>
      <c r="I23" s="1228">
        <f t="shared" si="8"/>
        <v>0</v>
      </c>
      <c r="J23" s="1228">
        <f t="shared" si="8"/>
        <v>0</v>
      </c>
      <c r="K23" s="1228">
        <f t="shared" si="8"/>
        <v>0</v>
      </c>
      <c r="L23" s="1228">
        <f t="shared" si="8"/>
        <v>0</v>
      </c>
      <c r="M23" s="1228">
        <f t="shared" si="8"/>
        <v>0</v>
      </c>
      <c r="N23" s="1228">
        <f t="shared" si="8"/>
        <v>0</v>
      </c>
      <c r="O23" s="1228">
        <f t="shared" si="8"/>
        <v>0</v>
      </c>
      <c r="P23" s="1228">
        <f t="shared" si="8"/>
        <v>0</v>
      </c>
      <c r="Q23" s="861">
        <f t="shared" si="1"/>
        <v>0</v>
      </c>
    </row>
    <row r="24" spans="1:17" ht="15">
      <c r="A24" s="559" t="s">
        <v>2553</v>
      </c>
      <c r="B24" s="1250" t="s">
        <v>2662</v>
      </c>
      <c r="C24" s="1250"/>
      <c r="D24" s="1250"/>
      <c r="E24" s="1228"/>
      <c r="F24" s="1228"/>
      <c r="G24" s="1228"/>
      <c r="H24" s="1228"/>
      <c r="I24" s="1228"/>
      <c r="J24" s="1228"/>
      <c r="K24" s="1228"/>
      <c r="L24" s="1228"/>
      <c r="M24" s="1228"/>
      <c r="N24" s="1228"/>
      <c r="O24" s="1228"/>
      <c r="P24" s="1228"/>
      <c r="Q24" s="861">
        <f t="shared" si="1"/>
        <v>0</v>
      </c>
    </row>
    <row r="25" spans="1:17" ht="15">
      <c r="A25" s="559" t="s">
        <v>2554</v>
      </c>
      <c r="B25" s="1250" t="s">
        <v>2663</v>
      </c>
      <c r="C25" s="1250"/>
      <c r="D25" s="1250"/>
      <c r="E25" s="1228"/>
      <c r="F25" s="1228"/>
      <c r="G25" s="1228"/>
      <c r="H25" s="1228"/>
      <c r="I25" s="1228"/>
      <c r="J25" s="1228"/>
      <c r="K25" s="1228"/>
      <c r="L25" s="1228"/>
      <c r="M25" s="1228"/>
      <c r="N25" s="1228"/>
      <c r="O25" s="1228"/>
      <c r="P25" s="1228"/>
      <c r="Q25" s="861">
        <f t="shared" si="1"/>
        <v>0</v>
      </c>
    </row>
    <row r="26" spans="1:17" ht="15.75">
      <c r="A26" s="559" t="s">
        <v>2555</v>
      </c>
      <c r="B26" s="1223" t="s">
        <v>2664</v>
      </c>
      <c r="C26" s="1223"/>
      <c r="D26" s="1223"/>
      <c r="E26" s="1228">
        <f>E27-E28</f>
        <v>0</v>
      </c>
      <c r="F26" s="1228">
        <f t="shared" ref="F26:P26" si="9">F27-F28</f>
        <v>0</v>
      </c>
      <c r="G26" s="1228">
        <f t="shared" si="9"/>
        <v>0</v>
      </c>
      <c r="H26" s="1228">
        <f t="shared" si="9"/>
        <v>0</v>
      </c>
      <c r="I26" s="1228">
        <f t="shared" si="9"/>
        <v>0</v>
      </c>
      <c r="J26" s="1228">
        <f t="shared" si="9"/>
        <v>0</v>
      </c>
      <c r="K26" s="1228">
        <f t="shared" si="9"/>
        <v>0</v>
      </c>
      <c r="L26" s="1228">
        <f t="shared" si="9"/>
        <v>0</v>
      </c>
      <c r="M26" s="1228">
        <f t="shared" si="9"/>
        <v>0</v>
      </c>
      <c r="N26" s="1228">
        <f t="shared" si="9"/>
        <v>0</v>
      </c>
      <c r="O26" s="1228">
        <f t="shared" si="9"/>
        <v>0</v>
      </c>
      <c r="P26" s="1228">
        <f t="shared" si="9"/>
        <v>0</v>
      </c>
      <c r="Q26" s="861">
        <f t="shared" si="1"/>
        <v>0</v>
      </c>
    </row>
    <row r="27" spans="1:17" ht="15">
      <c r="A27" s="559" t="s">
        <v>2556</v>
      </c>
      <c r="B27" s="1247" t="s">
        <v>2665</v>
      </c>
      <c r="C27" s="1247"/>
      <c r="D27" s="1247"/>
      <c r="E27" s="1228"/>
      <c r="F27" s="1228"/>
      <c r="G27" s="1228"/>
      <c r="H27" s="1228"/>
      <c r="I27" s="1228"/>
      <c r="J27" s="1228"/>
      <c r="K27" s="1228"/>
      <c r="L27" s="1228"/>
      <c r="M27" s="1228"/>
      <c r="N27" s="1228"/>
      <c r="O27" s="1228"/>
      <c r="P27" s="1228"/>
      <c r="Q27" s="861">
        <f t="shared" si="1"/>
        <v>0</v>
      </c>
    </row>
    <row r="28" spans="1:17" ht="15">
      <c r="A28" s="559" t="s">
        <v>2557</v>
      </c>
      <c r="B28" s="1247" t="s">
        <v>2666</v>
      </c>
      <c r="C28" s="1247"/>
      <c r="D28" s="1247"/>
      <c r="E28" s="1228"/>
      <c r="F28" s="1228"/>
      <c r="G28" s="1228"/>
      <c r="H28" s="1228"/>
      <c r="I28" s="1228"/>
      <c r="J28" s="1228"/>
      <c r="K28" s="1228"/>
      <c r="L28" s="1228"/>
      <c r="M28" s="1228"/>
      <c r="N28" s="1228"/>
      <c r="O28" s="1228"/>
      <c r="P28" s="1228"/>
      <c r="Q28" s="861">
        <f t="shared" si="1"/>
        <v>0</v>
      </c>
    </row>
    <row r="29" spans="1:17" ht="15.75">
      <c r="A29" s="559" t="s">
        <v>2558</v>
      </c>
      <c r="B29" s="1246" t="s">
        <v>2667</v>
      </c>
      <c r="C29" s="1246"/>
      <c r="D29" s="1246"/>
      <c r="E29" s="1228">
        <f>E30-E31-E32</f>
        <v>0</v>
      </c>
      <c r="F29" s="1228">
        <f t="shared" ref="F29:P29" si="10">F30-F31-F32</f>
        <v>0</v>
      </c>
      <c r="G29" s="1228">
        <f t="shared" si="10"/>
        <v>0</v>
      </c>
      <c r="H29" s="1228">
        <f t="shared" si="10"/>
        <v>0</v>
      </c>
      <c r="I29" s="1228">
        <f t="shared" si="10"/>
        <v>0</v>
      </c>
      <c r="J29" s="1228">
        <f t="shared" si="10"/>
        <v>0</v>
      </c>
      <c r="K29" s="1228">
        <f t="shared" si="10"/>
        <v>0</v>
      </c>
      <c r="L29" s="1228">
        <f t="shared" si="10"/>
        <v>0</v>
      </c>
      <c r="M29" s="1228">
        <f t="shared" si="10"/>
        <v>0</v>
      </c>
      <c r="N29" s="1228">
        <f t="shared" si="10"/>
        <v>0</v>
      </c>
      <c r="O29" s="1228">
        <f t="shared" si="10"/>
        <v>0</v>
      </c>
      <c r="P29" s="1228">
        <f t="shared" si="10"/>
        <v>0</v>
      </c>
      <c r="Q29" s="861">
        <f t="shared" si="1"/>
        <v>0</v>
      </c>
    </row>
    <row r="30" spans="1:17" ht="15">
      <c r="A30" s="559" t="s">
        <v>2559</v>
      </c>
      <c r="B30" s="1247" t="s">
        <v>2668</v>
      </c>
      <c r="C30" s="1247"/>
      <c r="D30" s="1247"/>
      <c r="E30" s="1228"/>
      <c r="F30" s="1228"/>
      <c r="G30" s="1228"/>
      <c r="H30" s="1228"/>
      <c r="I30" s="1228"/>
      <c r="J30" s="1228"/>
      <c r="K30" s="1228"/>
      <c r="L30" s="1228"/>
      <c r="M30" s="1228"/>
      <c r="N30" s="1228"/>
      <c r="O30" s="1228"/>
      <c r="P30" s="1228"/>
      <c r="Q30" s="861">
        <f t="shared" si="1"/>
        <v>0</v>
      </c>
    </row>
    <row r="31" spans="1:17" ht="15">
      <c r="A31" s="559" t="s">
        <v>2560</v>
      </c>
      <c r="B31" s="1247" t="s">
        <v>2669</v>
      </c>
      <c r="C31" s="1247"/>
      <c r="D31" s="1247"/>
      <c r="E31" s="1228"/>
      <c r="F31" s="1228"/>
      <c r="G31" s="1228"/>
      <c r="H31" s="1228"/>
      <c r="I31" s="1228"/>
      <c r="J31" s="1228"/>
      <c r="K31" s="1228"/>
      <c r="L31" s="1228"/>
      <c r="M31" s="1228"/>
      <c r="N31" s="1228"/>
      <c r="O31" s="1228"/>
      <c r="P31" s="1228"/>
      <c r="Q31" s="861">
        <f t="shared" si="1"/>
        <v>0</v>
      </c>
    </row>
    <row r="32" spans="1:17" ht="15">
      <c r="A32" s="559" t="s">
        <v>2561</v>
      </c>
      <c r="B32" s="1247" t="s">
        <v>2670</v>
      </c>
      <c r="C32" s="1247"/>
      <c r="D32" s="1247"/>
      <c r="E32" s="1228"/>
      <c r="F32" s="1228"/>
      <c r="G32" s="1228"/>
      <c r="H32" s="1228"/>
      <c r="I32" s="1228"/>
      <c r="J32" s="1228"/>
      <c r="K32" s="1228"/>
      <c r="L32" s="1228"/>
      <c r="M32" s="1228"/>
      <c r="N32" s="1228"/>
      <c r="O32" s="1228"/>
      <c r="P32" s="1228"/>
      <c r="Q32" s="861">
        <f t="shared" si="1"/>
        <v>0</v>
      </c>
    </row>
    <row r="33" spans="1:17" ht="15">
      <c r="A33" s="559" t="s">
        <v>2559</v>
      </c>
      <c r="B33" s="1248" t="s">
        <v>2671</v>
      </c>
      <c r="C33" s="1248"/>
      <c r="D33" s="1248"/>
      <c r="E33" s="1228">
        <f>E34-E35-E36</f>
        <v>0</v>
      </c>
      <c r="F33" s="1228">
        <f t="shared" ref="F33:P33" si="11">F34-F35-F36</f>
        <v>0</v>
      </c>
      <c r="G33" s="1228">
        <f t="shared" si="11"/>
        <v>0</v>
      </c>
      <c r="H33" s="1228">
        <f t="shared" si="11"/>
        <v>0</v>
      </c>
      <c r="I33" s="1228">
        <f t="shared" si="11"/>
        <v>0</v>
      </c>
      <c r="J33" s="1228">
        <f t="shared" si="11"/>
        <v>0</v>
      </c>
      <c r="K33" s="1228">
        <f t="shared" si="11"/>
        <v>0</v>
      </c>
      <c r="L33" s="1228">
        <f t="shared" si="11"/>
        <v>0</v>
      </c>
      <c r="M33" s="1228">
        <f t="shared" si="11"/>
        <v>0</v>
      </c>
      <c r="N33" s="1228">
        <f t="shared" si="11"/>
        <v>0</v>
      </c>
      <c r="O33" s="1228">
        <f t="shared" si="11"/>
        <v>0</v>
      </c>
      <c r="P33" s="1228">
        <f t="shared" si="11"/>
        <v>0</v>
      </c>
      <c r="Q33" s="861">
        <f t="shared" si="1"/>
        <v>0</v>
      </c>
    </row>
    <row r="34" spans="1:17" ht="15">
      <c r="A34" s="559" t="s">
        <v>2672</v>
      </c>
      <c r="B34" s="1249" t="s">
        <v>2682</v>
      </c>
      <c r="C34" s="1249"/>
      <c r="D34" s="1249"/>
      <c r="E34" s="1228"/>
      <c r="F34" s="1228"/>
      <c r="G34" s="1228"/>
      <c r="H34" s="1228"/>
      <c r="I34" s="1228"/>
      <c r="J34" s="1228"/>
      <c r="K34" s="1228"/>
      <c r="L34" s="1228"/>
      <c r="M34" s="1228"/>
      <c r="N34" s="1228"/>
      <c r="O34" s="1228"/>
      <c r="P34" s="1228"/>
      <c r="Q34" s="861">
        <f t="shared" si="1"/>
        <v>0</v>
      </c>
    </row>
    <row r="35" spans="1:17" ht="15">
      <c r="A35" s="559" t="s">
        <v>2680</v>
      </c>
      <c r="B35" s="1249" t="s">
        <v>2683</v>
      </c>
      <c r="C35" s="1249"/>
      <c r="D35" s="1249"/>
      <c r="E35" s="1228"/>
      <c r="F35" s="1228"/>
      <c r="G35" s="1228"/>
      <c r="H35" s="1228"/>
      <c r="I35" s="1228"/>
      <c r="J35" s="1228"/>
      <c r="K35" s="1228"/>
      <c r="L35" s="1228"/>
      <c r="M35" s="1228"/>
      <c r="N35" s="1228"/>
      <c r="O35" s="1228"/>
      <c r="P35" s="1228"/>
      <c r="Q35" s="861">
        <f t="shared" si="1"/>
        <v>0</v>
      </c>
    </row>
    <row r="36" spans="1:17" ht="15">
      <c r="A36" s="559" t="s">
        <v>2681</v>
      </c>
      <c r="B36" s="1249" t="s">
        <v>2684</v>
      </c>
      <c r="C36" s="1249"/>
      <c r="D36" s="1249"/>
      <c r="E36" s="1228"/>
      <c r="F36" s="1228"/>
      <c r="G36" s="1228"/>
      <c r="H36" s="1228"/>
      <c r="I36" s="1228"/>
      <c r="J36" s="1228"/>
      <c r="K36" s="1228"/>
      <c r="L36" s="1228"/>
      <c r="M36" s="1228"/>
      <c r="N36" s="1228"/>
      <c r="O36" s="1228"/>
      <c r="P36" s="1228"/>
      <c r="Q36" s="861">
        <f t="shared" si="1"/>
        <v>0</v>
      </c>
    </row>
    <row r="37" spans="1:17" ht="15">
      <c r="A37" s="559" t="s">
        <v>2560</v>
      </c>
      <c r="B37" s="1248" t="s">
        <v>2685</v>
      </c>
      <c r="C37" s="1248"/>
      <c r="D37" s="1248"/>
      <c r="E37" s="1228">
        <f>E38-E39-E40</f>
        <v>0</v>
      </c>
      <c r="F37" s="1228">
        <f t="shared" ref="F37:P37" si="12">F38-F39-F40</f>
        <v>0</v>
      </c>
      <c r="G37" s="1228">
        <f t="shared" si="12"/>
        <v>0</v>
      </c>
      <c r="H37" s="1228">
        <f t="shared" si="12"/>
        <v>0</v>
      </c>
      <c r="I37" s="1228">
        <f t="shared" si="12"/>
        <v>0</v>
      </c>
      <c r="J37" s="1228">
        <f t="shared" si="12"/>
        <v>0</v>
      </c>
      <c r="K37" s="1228">
        <f t="shared" si="12"/>
        <v>0</v>
      </c>
      <c r="L37" s="1228">
        <f t="shared" si="12"/>
        <v>0</v>
      </c>
      <c r="M37" s="1228">
        <f t="shared" si="12"/>
        <v>0</v>
      </c>
      <c r="N37" s="1228">
        <f t="shared" si="12"/>
        <v>0</v>
      </c>
      <c r="O37" s="1228">
        <f t="shared" si="12"/>
        <v>0</v>
      </c>
      <c r="P37" s="1228">
        <f t="shared" si="12"/>
        <v>0</v>
      </c>
      <c r="Q37" s="861">
        <f t="shared" si="1"/>
        <v>0</v>
      </c>
    </row>
    <row r="38" spans="1:17" ht="15">
      <c r="A38" s="559" t="s">
        <v>2673</v>
      </c>
      <c r="B38" s="1249" t="s">
        <v>2686</v>
      </c>
      <c r="C38" s="1249"/>
      <c r="D38" s="1249"/>
      <c r="E38" s="1228"/>
      <c r="F38" s="1228"/>
      <c r="G38" s="1228"/>
      <c r="H38" s="1228"/>
      <c r="I38" s="1228"/>
      <c r="J38" s="1228"/>
      <c r="K38" s="1228"/>
      <c r="L38" s="1228"/>
      <c r="M38" s="1228"/>
      <c r="N38" s="1228"/>
      <c r="O38" s="1228"/>
      <c r="P38" s="1228"/>
      <c r="Q38" s="861">
        <f t="shared" si="1"/>
        <v>0</v>
      </c>
    </row>
    <row r="39" spans="1:17" ht="15">
      <c r="A39" s="559" t="s">
        <v>2678</v>
      </c>
      <c r="B39" s="1249" t="s">
        <v>2687</v>
      </c>
      <c r="C39" s="1249"/>
      <c r="D39" s="1249"/>
      <c r="E39" s="1228"/>
      <c r="F39" s="1228"/>
      <c r="G39" s="1228"/>
      <c r="H39" s="1228"/>
      <c r="I39" s="1228"/>
      <c r="J39" s="1228"/>
      <c r="K39" s="1228"/>
      <c r="L39" s="1228"/>
      <c r="M39" s="1228"/>
      <c r="N39" s="1228"/>
      <c r="O39" s="1228"/>
      <c r="P39" s="1228"/>
      <c r="Q39" s="861">
        <f t="shared" si="1"/>
        <v>0</v>
      </c>
    </row>
    <row r="40" spans="1:17" ht="15">
      <c r="A40" s="559" t="s">
        <v>2679</v>
      </c>
      <c r="B40" s="1249" t="s">
        <v>2684</v>
      </c>
      <c r="C40" s="1249"/>
      <c r="D40" s="1249"/>
      <c r="E40" s="1228"/>
      <c r="F40" s="1228"/>
      <c r="G40" s="1228"/>
      <c r="H40" s="1228"/>
      <c r="I40" s="1228"/>
      <c r="J40" s="1228"/>
      <c r="K40" s="1228"/>
      <c r="L40" s="1228"/>
      <c r="M40" s="1228"/>
      <c r="N40" s="1228"/>
      <c r="O40" s="1228"/>
      <c r="P40" s="1228"/>
      <c r="Q40" s="861">
        <f t="shared" si="1"/>
        <v>0</v>
      </c>
    </row>
    <row r="41" spans="1:17" ht="15">
      <c r="A41" s="559" t="s">
        <v>2561</v>
      </c>
      <c r="B41" s="1248" t="s">
        <v>2688</v>
      </c>
      <c r="C41" s="1248"/>
      <c r="D41" s="1248"/>
      <c r="E41" s="1228">
        <f>E42-E43</f>
        <v>0</v>
      </c>
      <c r="F41" s="1228">
        <f t="shared" ref="F41:P41" si="13">F42-F43</f>
        <v>0</v>
      </c>
      <c r="G41" s="1228">
        <f t="shared" si="13"/>
        <v>0</v>
      </c>
      <c r="H41" s="1228">
        <f t="shared" si="13"/>
        <v>0</v>
      </c>
      <c r="I41" s="1228">
        <f t="shared" si="13"/>
        <v>0</v>
      </c>
      <c r="J41" s="1228">
        <f t="shared" si="13"/>
        <v>0</v>
      </c>
      <c r="K41" s="1228">
        <f t="shared" si="13"/>
        <v>0</v>
      </c>
      <c r="L41" s="1228">
        <f t="shared" si="13"/>
        <v>0</v>
      </c>
      <c r="M41" s="1228">
        <f t="shared" si="13"/>
        <v>0</v>
      </c>
      <c r="N41" s="1228">
        <f t="shared" si="13"/>
        <v>0</v>
      </c>
      <c r="O41" s="1228">
        <f t="shared" si="13"/>
        <v>0</v>
      </c>
      <c r="P41" s="1228">
        <f t="shared" si="13"/>
        <v>0</v>
      </c>
      <c r="Q41" s="861">
        <f t="shared" si="1"/>
        <v>0</v>
      </c>
    </row>
    <row r="42" spans="1:17" ht="15">
      <c r="A42" s="559" t="s">
        <v>2674</v>
      </c>
      <c r="B42" s="1249" t="s">
        <v>2689</v>
      </c>
      <c r="C42" s="1249"/>
      <c r="D42" s="1249"/>
      <c r="E42" s="1228"/>
      <c r="F42" s="1228"/>
      <c r="G42" s="1228"/>
      <c r="H42" s="1228"/>
      <c r="I42" s="1228"/>
      <c r="J42" s="1228"/>
      <c r="K42" s="1228"/>
      <c r="L42" s="1228"/>
      <c r="M42" s="1228"/>
      <c r="N42" s="1228"/>
      <c r="O42" s="1228"/>
      <c r="P42" s="1228"/>
      <c r="Q42" s="861">
        <f t="shared" si="1"/>
        <v>0</v>
      </c>
    </row>
    <row r="43" spans="1:17" ht="15">
      <c r="A43" s="559" t="s">
        <v>2677</v>
      </c>
      <c r="B43" s="1249" t="s">
        <v>2690</v>
      </c>
      <c r="C43" s="1249"/>
      <c r="D43" s="1249"/>
      <c r="E43" s="1228"/>
      <c r="F43" s="1228"/>
      <c r="G43" s="1228"/>
      <c r="H43" s="1228"/>
      <c r="I43" s="1228"/>
      <c r="J43" s="1228"/>
      <c r="K43" s="1228"/>
      <c r="L43" s="1228"/>
      <c r="M43" s="1228"/>
      <c r="N43" s="1228"/>
      <c r="O43" s="1228"/>
      <c r="P43" s="1228"/>
      <c r="Q43" s="861">
        <f t="shared" si="1"/>
        <v>0</v>
      </c>
    </row>
    <row r="44" spans="1:17" ht="15">
      <c r="A44" s="559" t="s">
        <v>2562</v>
      </c>
      <c r="B44" s="1248" t="s">
        <v>2691</v>
      </c>
      <c r="C44" s="1248"/>
      <c r="D44" s="1248"/>
      <c r="E44" s="1228">
        <f>E45-E46</f>
        <v>0</v>
      </c>
      <c r="F44" s="1228">
        <f t="shared" ref="F44:P44" si="14">F45-F46</f>
        <v>0</v>
      </c>
      <c r="G44" s="1228">
        <f t="shared" si="14"/>
        <v>0</v>
      </c>
      <c r="H44" s="1228">
        <f t="shared" si="14"/>
        <v>0</v>
      </c>
      <c r="I44" s="1228">
        <f t="shared" si="14"/>
        <v>0</v>
      </c>
      <c r="J44" s="1228">
        <f t="shared" si="14"/>
        <v>0</v>
      </c>
      <c r="K44" s="1228">
        <f t="shared" si="14"/>
        <v>0</v>
      </c>
      <c r="L44" s="1228">
        <f t="shared" si="14"/>
        <v>0</v>
      </c>
      <c r="M44" s="1228">
        <f t="shared" si="14"/>
        <v>0</v>
      </c>
      <c r="N44" s="1228">
        <f t="shared" si="14"/>
        <v>0</v>
      </c>
      <c r="O44" s="1228">
        <f t="shared" si="14"/>
        <v>0</v>
      </c>
      <c r="P44" s="1228">
        <f t="shared" si="14"/>
        <v>0</v>
      </c>
      <c r="Q44" s="861">
        <f t="shared" si="1"/>
        <v>0</v>
      </c>
    </row>
    <row r="45" spans="1:17" ht="15">
      <c r="A45" s="559" t="s">
        <v>2675</v>
      </c>
      <c r="B45" s="1249" t="s">
        <v>2693</v>
      </c>
      <c r="C45" s="1249"/>
      <c r="D45" s="1249"/>
      <c r="E45" s="1228"/>
      <c r="F45" s="1228"/>
      <c r="G45" s="1228"/>
      <c r="H45" s="1228"/>
      <c r="I45" s="1228"/>
      <c r="J45" s="1228"/>
      <c r="K45" s="1228"/>
      <c r="L45" s="1228"/>
      <c r="M45" s="1228"/>
      <c r="N45" s="1228"/>
      <c r="O45" s="1228"/>
      <c r="P45" s="1228"/>
      <c r="Q45" s="861">
        <f t="shared" si="1"/>
        <v>0</v>
      </c>
    </row>
    <row r="46" spans="1:17" ht="15">
      <c r="A46" s="559" t="s">
        <v>2676</v>
      </c>
      <c r="B46" s="1249" t="s">
        <v>2692</v>
      </c>
      <c r="C46" s="1249"/>
      <c r="D46" s="1249"/>
      <c r="E46" s="1228"/>
      <c r="F46" s="1228"/>
      <c r="G46" s="1228"/>
      <c r="H46" s="1228"/>
      <c r="I46" s="1228"/>
      <c r="J46" s="1228"/>
      <c r="K46" s="1228"/>
      <c r="L46" s="1228"/>
      <c r="M46" s="1228"/>
      <c r="N46" s="1228"/>
      <c r="O46" s="1228"/>
      <c r="P46" s="1228"/>
      <c r="Q46" s="861">
        <f t="shared" si="1"/>
        <v>0</v>
      </c>
    </row>
    <row r="47" spans="1:17" ht="15.75">
      <c r="B47" s="1245" t="s">
        <v>2443</v>
      </c>
      <c r="C47" s="1272">
        <f>C48+C52+C53+C54</f>
        <v>0</v>
      </c>
      <c r="D47" s="1272">
        <f t="shared" ref="D47:P47" si="15">D48+D52+D53+D54</f>
        <v>0</v>
      </c>
      <c r="E47" s="1272">
        <f t="shared" si="15"/>
        <v>0</v>
      </c>
      <c r="F47" s="1272">
        <f t="shared" si="15"/>
        <v>0</v>
      </c>
      <c r="G47" s="1272">
        <f t="shared" si="15"/>
        <v>9900828.675999999</v>
      </c>
      <c r="H47" s="1272">
        <f t="shared" si="15"/>
        <v>0</v>
      </c>
      <c r="I47" s="1272">
        <f t="shared" si="15"/>
        <v>0</v>
      </c>
      <c r="J47" s="1272">
        <f t="shared" si="15"/>
        <v>8737519.2275599986</v>
      </c>
      <c r="K47" s="1272">
        <f t="shared" si="15"/>
        <v>0</v>
      </c>
      <c r="L47" s="1272">
        <f t="shared" si="15"/>
        <v>0</v>
      </c>
      <c r="M47" s="1272">
        <f t="shared" si="15"/>
        <v>14255389.695</v>
      </c>
      <c r="N47" s="1272">
        <f t="shared" si="15"/>
        <v>0</v>
      </c>
      <c r="O47" s="1272">
        <f t="shared" si="15"/>
        <v>0</v>
      </c>
      <c r="P47" s="1272">
        <f t="shared" si="15"/>
        <v>4189491.2199999997</v>
      </c>
      <c r="Q47" s="861">
        <f t="shared" si="1"/>
        <v>37083228.818559997</v>
      </c>
    </row>
    <row r="48" spans="1:17" ht="15">
      <c r="B48" s="1250" t="s">
        <v>2444</v>
      </c>
      <c r="C48" s="1273">
        <f>SUM(C49:C51)</f>
        <v>0</v>
      </c>
      <c r="D48" s="1273">
        <f t="shared" ref="D48:P48" si="16">SUM(D49:D51)</f>
        <v>0</v>
      </c>
      <c r="E48" s="1273">
        <f t="shared" si="16"/>
        <v>0</v>
      </c>
      <c r="F48" s="1273">
        <f t="shared" si="16"/>
        <v>0</v>
      </c>
      <c r="G48" s="1273">
        <f t="shared" si="16"/>
        <v>9900828.675999999</v>
      </c>
      <c r="H48" s="1273">
        <f t="shared" si="16"/>
        <v>0</v>
      </c>
      <c r="I48" s="1273">
        <f t="shared" si="16"/>
        <v>0</v>
      </c>
      <c r="J48" s="1273">
        <f t="shared" si="16"/>
        <v>8737519.2275599986</v>
      </c>
      <c r="K48" s="1273">
        <f t="shared" si="16"/>
        <v>0</v>
      </c>
      <c r="L48" s="1273">
        <f t="shared" si="16"/>
        <v>0</v>
      </c>
      <c r="M48" s="1273">
        <f t="shared" si="16"/>
        <v>14255389.695</v>
      </c>
      <c r="N48" s="1273">
        <f t="shared" si="16"/>
        <v>0</v>
      </c>
      <c r="O48" s="1273">
        <f t="shared" si="16"/>
        <v>0</v>
      </c>
      <c r="P48" s="1273">
        <f t="shared" si="16"/>
        <v>4189491.2199999997</v>
      </c>
      <c r="Q48" s="861">
        <f t="shared" si="1"/>
        <v>37083228.818559997</v>
      </c>
    </row>
    <row r="49" spans="1:17" ht="15">
      <c r="B49" s="1248" t="s">
        <v>2440</v>
      </c>
      <c r="C49" s="1274"/>
      <c r="D49" s="1274"/>
      <c r="E49" s="1227">
        <f>'Ordon-Dep'!E44</f>
        <v>0</v>
      </c>
      <c r="F49" s="1227">
        <f>'Ordon-Dep'!F44</f>
        <v>0</v>
      </c>
      <c r="G49" s="1227">
        <f>'Ordon-Dep'!G44</f>
        <v>9900828.675999999</v>
      </c>
      <c r="H49" s="1227">
        <f>'Ordon-Dep'!H44</f>
        <v>0</v>
      </c>
      <c r="I49" s="1227">
        <f>'Ordon-Dep'!I44</f>
        <v>0</v>
      </c>
      <c r="J49" s="1227">
        <f>'Ordon-Dep'!J44</f>
        <v>8737519.2275599986</v>
      </c>
      <c r="K49" s="1227">
        <f>'Ordon-Dep'!K44</f>
        <v>0</v>
      </c>
      <c r="L49" s="1227">
        <f>'Ordon-Dep'!L44</f>
        <v>0</v>
      </c>
      <c r="M49" s="1227">
        <f>'Ordon-Dep'!M44</f>
        <v>14255389.695</v>
      </c>
      <c r="N49" s="1227">
        <f>'Ordon-Dep'!N44</f>
        <v>0</v>
      </c>
      <c r="O49" s="1227">
        <f>'Ordon-Dep'!O44</f>
        <v>0</v>
      </c>
      <c r="P49" s="1227">
        <f>'Ordon-Dep'!P44</f>
        <v>4189491.2199999997</v>
      </c>
      <c r="Q49" s="861">
        <f t="shared" si="1"/>
        <v>37083228.818559997</v>
      </c>
    </row>
    <row r="50" spans="1:17" ht="15">
      <c r="B50" s="1248" t="s">
        <v>2441</v>
      </c>
      <c r="C50" s="1248"/>
      <c r="D50" s="1248"/>
      <c r="E50" s="1228"/>
      <c r="F50" s="1228"/>
      <c r="G50" s="1228"/>
      <c r="H50" s="1228"/>
      <c r="I50" s="1228"/>
      <c r="J50" s="1228"/>
      <c r="K50" s="1228"/>
      <c r="L50" s="1228"/>
      <c r="M50" s="1228"/>
      <c r="N50" s="1228"/>
      <c r="O50" s="1228"/>
      <c r="P50" s="1228"/>
      <c r="Q50" s="861">
        <f t="shared" si="1"/>
        <v>0</v>
      </c>
    </row>
    <row r="51" spans="1:17" ht="15">
      <c r="B51" s="1248" t="s">
        <v>2442</v>
      </c>
      <c r="C51" s="1248"/>
      <c r="D51" s="1248"/>
      <c r="E51" s="1228"/>
      <c r="F51" s="1228"/>
      <c r="G51" s="1228"/>
      <c r="H51" s="1228"/>
      <c r="I51" s="1228"/>
      <c r="J51" s="1228"/>
      <c r="K51" s="1228"/>
      <c r="L51" s="1228"/>
      <c r="M51" s="1228"/>
      <c r="N51" s="1228"/>
      <c r="O51" s="1228"/>
      <c r="P51" s="1228"/>
      <c r="Q51" s="861">
        <f t="shared" si="1"/>
        <v>0</v>
      </c>
    </row>
    <row r="52" spans="1:17" ht="15">
      <c r="B52" s="1250" t="s">
        <v>2445</v>
      </c>
      <c r="C52" s="1250"/>
      <c r="D52" s="1250"/>
      <c r="E52" s="1228"/>
      <c r="F52" s="1228"/>
      <c r="G52" s="1228"/>
      <c r="H52" s="1228"/>
      <c r="I52" s="1228"/>
      <c r="J52" s="1228"/>
      <c r="K52" s="1228"/>
      <c r="L52" s="1228"/>
      <c r="M52" s="1228"/>
      <c r="N52" s="1228"/>
      <c r="O52" s="1228"/>
      <c r="P52" s="1228"/>
      <c r="Q52" s="861">
        <f t="shared" si="1"/>
        <v>0</v>
      </c>
    </row>
    <row r="53" spans="1:17" ht="15">
      <c r="B53" s="1250" t="s">
        <v>2446</v>
      </c>
      <c r="C53" s="1250"/>
      <c r="D53" s="1250"/>
      <c r="E53" s="1228"/>
      <c r="F53" s="1228"/>
      <c r="G53" s="1228"/>
      <c r="H53" s="1228"/>
      <c r="I53" s="1228"/>
      <c r="J53" s="1228"/>
      <c r="K53" s="1228"/>
      <c r="L53" s="1228"/>
      <c r="M53" s="1228"/>
      <c r="N53" s="1228"/>
      <c r="O53" s="1228"/>
      <c r="P53" s="1228"/>
      <c r="Q53" s="861">
        <f t="shared" si="1"/>
        <v>0</v>
      </c>
    </row>
    <row r="54" spans="1:17" ht="15">
      <c r="B54" s="1250" t="s">
        <v>2447</v>
      </c>
      <c r="C54" s="1250"/>
      <c r="D54" s="1250"/>
      <c r="E54" s="1228"/>
      <c r="F54" s="1228"/>
      <c r="G54" s="1228"/>
      <c r="H54" s="1228"/>
      <c r="I54" s="1228"/>
      <c r="J54" s="1228"/>
      <c r="K54" s="1228"/>
      <c r="L54" s="1228"/>
      <c r="M54" s="1228"/>
      <c r="N54" s="1228"/>
      <c r="O54" s="1228"/>
      <c r="P54" s="1228"/>
      <c r="Q54" s="861">
        <f t="shared" si="1"/>
        <v>0</v>
      </c>
    </row>
    <row r="55" spans="1:17" ht="15">
      <c r="B55" s="1249"/>
      <c r="C55" s="1249"/>
      <c r="D55" s="1249"/>
      <c r="E55" s="1228"/>
      <c r="F55" s="1228"/>
      <c r="G55" s="1228"/>
      <c r="H55" s="1228"/>
      <c r="I55" s="1228"/>
      <c r="J55" s="1228"/>
      <c r="K55" s="1228"/>
      <c r="L55" s="1228"/>
      <c r="M55" s="1228"/>
      <c r="N55" s="1228"/>
      <c r="O55" s="1228"/>
      <c r="P55" s="1228"/>
      <c r="Q55" s="861">
        <f t="shared" si="1"/>
        <v>0</v>
      </c>
    </row>
    <row r="56" spans="1:17" ht="15.75">
      <c r="A56" s="1219" t="s">
        <v>2563</v>
      </c>
      <c r="B56" s="1219" t="s">
        <v>2448</v>
      </c>
      <c r="C56" s="1219"/>
      <c r="D56" s="1219"/>
      <c r="E56" s="1222">
        <f>SUM(E57:E63)+E80</f>
        <v>-5577182.1830000002</v>
      </c>
      <c r="F56" s="1222">
        <f t="shared" ref="F56:P56" si="17">SUM(F57:F63)+F80</f>
        <v>-437619.47599999997</v>
      </c>
      <c r="G56" s="1222">
        <f t="shared" si="17"/>
        <v>5769228.5269999988</v>
      </c>
      <c r="H56" s="1222">
        <f t="shared" si="17"/>
        <v>-120525.77700000032</v>
      </c>
      <c r="I56" s="1222">
        <f t="shared" si="17"/>
        <v>324554.97400000098</v>
      </c>
      <c r="J56" s="1222">
        <f t="shared" si="17"/>
        <v>-3939517.6270000003</v>
      </c>
      <c r="K56" s="1222">
        <f t="shared" si="17"/>
        <v>-1035736.2220000002</v>
      </c>
      <c r="L56" s="1222">
        <f t="shared" si="17"/>
        <v>-1691140.3550000002</v>
      </c>
      <c r="M56" s="1228">
        <f t="shared" si="17"/>
        <v>3155982.7629999998</v>
      </c>
      <c r="N56" s="1228">
        <f t="shared" si="17"/>
        <v>2374518.0310000009</v>
      </c>
      <c r="O56" s="1228">
        <f t="shared" si="17"/>
        <v>-1418667.1180000005</v>
      </c>
      <c r="P56" s="1228">
        <f t="shared" si="17"/>
        <v>-57152.683000002267</v>
      </c>
      <c r="Q56" s="861">
        <f t="shared" si="1"/>
        <v>-2653257.1460000034</v>
      </c>
    </row>
    <row r="57" spans="1:17" ht="15">
      <c r="A57" s="559" t="s">
        <v>2564</v>
      </c>
      <c r="B57" s="1250" t="s">
        <v>2641</v>
      </c>
      <c r="C57" s="1250"/>
      <c r="D57" s="1250"/>
      <c r="E57" s="1222">
        <f>E65+E73</f>
        <v>-5577182.1830000002</v>
      </c>
      <c r="F57" s="1222">
        <f t="shared" ref="F57:P57" si="18">F65+F73</f>
        <v>-437619.47599999997</v>
      </c>
      <c r="G57" s="1222">
        <f t="shared" si="18"/>
        <v>5769228.5269999988</v>
      </c>
      <c r="H57" s="1222">
        <f t="shared" si="18"/>
        <v>-120525.77700000032</v>
      </c>
      <c r="I57" s="1222">
        <f t="shared" si="18"/>
        <v>324554.97400000098</v>
      </c>
      <c r="J57" s="1222">
        <f t="shared" si="18"/>
        <v>-3939517.6270000003</v>
      </c>
      <c r="K57" s="1222">
        <f t="shared" si="18"/>
        <v>-1035736.2220000002</v>
      </c>
      <c r="L57" s="1222">
        <f t="shared" si="18"/>
        <v>-1691140.3550000002</v>
      </c>
      <c r="M57" s="1228">
        <f t="shared" si="18"/>
        <v>3155982.7629999998</v>
      </c>
      <c r="N57" s="1228">
        <f t="shared" si="18"/>
        <v>2374518.0310000009</v>
      </c>
      <c r="O57" s="1228">
        <f t="shared" si="18"/>
        <v>-1418667.1180000005</v>
      </c>
      <c r="P57" s="1228">
        <f t="shared" si="18"/>
        <v>-57152.683000002267</v>
      </c>
      <c r="Q57" s="861">
        <f t="shared" si="1"/>
        <v>-2653257.1460000034</v>
      </c>
    </row>
    <row r="58" spans="1:17" ht="15">
      <c r="A58" s="559" t="s">
        <v>2565</v>
      </c>
      <c r="B58" s="1250" t="s">
        <v>2642</v>
      </c>
      <c r="C58" s="1250"/>
      <c r="D58" s="1250"/>
      <c r="E58" s="1222">
        <f t="shared" ref="E58:P63" si="19">E66+E74</f>
        <v>0</v>
      </c>
      <c r="F58" s="1222">
        <f t="shared" si="19"/>
        <v>0</v>
      </c>
      <c r="G58" s="1222">
        <f t="shared" si="19"/>
        <v>0</v>
      </c>
      <c r="H58" s="1222">
        <f t="shared" si="19"/>
        <v>0</v>
      </c>
      <c r="I58" s="1222">
        <f t="shared" si="19"/>
        <v>0</v>
      </c>
      <c r="J58" s="1222">
        <f t="shared" si="19"/>
        <v>0</v>
      </c>
      <c r="K58" s="1222">
        <f t="shared" si="19"/>
        <v>0</v>
      </c>
      <c r="L58" s="1222">
        <f t="shared" si="19"/>
        <v>0</v>
      </c>
      <c r="M58" s="1228">
        <f t="shared" si="19"/>
        <v>0</v>
      </c>
      <c r="N58" s="1228">
        <f t="shared" si="19"/>
        <v>0</v>
      </c>
      <c r="O58" s="1228">
        <f t="shared" si="19"/>
        <v>0</v>
      </c>
      <c r="P58" s="1228">
        <f t="shared" si="19"/>
        <v>0</v>
      </c>
      <c r="Q58" s="861">
        <f t="shared" si="1"/>
        <v>0</v>
      </c>
    </row>
    <row r="59" spans="1:17" ht="15">
      <c r="A59" s="559" t="s">
        <v>2566</v>
      </c>
      <c r="B59" s="1250" t="s">
        <v>2643</v>
      </c>
      <c r="C59" s="1250"/>
      <c r="D59" s="1250"/>
      <c r="E59" s="1222">
        <f t="shared" si="19"/>
        <v>0</v>
      </c>
      <c r="F59" s="1222">
        <f t="shared" si="19"/>
        <v>0</v>
      </c>
      <c r="G59" s="1222">
        <f t="shared" si="19"/>
        <v>0</v>
      </c>
      <c r="H59" s="1222">
        <f t="shared" si="19"/>
        <v>0</v>
      </c>
      <c r="I59" s="1222">
        <f t="shared" si="19"/>
        <v>0</v>
      </c>
      <c r="J59" s="1222">
        <f t="shared" si="19"/>
        <v>0</v>
      </c>
      <c r="K59" s="1222">
        <f t="shared" si="19"/>
        <v>0</v>
      </c>
      <c r="L59" s="1222">
        <f t="shared" si="19"/>
        <v>0</v>
      </c>
      <c r="M59" s="1228">
        <f t="shared" si="19"/>
        <v>0</v>
      </c>
      <c r="N59" s="1228">
        <f t="shared" si="19"/>
        <v>0</v>
      </c>
      <c r="O59" s="1228">
        <f t="shared" si="19"/>
        <v>0</v>
      </c>
      <c r="P59" s="1228">
        <f t="shared" si="19"/>
        <v>0</v>
      </c>
      <c r="Q59" s="861">
        <f t="shared" si="1"/>
        <v>0</v>
      </c>
    </row>
    <row r="60" spans="1:17" ht="15">
      <c r="A60" s="559" t="s">
        <v>2567</v>
      </c>
      <c r="B60" s="1250" t="s">
        <v>2644</v>
      </c>
      <c r="C60" s="1250"/>
      <c r="D60" s="1250"/>
      <c r="E60" s="1222">
        <f t="shared" si="19"/>
        <v>0</v>
      </c>
      <c r="F60" s="1222">
        <f t="shared" si="19"/>
        <v>0</v>
      </c>
      <c r="G60" s="1222">
        <f t="shared" si="19"/>
        <v>0</v>
      </c>
      <c r="H60" s="1222">
        <f t="shared" si="19"/>
        <v>0</v>
      </c>
      <c r="I60" s="1222">
        <f t="shared" si="19"/>
        <v>0</v>
      </c>
      <c r="J60" s="1222">
        <f t="shared" si="19"/>
        <v>0</v>
      </c>
      <c r="K60" s="1222">
        <f t="shared" si="19"/>
        <v>0</v>
      </c>
      <c r="L60" s="1222">
        <f t="shared" si="19"/>
        <v>0</v>
      </c>
      <c r="M60" s="1228">
        <f t="shared" si="19"/>
        <v>0</v>
      </c>
      <c r="N60" s="1228">
        <f t="shared" si="19"/>
        <v>0</v>
      </c>
      <c r="O60" s="1228">
        <f t="shared" si="19"/>
        <v>0</v>
      </c>
      <c r="P60" s="1228">
        <f t="shared" si="19"/>
        <v>0</v>
      </c>
      <c r="Q60" s="861">
        <f t="shared" si="1"/>
        <v>0</v>
      </c>
    </row>
    <row r="61" spans="1:17" ht="15">
      <c r="A61" s="559" t="s">
        <v>2568</v>
      </c>
      <c r="B61" s="1250" t="s">
        <v>2645</v>
      </c>
      <c r="C61" s="1250"/>
      <c r="D61" s="1250"/>
      <c r="E61" s="1222">
        <f t="shared" si="19"/>
        <v>0</v>
      </c>
      <c r="F61" s="1222">
        <f t="shared" si="19"/>
        <v>0</v>
      </c>
      <c r="G61" s="1222">
        <f t="shared" si="19"/>
        <v>0</v>
      </c>
      <c r="H61" s="1222">
        <f t="shared" si="19"/>
        <v>0</v>
      </c>
      <c r="I61" s="1222">
        <f t="shared" si="19"/>
        <v>0</v>
      </c>
      <c r="J61" s="1222">
        <f t="shared" si="19"/>
        <v>0</v>
      </c>
      <c r="K61" s="1222">
        <f t="shared" si="19"/>
        <v>0</v>
      </c>
      <c r="L61" s="1222">
        <f t="shared" si="19"/>
        <v>0</v>
      </c>
      <c r="M61" s="1228">
        <f t="shared" si="19"/>
        <v>0</v>
      </c>
      <c r="N61" s="1228">
        <f t="shared" si="19"/>
        <v>0</v>
      </c>
      <c r="O61" s="1228">
        <f t="shared" si="19"/>
        <v>0</v>
      </c>
      <c r="P61" s="1228">
        <f t="shared" si="19"/>
        <v>0</v>
      </c>
      <c r="Q61" s="861">
        <f t="shared" si="1"/>
        <v>0</v>
      </c>
    </row>
    <row r="62" spans="1:17" ht="15">
      <c r="A62" s="559" t="s">
        <v>2569</v>
      </c>
      <c r="B62" s="1250" t="s">
        <v>2646</v>
      </c>
      <c r="C62" s="1250"/>
      <c r="D62" s="1250"/>
      <c r="E62" s="1222">
        <f t="shared" si="19"/>
        <v>0</v>
      </c>
      <c r="F62" s="1222">
        <f t="shared" si="19"/>
        <v>0</v>
      </c>
      <c r="G62" s="1222">
        <f t="shared" si="19"/>
        <v>0</v>
      </c>
      <c r="H62" s="1222">
        <f t="shared" si="19"/>
        <v>0</v>
      </c>
      <c r="I62" s="1222">
        <f t="shared" si="19"/>
        <v>0</v>
      </c>
      <c r="J62" s="1222">
        <f t="shared" si="19"/>
        <v>0</v>
      </c>
      <c r="K62" s="1222">
        <f t="shared" si="19"/>
        <v>0</v>
      </c>
      <c r="L62" s="1222">
        <f t="shared" si="19"/>
        <v>0</v>
      </c>
      <c r="M62" s="1228">
        <f t="shared" si="19"/>
        <v>0</v>
      </c>
      <c r="N62" s="1228">
        <f t="shared" si="19"/>
        <v>0</v>
      </c>
      <c r="O62" s="1228">
        <f t="shared" si="19"/>
        <v>0</v>
      </c>
      <c r="P62" s="1228">
        <f t="shared" si="19"/>
        <v>0</v>
      </c>
      <c r="Q62" s="861">
        <f t="shared" si="1"/>
        <v>0</v>
      </c>
    </row>
    <row r="63" spans="1:17" ht="15">
      <c r="A63" s="559" t="s">
        <v>2578</v>
      </c>
      <c r="B63" s="1250" t="s">
        <v>2647</v>
      </c>
      <c r="C63" s="1250"/>
      <c r="D63" s="1250"/>
      <c r="E63" s="1222">
        <f t="shared" si="19"/>
        <v>0</v>
      </c>
      <c r="F63" s="1222">
        <f t="shared" si="19"/>
        <v>0</v>
      </c>
      <c r="G63" s="1222">
        <f t="shared" si="19"/>
        <v>0</v>
      </c>
      <c r="H63" s="1222">
        <f t="shared" si="19"/>
        <v>0</v>
      </c>
      <c r="I63" s="1222">
        <f t="shared" si="19"/>
        <v>0</v>
      </c>
      <c r="J63" s="1222">
        <f t="shared" si="19"/>
        <v>0</v>
      </c>
      <c r="K63" s="1222">
        <f t="shared" si="19"/>
        <v>0</v>
      </c>
      <c r="L63" s="1222">
        <f t="shared" si="19"/>
        <v>0</v>
      </c>
      <c r="M63" s="1228">
        <f t="shared" si="19"/>
        <v>0</v>
      </c>
      <c r="N63" s="1228">
        <f t="shared" si="19"/>
        <v>0</v>
      </c>
      <c r="O63" s="1228">
        <f t="shared" si="19"/>
        <v>0</v>
      </c>
      <c r="P63" s="1228">
        <f t="shared" si="19"/>
        <v>0</v>
      </c>
      <c r="Q63" s="861">
        <f t="shared" si="1"/>
        <v>0</v>
      </c>
    </row>
    <row r="64" spans="1:17" ht="15.75">
      <c r="A64" s="1246" t="s">
        <v>2570</v>
      </c>
      <c r="B64" s="1246" t="s">
        <v>2626</v>
      </c>
      <c r="C64" s="1246"/>
      <c r="D64" s="1246"/>
      <c r="E64" s="1222">
        <f>SUM(E65:E71)</f>
        <v>-5577182.1830000002</v>
      </c>
      <c r="F64" s="1222">
        <f t="shared" ref="F64:P64" si="20">SUM(F65:F71)</f>
        <v>-437619.47599999997</v>
      </c>
      <c r="G64" s="1222">
        <f t="shared" si="20"/>
        <v>5769228.5269999988</v>
      </c>
      <c r="H64" s="1222">
        <f t="shared" si="20"/>
        <v>-120525.77700000032</v>
      </c>
      <c r="I64" s="1222">
        <f t="shared" si="20"/>
        <v>324554.97400000098</v>
      </c>
      <c r="J64" s="1222">
        <f t="shared" si="20"/>
        <v>-3939517.6270000003</v>
      </c>
      <c r="K64" s="1222">
        <f t="shared" si="20"/>
        <v>-1035736.2220000002</v>
      </c>
      <c r="L64" s="1222">
        <f t="shared" si="20"/>
        <v>-1691140.3550000002</v>
      </c>
      <c r="M64" s="1228">
        <f t="shared" si="20"/>
        <v>3155982.7629999998</v>
      </c>
      <c r="N64" s="1228">
        <f t="shared" si="20"/>
        <v>2374518.0310000009</v>
      </c>
      <c r="O64" s="1228">
        <f t="shared" si="20"/>
        <v>-1418667.1180000005</v>
      </c>
      <c r="P64" s="1228">
        <f t="shared" si="20"/>
        <v>-57152.683000002267</v>
      </c>
      <c r="Q64" s="861">
        <f t="shared" si="1"/>
        <v>-2653257.1460000034</v>
      </c>
    </row>
    <row r="65" spans="1:17" ht="15">
      <c r="A65" s="559" t="s">
        <v>2571</v>
      </c>
      <c r="B65" s="1248" t="s">
        <v>2620</v>
      </c>
      <c r="C65" s="1248"/>
      <c r="D65" s="1248"/>
      <c r="E65" s="1222">
        <f>(PNT!O5+PNT!O18+PNT!O4)*1000</f>
        <v>-5577182.1830000002</v>
      </c>
      <c r="F65" s="1222">
        <f>(PNT!P5+PNT!P18+PNT!P4)*1000</f>
        <v>-437619.47599999997</v>
      </c>
      <c r="G65" s="1222">
        <f>(PNT!Q5+PNT!Q18+PNT!Q4)*1000</f>
        <v>5769228.5269999988</v>
      </c>
      <c r="H65" s="1222">
        <f>(PNT!R5+PNT!R18+PNT!R4)*1000</f>
        <v>-120525.77700000032</v>
      </c>
      <c r="I65" s="1222">
        <f>(PNT!S5+PNT!S18+PNT!S4)*1000</f>
        <v>324554.97400000098</v>
      </c>
      <c r="J65" s="1222">
        <f>(PNT!T5+PNT!T18+PNT!T4)*1000</f>
        <v>-3939517.6270000003</v>
      </c>
      <c r="K65" s="1222">
        <f>(PNT!U5+PNT!U18+PNT!U4)*1000</f>
        <v>-1035736.2220000002</v>
      </c>
      <c r="L65" s="1222">
        <f>(PNT!V5+PNT!V18+PNT!V4)*1000</f>
        <v>-1691140.3550000002</v>
      </c>
      <c r="M65" s="1228">
        <f>(PNT!W5+PNT!W18+PNT!W4)*1000</f>
        <v>3155982.7629999998</v>
      </c>
      <c r="N65" s="1228">
        <f>(PNT!X5+PNT!X18+PNT!X4)*1000</f>
        <v>2374518.0310000009</v>
      </c>
      <c r="O65" s="1228">
        <f>(PNT!Y5+PNT!Y18+PNT!Y4)*1000</f>
        <v>-1418667.1180000005</v>
      </c>
      <c r="P65" s="1228">
        <f>(PNT!Z5+PNT!Z18+PNT!Z4)*1000</f>
        <v>-57152.683000002267</v>
      </c>
      <c r="Q65" s="861">
        <f t="shared" si="1"/>
        <v>-2653257.1460000034</v>
      </c>
    </row>
    <row r="66" spans="1:17" ht="15">
      <c r="A66" s="559" t="s">
        <v>2572</v>
      </c>
      <c r="B66" s="1248" t="s">
        <v>2614</v>
      </c>
      <c r="C66" s="1248"/>
      <c r="D66" s="1248"/>
      <c r="E66" s="1222"/>
      <c r="F66" s="1222"/>
      <c r="G66" s="1222"/>
      <c r="H66" s="1222"/>
      <c r="I66" s="1222"/>
      <c r="J66" s="1222"/>
      <c r="K66" s="1222"/>
      <c r="L66" s="1222"/>
      <c r="M66" s="1228"/>
      <c r="N66" s="1228"/>
      <c r="O66" s="1228"/>
      <c r="P66" s="1228"/>
      <c r="Q66" s="861">
        <f t="shared" si="1"/>
        <v>0</v>
      </c>
    </row>
    <row r="67" spans="1:17" ht="15">
      <c r="A67" s="559" t="s">
        <v>2573</v>
      </c>
      <c r="B67" s="1248" t="s">
        <v>2640</v>
      </c>
      <c r="C67" s="1248"/>
      <c r="D67" s="1248"/>
      <c r="E67" s="1228"/>
      <c r="F67" s="1228"/>
      <c r="G67" s="1228"/>
      <c r="H67" s="1228"/>
      <c r="I67" s="1228"/>
      <c r="J67" s="1228"/>
      <c r="K67" s="1228"/>
      <c r="L67" s="1228"/>
      <c r="M67" s="1228"/>
      <c r="N67" s="1228"/>
      <c r="O67" s="1228"/>
      <c r="P67" s="1228"/>
      <c r="Q67" s="861">
        <f t="shared" si="1"/>
        <v>0</v>
      </c>
    </row>
    <row r="68" spans="1:17" ht="15">
      <c r="A68" s="559" t="s">
        <v>2574</v>
      </c>
      <c r="B68" s="1248" t="s">
        <v>2616</v>
      </c>
      <c r="C68" s="1248"/>
      <c r="D68" s="1248"/>
      <c r="E68" s="1228"/>
      <c r="F68" s="1228"/>
      <c r="G68" s="1228"/>
      <c r="H68" s="1228"/>
      <c r="I68" s="1228"/>
      <c r="J68" s="1228"/>
      <c r="K68" s="1228"/>
      <c r="L68" s="1228"/>
      <c r="M68" s="1228"/>
      <c r="N68" s="1228"/>
      <c r="O68" s="1228"/>
      <c r="P68" s="1228"/>
      <c r="Q68" s="861">
        <f t="shared" si="1"/>
        <v>0</v>
      </c>
    </row>
    <row r="69" spans="1:17" ht="15">
      <c r="A69" s="559" t="s">
        <v>2575</v>
      </c>
      <c r="B69" s="1248" t="s">
        <v>2639</v>
      </c>
      <c r="C69" s="1248"/>
      <c r="D69" s="1248"/>
      <c r="E69" s="1228"/>
      <c r="F69" s="1228"/>
      <c r="G69" s="1228"/>
      <c r="H69" s="1228"/>
      <c r="I69" s="1228"/>
      <c r="J69" s="1228"/>
      <c r="K69" s="1228"/>
      <c r="L69" s="1228"/>
      <c r="M69" s="1228"/>
      <c r="N69" s="1228"/>
      <c r="O69" s="1228"/>
      <c r="P69" s="1228"/>
      <c r="Q69" s="861">
        <f t="shared" si="1"/>
        <v>0</v>
      </c>
    </row>
    <row r="70" spans="1:17" ht="15">
      <c r="A70" s="559" t="s">
        <v>2576</v>
      </c>
      <c r="B70" s="1248" t="s">
        <v>2618</v>
      </c>
      <c r="C70" s="1248"/>
      <c r="D70" s="1248"/>
      <c r="E70" s="1228"/>
      <c r="F70" s="1228"/>
      <c r="G70" s="1228"/>
      <c r="H70" s="1228"/>
      <c r="I70" s="1228"/>
      <c r="J70" s="1228"/>
      <c r="K70" s="1228"/>
      <c r="L70" s="1228"/>
      <c r="M70" s="1228"/>
      <c r="N70" s="1228"/>
      <c r="O70" s="1228"/>
      <c r="P70" s="1228"/>
      <c r="Q70" s="861">
        <f t="shared" ref="Q70:Q106" si="21">SUM(E70:P70)</f>
        <v>0</v>
      </c>
    </row>
    <row r="71" spans="1:17" ht="15">
      <c r="A71" s="559" t="s">
        <v>2577</v>
      </c>
      <c r="B71" s="1248" t="s">
        <v>2636</v>
      </c>
      <c r="C71" s="1248"/>
      <c r="D71" s="1248"/>
      <c r="E71" s="1228"/>
      <c r="F71" s="1228"/>
      <c r="G71" s="1228"/>
      <c r="H71" s="1228"/>
      <c r="I71" s="1228"/>
      <c r="J71" s="1228"/>
      <c r="K71" s="1228"/>
      <c r="L71" s="1228"/>
      <c r="M71" s="1228"/>
      <c r="N71" s="1228"/>
      <c r="O71" s="1228"/>
      <c r="P71" s="1228"/>
      <c r="Q71" s="861">
        <f t="shared" si="21"/>
        <v>0</v>
      </c>
    </row>
    <row r="72" spans="1:17" ht="15.75">
      <c r="A72" s="1246" t="s">
        <v>2579</v>
      </c>
      <c r="B72" s="1246" t="s">
        <v>2638</v>
      </c>
      <c r="C72" s="1246"/>
      <c r="D72" s="1246"/>
      <c r="E72" s="1228">
        <f>SUM(E73:E79)</f>
        <v>0</v>
      </c>
      <c r="F72" s="1228">
        <f t="shared" ref="F72:P72" si="22">SUM(F73:F79)</f>
        <v>0</v>
      </c>
      <c r="G72" s="1228">
        <f t="shared" si="22"/>
        <v>0</v>
      </c>
      <c r="H72" s="1228">
        <f t="shared" si="22"/>
        <v>0</v>
      </c>
      <c r="I72" s="1228">
        <f t="shared" si="22"/>
        <v>0</v>
      </c>
      <c r="J72" s="1228">
        <f t="shared" si="22"/>
        <v>0</v>
      </c>
      <c r="K72" s="1228">
        <f t="shared" si="22"/>
        <v>0</v>
      </c>
      <c r="L72" s="1228">
        <f t="shared" si="22"/>
        <v>0</v>
      </c>
      <c r="M72" s="1228">
        <f t="shared" si="22"/>
        <v>0</v>
      </c>
      <c r="N72" s="1228">
        <f t="shared" si="22"/>
        <v>0</v>
      </c>
      <c r="O72" s="1228">
        <f t="shared" si="22"/>
        <v>0</v>
      </c>
      <c r="P72" s="1228">
        <f t="shared" si="22"/>
        <v>0</v>
      </c>
      <c r="Q72" s="861">
        <f t="shared" si="21"/>
        <v>0</v>
      </c>
    </row>
    <row r="73" spans="1:17" ht="15">
      <c r="A73" s="559" t="s">
        <v>2580</v>
      </c>
      <c r="B73" s="1248" t="s">
        <v>2620</v>
      </c>
      <c r="C73" s="1248"/>
      <c r="D73" s="1248"/>
      <c r="E73" s="1228"/>
      <c r="F73" s="1228"/>
      <c r="G73" s="1228"/>
      <c r="H73" s="1228"/>
      <c r="I73" s="1228"/>
      <c r="J73" s="1228"/>
      <c r="K73" s="1228"/>
      <c r="L73" s="1228"/>
      <c r="M73" s="1228"/>
      <c r="N73" s="1228"/>
      <c r="O73" s="1228"/>
      <c r="P73" s="1228"/>
      <c r="Q73" s="861">
        <f t="shared" si="21"/>
        <v>0</v>
      </c>
    </row>
    <row r="74" spans="1:17" ht="15">
      <c r="A74" s="559" t="s">
        <v>2581</v>
      </c>
      <c r="B74" s="1248" t="s">
        <v>2625</v>
      </c>
      <c r="C74" s="1248"/>
      <c r="D74" s="1248"/>
      <c r="E74" s="1228"/>
      <c r="F74" s="1228"/>
      <c r="G74" s="1228"/>
      <c r="H74" s="1228"/>
      <c r="I74" s="1228"/>
      <c r="J74" s="1228"/>
      <c r="K74" s="1228"/>
      <c r="L74" s="1228"/>
      <c r="M74" s="1228"/>
      <c r="N74" s="1228"/>
      <c r="O74" s="1228"/>
      <c r="P74" s="1228"/>
      <c r="Q74" s="861">
        <f t="shared" si="21"/>
        <v>0</v>
      </c>
    </row>
    <row r="75" spans="1:17" ht="15">
      <c r="A75" s="559" t="s">
        <v>2582</v>
      </c>
      <c r="B75" s="1248" t="s">
        <v>2615</v>
      </c>
      <c r="C75" s="1248"/>
      <c r="D75" s="1248"/>
      <c r="E75" s="1228"/>
      <c r="F75" s="1228"/>
      <c r="G75" s="1228"/>
      <c r="H75" s="1228"/>
      <c r="I75" s="1228"/>
      <c r="J75" s="1228"/>
      <c r="K75" s="1228"/>
      <c r="L75" s="1228"/>
      <c r="M75" s="1228"/>
      <c r="N75" s="1228"/>
      <c r="O75" s="1228"/>
      <c r="P75" s="1228"/>
      <c r="Q75" s="861">
        <f t="shared" si="21"/>
        <v>0</v>
      </c>
    </row>
    <row r="76" spans="1:17" ht="15">
      <c r="A76" s="559" t="s">
        <v>2583</v>
      </c>
      <c r="B76" s="1248" t="s">
        <v>2616</v>
      </c>
      <c r="C76" s="1248"/>
      <c r="D76" s="1248"/>
      <c r="E76" s="1228"/>
      <c r="F76" s="1228"/>
      <c r="G76" s="1228"/>
      <c r="H76" s="1228"/>
      <c r="I76" s="1228"/>
      <c r="J76" s="1228"/>
      <c r="K76" s="1228"/>
      <c r="L76" s="1228"/>
      <c r="M76" s="1228"/>
      <c r="N76" s="1228"/>
      <c r="O76" s="1228"/>
      <c r="P76" s="1228"/>
      <c r="Q76" s="861">
        <f t="shared" si="21"/>
        <v>0</v>
      </c>
    </row>
    <row r="77" spans="1:17" ht="15">
      <c r="A77" s="559" t="s">
        <v>2584</v>
      </c>
      <c r="B77" s="1248" t="s">
        <v>2617</v>
      </c>
      <c r="C77" s="1248"/>
      <c r="D77" s="1248"/>
      <c r="E77" s="1228"/>
      <c r="F77" s="1228"/>
      <c r="G77" s="1228"/>
      <c r="H77" s="1228"/>
      <c r="I77" s="1228"/>
      <c r="J77" s="1228"/>
      <c r="K77" s="1228"/>
      <c r="L77" s="1228"/>
      <c r="M77" s="1228"/>
      <c r="N77" s="1228"/>
      <c r="O77" s="1228"/>
      <c r="P77" s="1228"/>
      <c r="Q77" s="861">
        <f t="shared" si="21"/>
        <v>0</v>
      </c>
    </row>
    <row r="78" spans="1:17" ht="15">
      <c r="A78" s="559" t="s">
        <v>2585</v>
      </c>
      <c r="B78" s="1248" t="s">
        <v>2624</v>
      </c>
      <c r="C78" s="1248"/>
      <c r="D78" s="1248"/>
      <c r="E78" s="1228"/>
      <c r="F78" s="1228"/>
      <c r="G78" s="1228"/>
      <c r="H78" s="1228"/>
      <c r="I78" s="1228"/>
      <c r="J78" s="1228"/>
      <c r="K78" s="1228"/>
      <c r="L78" s="1228"/>
      <c r="M78" s="1228"/>
      <c r="N78" s="1228"/>
      <c r="O78" s="1228"/>
      <c r="P78" s="1228"/>
      <c r="Q78" s="861">
        <f t="shared" si="21"/>
        <v>0</v>
      </c>
    </row>
    <row r="79" spans="1:17" ht="15">
      <c r="A79" s="559" t="s">
        <v>2586</v>
      </c>
      <c r="B79" s="1248" t="s">
        <v>2636</v>
      </c>
      <c r="C79" s="1248"/>
      <c r="D79" s="1248"/>
      <c r="E79" s="1228"/>
      <c r="F79" s="1228"/>
      <c r="G79" s="1228"/>
      <c r="H79" s="1228"/>
      <c r="I79" s="1228"/>
      <c r="J79" s="1228"/>
      <c r="K79" s="1228"/>
      <c r="L79" s="1228"/>
      <c r="M79" s="1228"/>
      <c r="N79" s="1228"/>
      <c r="O79" s="1228"/>
      <c r="P79" s="1228"/>
      <c r="Q79" s="861">
        <f t="shared" si="21"/>
        <v>0</v>
      </c>
    </row>
    <row r="80" spans="1:17" ht="15.75">
      <c r="A80" s="1244" t="s">
        <v>2587</v>
      </c>
      <c r="B80" s="1244" t="s">
        <v>2637</v>
      </c>
      <c r="C80" s="1244"/>
      <c r="D80" s="1244"/>
      <c r="E80" s="1228"/>
      <c r="F80" s="1228"/>
      <c r="G80" s="1228"/>
      <c r="H80" s="1228"/>
      <c r="I80" s="1228"/>
      <c r="J80" s="1228"/>
      <c r="K80" s="1228"/>
      <c r="L80" s="1228"/>
      <c r="M80" s="1228"/>
      <c r="N80" s="1228"/>
      <c r="O80" s="1228"/>
      <c r="P80" s="1228"/>
      <c r="Q80" s="861">
        <f t="shared" si="21"/>
        <v>0</v>
      </c>
    </row>
    <row r="81" spans="1:17" ht="15.75">
      <c r="A81" s="1244" t="s">
        <v>2588</v>
      </c>
      <c r="B81" s="1244" t="s">
        <v>2635</v>
      </c>
      <c r="C81" s="1244"/>
      <c r="D81" s="1244"/>
      <c r="E81" s="1222">
        <f>SUM(E82:E89)</f>
        <v>-988553.5184125182</v>
      </c>
      <c r="F81" s="1222">
        <f t="shared" ref="F81:P81" si="23">SUM(F82:F89)</f>
        <v>3208670.4048497686</v>
      </c>
      <c r="G81" s="1222">
        <f t="shared" si="23"/>
        <v>13071831.738796391</v>
      </c>
      <c r="H81" s="1222">
        <f t="shared" si="23"/>
        <v>3860684.5902386806</v>
      </c>
      <c r="I81" s="1222">
        <f t="shared" si="23"/>
        <v>-25693411.145</v>
      </c>
      <c r="J81" s="1222">
        <f t="shared" si="23"/>
        <v>-4089238.8733255225</v>
      </c>
      <c r="K81" s="1222">
        <f t="shared" si="23"/>
        <v>-1326291.5490000048</v>
      </c>
      <c r="L81" s="1222">
        <f t="shared" si="23"/>
        <v>-842419.75500000408</v>
      </c>
      <c r="M81" s="1222">
        <f t="shared" si="23"/>
        <v>15287976.509999994</v>
      </c>
      <c r="N81" s="1222">
        <f t="shared" si="23"/>
        <v>5805157.4401474921</v>
      </c>
      <c r="O81" s="1222">
        <f t="shared" si="23"/>
        <v>914673.61683001183</v>
      </c>
      <c r="P81" s="1222">
        <f t="shared" si="23"/>
        <v>20856725.129999995</v>
      </c>
      <c r="Q81" s="861">
        <f t="shared" si="21"/>
        <v>30065804.590124283</v>
      </c>
    </row>
    <row r="82" spans="1:17" ht="15">
      <c r="A82" s="1276" t="s">
        <v>2589</v>
      </c>
      <c r="B82" s="1250" t="s">
        <v>2634</v>
      </c>
      <c r="C82" s="1250"/>
      <c r="D82" s="1250"/>
      <c r="E82" s="1222">
        <f>E99</f>
        <v>0</v>
      </c>
      <c r="F82" s="1222">
        <f t="shared" ref="F82:P82" si="24">F99</f>
        <v>0</v>
      </c>
      <c r="G82" s="1222">
        <f t="shared" si="24"/>
        <v>0</v>
      </c>
      <c r="H82" s="1222">
        <f t="shared" si="24"/>
        <v>0</v>
      </c>
      <c r="I82" s="1222">
        <f t="shared" si="24"/>
        <v>0</v>
      </c>
      <c r="J82" s="1222">
        <f t="shared" si="24"/>
        <v>0</v>
      </c>
      <c r="K82" s="1222">
        <f t="shared" si="24"/>
        <v>0</v>
      </c>
      <c r="L82" s="1222">
        <f t="shared" si="24"/>
        <v>0</v>
      </c>
      <c r="M82" s="1222">
        <f t="shared" si="24"/>
        <v>0</v>
      </c>
      <c r="N82" s="1222">
        <f t="shared" si="24"/>
        <v>0</v>
      </c>
      <c r="O82" s="1222">
        <f t="shared" si="24"/>
        <v>0</v>
      </c>
      <c r="P82" s="1222">
        <f t="shared" si="24"/>
        <v>0</v>
      </c>
      <c r="Q82" s="861">
        <f t="shared" si="21"/>
        <v>0</v>
      </c>
    </row>
    <row r="83" spans="1:17" ht="15">
      <c r="A83" s="1276" t="s">
        <v>2590</v>
      </c>
      <c r="B83" s="1250" t="s">
        <v>2633</v>
      </c>
      <c r="C83" s="1250"/>
      <c r="D83" s="1250"/>
      <c r="E83" s="1222">
        <f t="shared" ref="E83:P89" si="25">E91+E100</f>
        <v>0</v>
      </c>
      <c r="F83" s="1222">
        <f t="shared" si="25"/>
        <v>0</v>
      </c>
      <c r="G83" s="1222">
        <f t="shared" si="25"/>
        <v>0</v>
      </c>
      <c r="H83" s="1222">
        <f t="shared" si="25"/>
        <v>0</v>
      </c>
      <c r="I83" s="1222">
        <f t="shared" si="25"/>
        <v>0</v>
      </c>
      <c r="J83" s="1222">
        <f t="shared" si="25"/>
        <v>0</v>
      </c>
      <c r="K83" s="1222">
        <f t="shared" si="25"/>
        <v>0</v>
      </c>
      <c r="L83" s="1222">
        <f t="shared" si="25"/>
        <v>0</v>
      </c>
      <c r="M83" s="1222">
        <f t="shared" si="25"/>
        <v>0</v>
      </c>
      <c r="N83" s="1222">
        <f t="shared" si="25"/>
        <v>0</v>
      </c>
      <c r="O83" s="1222">
        <f t="shared" si="25"/>
        <v>0</v>
      </c>
      <c r="P83" s="1222">
        <f t="shared" si="25"/>
        <v>0</v>
      </c>
      <c r="Q83" s="861">
        <f t="shared" si="21"/>
        <v>0</v>
      </c>
    </row>
    <row r="84" spans="1:17" ht="15">
      <c r="A84" s="1276" t="s">
        <v>2591</v>
      </c>
      <c r="B84" s="1250" t="s">
        <v>2632</v>
      </c>
      <c r="C84" s="1250"/>
      <c r="D84" s="1250"/>
      <c r="E84" s="1222">
        <f t="shared" si="25"/>
        <v>0</v>
      </c>
      <c r="F84" s="1222">
        <f t="shared" si="25"/>
        <v>0</v>
      </c>
      <c r="G84" s="1222">
        <f t="shared" si="25"/>
        <v>0</v>
      </c>
      <c r="H84" s="1222">
        <f t="shared" si="25"/>
        <v>0</v>
      </c>
      <c r="I84" s="1222">
        <f t="shared" si="25"/>
        <v>0</v>
      </c>
      <c r="J84" s="1222">
        <f t="shared" si="25"/>
        <v>0</v>
      </c>
      <c r="K84" s="1222">
        <f t="shared" si="25"/>
        <v>0</v>
      </c>
      <c r="L84" s="1222">
        <f t="shared" si="25"/>
        <v>0</v>
      </c>
      <c r="M84" s="1222">
        <f t="shared" si="25"/>
        <v>0</v>
      </c>
      <c r="N84" s="1222">
        <f t="shared" si="25"/>
        <v>0</v>
      </c>
      <c r="O84" s="1222">
        <f t="shared" si="25"/>
        <v>0</v>
      </c>
      <c r="P84" s="1222">
        <f t="shared" si="25"/>
        <v>0</v>
      </c>
      <c r="Q84" s="861">
        <f t="shared" si="21"/>
        <v>0</v>
      </c>
    </row>
    <row r="85" spans="1:17" ht="15">
      <c r="A85" s="1276" t="s">
        <v>2592</v>
      </c>
      <c r="B85" s="1250" t="s">
        <v>2631</v>
      </c>
      <c r="C85" s="1250"/>
      <c r="D85" s="1250"/>
      <c r="E85" s="1222">
        <f t="shared" si="25"/>
        <v>-988553.5184125182</v>
      </c>
      <c r="F85" s="1222">
        <f t="shared" si="25"/>
        <v>3208670.4048497686</v>
      </c>
      <c r="G85" s="1222">
        <f t="shared" si="25"/>
        <v>13071831.738796391</v>
      </c>
      <c r="H85" s="1222">
        <f t="shared" si="25"/>
        <v>3860684.5902386806</v>
      </c>
      <c r="I85" s="1222">
        <f t="shared" si="25"/>
        <v>-25693411.145</v>
      </c>
      <c r="J85" s="1222">
        <f t="shared" si="25"/>
        <v>-4089238.8733255225</v>
      </c>
      <c r="K85" s="1222">
        <f t="shared" si="25"/>
        <v>-1326291.5490000048</v>
      </c>
      <c r="L85" s="1222">
        <f t="shared" si="25"/>
        <v>-842419.75500000408</v>
      </c>
      <c r="M85" s="1222">
        <f t="shared" si="25"/>
        <v>15287976.509999994</v>
      </c>
      <c r="N85" s="1222">
        <f t="shared" si="25"/>
        <v>5805157.4401474921</v>
      </c>
      <c r="O85" s="1222">
        <f t="shared" si="25"/>
        <v>914673.61683001183</v>
      </c>
      <c r="P85" s="1222">
        <f t="shared" si="25"/>
        <v>8919547.1139999963</v>
      </c>
      <c r="Q85" s="861">
        <f t="shared" si="21"/>
        <v>18128626.574124284</v>
      </c>
    </row>
    <row r="86" spans="1:17" ht="15">
      <c r="A86" s="1276" t="s">
        <v>2593</v>
      </c>
      <c r="B86" s="1250" t="s">
        <v>2630</v>
      </c>
      <c r="C86" s="1250"/>
      <c r="D86" s="1250"/>
      <c r="E86" s="1222">
        <f t="shared" si="25"/>
        <v>0</v>
      </c>
      <c r="F86" s="1222">
        <f t="shared" si="25"/>
        <v>0</v>
      </c>
      <c r="G86" s="1222">
        <f t="shared" si="25"/>
        <v>0</v>
      </c>
      <c r="H86" s="1222">
        <f t="shared" si="25"/>
        <v>0</v>
      </c>
      <c r="I86" s="1222">
        <f t="shared" si="25"/>
        <v>0</v>
      </c>
      <c r="J86" s="1222">
        <f t="shared" si="25"/>
        <v>0</v>
      </c>
      <c r="K86" s="1222">
        <f t="shared" si="25"/>
        <v>0</v>
      </c>
      <c r="L86" s="1222">
        <f t="shared" si="25"/>
        <v>0</v>
      </c>
      <c r="M86" s="1222">
        <f t="shared" si="25"/>
        <v>0</v>
      </c>
      <c r="N86" s="1222">
        <f t="shared" si="25"/>
        <v>0</v>
      </c>
      <c r="O86" s="1222">
        <f t="shared" si="25"/>
        <v>0</v>
      </c>
      <c r="P86" s="1222">
        <f t="shared" si="25"/>
        <v>0</v>
      </c>
      <c r="Q86" s="861">
        <f t="shared" si="21"/>
        <v>0</v>
      </c>
    </row>
    <row r="87" spans="1:17" ht="15">
      <c r="A87" s="1276" t="s">
        <v>2594</v>
      </c>
      <c r="B87" s="1250" t="s">
        <v>2629</v>
      </c>
      <c r="C87" s="1250"/>
      <c r="D87" s="1250"/>
      <c r="E87" s="1222">
        <f t="shared" si="25"/>
        <v>0</v>
      </c>
      <c r="F87" s="1222">
        <f t="shared" si="25"/>
        <v>0</v>
      </c>
      <c r="G87" s="1222">
        <f t="shared" si="25"/>
        <v>0</v>
      </c>
      <c r="H87" s="1222">
        <f t="shared" si="25"/>
        <v>0</v>
      </c>
      <c r="I87" s="1222">
        <f t="shared" si="25"/>
        <v>0</v>
      </c>
      <c r="J87" s="1222">
        <f t="shared" si="25"/>
        <v>0</v>
      </c>
      <c r="K87" s="1222">
        <f t="shared" si="25"/>
        <v>0</v>
      </c>
      <c r="L87" s="1222">
        <f t="shared" si="25"/>
        <v>0</v>
      </c>
      <c r="M87" s="1222">
        <f t="shared" si="25"/>
        <v>0</v>
      </c>
      <c r="N87" s="1222">
        <f t="shared" si="25"/>
        <v>0</v>
      </c>
      <c r="O87" s="1222">
        <f t="shared" si="25"/>
        <v>0</v>
      </c>
      <c r="P87" s="1222">
        <f t="shared" si="25"/>
        <v>0</v>
      </c>
      <c r="Q87" s="861">
        <f t="shared" si="21"/>
        <v>0</v>
      </c>
    </row>
    <row r="88" spans="1:17" ht="15">
      <c r="A88" s="1276" t="s">
        <v>2595</v>
      </c>
      <c r="B88" s="1250" t="s">
        <v>2628</v>
      </c>
      <c r="C88" s="1250"/>
      <c r="D88" s="1250"/>
      <c r="E88" s="1222">
        <f t="shared" si="25"/>
        <v>0</v>
      </c>
      <c r="F88" s="1222">
        <f t="shared" si="25"/>
        <v>0</v>
      </c>
      <c r="G88" s="1222">
        <f t="shared" si="25"/>
        <v>0</v>
      </c>
      <c r="H88" s="1222">
        <f t="shared" si="25"/>
        <v>0</v>
      </c>
      <c r="I88" s="1222">
        <f t="shared" si="25"/>
        <v>0</v>
      </c>
      <c r="J88" s="1222">
        <f t="shared" si="25"/>
        <v>0</v>
      </c>
      <c r="K88" s="1222">
        <f t="shared" si="25"/>
        <v>0</v>
      </c>
      <c r="L88" s="1222">
        <f t="shared" si="25"/>
        <v>0</v>
      </c>
      <c r="M88" s="1222">
        <f t="shared" si="25"/>
        <v>0</v>
      </c>
      <c r="N88" s="1222">
        <f t="shared" si="25"/>
        <v>0</v>
      </c>
      <c r="O88" s="1222">
        <f t="shared" si="25"/>
        <v>0</v>
      </c>
      <c r="P88" s="1222">
        <f t="shared" si="25"/>
        <v>0</v>
      </c>
      <c r="Q88" s="861">
        <f t="shared" si="21"/>
        <v>0</v>
      </c>
    </row>
    <row r="89" spans="1:17" ht="15">
      <c r="A89" s="1276" t="s">
        <v>2596</v>
      </c>
      <c r="B89" s="1250" t="s">
        <v>2627</v>
      </c>
      <c r="C89" s="1250"/>
      <c r="D89" s="1250"/>
      <c r="E89" s="1222">
        <f t="shared" si="25"/>
        <v>0</v>
      </c>
      <c r="F89" s="1222">
        <f t="shared" si="25"/>
        <v>0</v>
      </c>
      <c r="G89" s="1222">
        <f t="shared" si="25"/>
        <v>0</v>
      </c>
      <c r="H89" s="1222">
        <f t="shared" si="25"/>
        <v>0</v>
      </c>
      <c r="I89" s="1222">
        <f t="shared" si="25"/>
        <v>0</v>
      </c>
      <c r="J89" s="1222">
        <f t="shared" si="25"/>
        <v>0</v>
      </c>
      <c r="K89" s="1222">
        <f t="shared" si="25"/>
        <v>0</v>
      </c>
      <c r="L89" s="1222">
        <f t="shared" si="25"/>
        <v>0</v>
      </c>
      <c r="M89" s="1222">
        <f t="shared" si="25"/>
        <v>0</v>
      </c>
      <c r="N89" s="1222">
        <f t="shared" si="25"/>
        <v>0</v>
      </c>
      <c r="O89" s="1222">
        <f t="shared" si="25"/>
        <v>0</v>
      </c>
      <c r="P89" s="1222">
        <f t="shared" si="25"/>
        <v>11937178.016000001</v>
      </c>
      <c r="Q89" s="861">
        <f t="shared" si="21"/>
        <v>11937178.016000001</v>
      </c>
    </row>
    <row r="90" spans="1:17" ht="15.75">
      <c r="A90" s="1246" t="s">
        <v>2597</v>
      </c>
      <c r="B90" s="1246" t="s">
        <v>2626</v>
      </c>
      <c r="C90" s="1246"/>
      <c r="D90" s="1246"/>
      <c r="E90" s="1222">
        <f>SUM(E91:E97)</f>
        <v>-821794.58000001824</v>
      </c>
      <c r="F90" s="1222">
        <f t="shared" ref="F90:P90" si="26">SUM(F91:F97)</f>
        <v>3370338.6690000189</v>
      </c>
      <c r="G90" s="1222">
        <f t="shared" si="26"/>
        <v>9731663.0939999893</v>
      </c>
      <c r="H90" s="1222">
        <f t="shared" si="26"/>
        <v>4201928.8710000105</v>
      </c>
      <c r="I90" s="1222">
        <f t="shared" si="26"/>
        <v>-25546676.645</v>
      </c>
      <c r="J90" s="1222">
        <f t="shared" si="26"/>
        <v>-6498750.1360000027</v>
      </c>
      <c r="K90" s="1222">
        <f t="shared" si="26"/>
        <v>-879336.69300000474</v>
      </c>
      <c r="L90" s="1222">
        <f t="shared" si="26"/>
        <v>-682540.86900000402</v>
      </c>
      <c r="M90" s="1222">
        <f t="shared" si="26"/>
        <v>7138487.4569999957</v>
      </c>
      <c r="N90" s="1222">
        <f t="shared" si="26"/>
        <v>6314659.1269999919</v>
      </c>
      <c r="O90" s="1222">
        <f t="shared" si="26"/>
        <v>1064161.3790000118</v>
      </c>
      <c r="P90" s="1222">
        <f t="shared" si="26"/>
        <v>21779400.879999995</v>
      </c>
      <c r="Q90" s="861">
        <f t="shared" si="21"/>
        <v>19171540.553999983</v>
      </c>
    </row>
    <row r="91" spans="1:17" ht="15">
      <c r="A91" s="1276" t="s">
        <v>2598</v>
      </c>
      <c r="B91" s="1248" t="s">
        <v>2620</v>
      </c>
      <c r="C91" s="1248"/>
      <c r="D91" s="1248"/>
      <c r="E91" s="1222"/>
      <c r="F91" s="1222"/>
      <c r="G91" s="1222"/>
      <c r="H91" s="1222"/>
      <c r="I91" s="1222"/>
      <c r="J91" s="1222"/>
      <c r="K91" s="1222"/>
      <c r="L91" s="1222"/>
      <c r="M91" s="1222"/>
      <c r="N91" s="1222"/>
      <c r="O91" s="1222"/>
      <c r="P91" s="1222"/>
      <c r="Q91" s="861">
        <f t="shared" si="21"/>
        <v>0</v>
      </c>
    </row>
    <row r="92" spans="1:17" ht="15">
      <c r="A92" s="1276" t="s">
        <v>2599</v>
      </c>
      <c r="B92" s="1248" t="s">
        <v>2625</v>
      </c>
      <c r="C92" s="1248"/>
      <c r="D92" s="1248"/>
      <c r="E92" s="1222"/>
      <c r="F92" s="1222"/>
      <c r="G92" s="1222"/>
      <c r="H92" s="1222"/>
      <c r="I92" s="1222"/>
      <c r="J92" s="1222"/>
      <c r="K92" s="1222"/>
      <c r="L92" s="1222"/>
      <c r="M92" s="1222"/>
      <c r="N92" s="1222"/>
      <c r="O92" s="1222"/>
      <c r="P92" s="1222"/>
      <c r="Q92" s="861">
        <f t="shared" si="21"/>
        <v>0</v>
      </c>
    </row>
    <row r="93" spans="1:17" ht="15">
      <c r="A93" s="1276" t="s">
        <v>2600</v>
      </c>
      <c r="B93" s="1248" t="s">
        <v>2615</v>
      </c>
      <c r="C93" s="1248"/>
      <c r="D93" s="1248"/>
      <c r="E93" s="1222">
        <f>PNT!O130*1000</f>
        <v>-821794.58000001824</v>
      </c>
      <c r="F93" s="1222">
        <f>(PNT!P77+PNT!P82)*1000</f>
        <v>3370338.6690000189</v>
      </c>
      <c r="G93" s="1222">
        <f>(PNT!Q77+PNT!Q82)*1000</f>
        <v>9731663.0939999893</v>
      </c>
      <c r="H93" s="1222">
        <f>(PNT!R77+PNT!R82)*1000</f>
        <v>4201928.8710000105</v>
      </c>
      <c r="I93" s="1222">
        <f>(PNT!S77+PNT!S82)*1000</f>
        <v>-25546676.645</v>
      </c>
      <c r="J93" s="1222">
        <f>(PNT!T77+PNT!T82)*1000</f>
        <v>-6498750.1360000027</v>
      </c>
      <c r="K93" s="1222">
        <f>(PNT!U77+PNT!U82)*1000</f>
        <v>-879336.69300000474</v>
      </c>
      <c r="L93" s="1222">
        <f>(PNT!V77+PNT!V82)*1000</f>
        <v>-682540.86900000402</v>
      </c>
      <c r="M93" s="1222">
        <f>(PNT!W77+PNT!W82)*1000</f>
        <v>7138487.4569999957</v>
      </c>
      <c r="N93" s="1222">
        <f>(PNT!X77+PNT!X82)*1000</f>
        <v>6314659.1269999919</v>
      </c>
      <c r="O93" s="1222">
        <f>(PNT!Y77+PNT!Y82)*1000</f>
        <v>1064161.3790000118</v>
      </c>
      <c r="P93" s="1222">
        <f>(PNT!Z77+PNT!Z82)*1000</f>
        <v>9842222.8639999963</v>
      </c>
      <c r="Q93" s="861">
        <f t="shared" si="21"/>
        <v>7234362.5379999829</v>
      </c>
    </row>
    <row r="94" spans="1:17" ht="15">
      <c r="A94" s="1276" t="s">
        <v>2601</v>
      </c>
      <c r="B94" s="1248" t="s">
        <v>2616</v>
      </c>
      <c r="C94" s="1248"/>
      <c r="D94" s="1248"/>
      <c r="E94" s="1228"/>
      <c r="F94" s="1228"/>
      <c r="G94" s="1222"/>
      <c r="H94" s="1222"/>
      <c r="I94" s="1222"/>
      <c r="J94" s="1222"/>
      <c r="K94" s="1222"/>
      <c r="L94" s="1222"/>
      <c r="M94" s="1222"/>
      <c r="N94" s="1222"/>
      <c r="O94" s="1222"/>
      <c r="P94" s="1222"/>
      <c r="Q94" s="861">
        <f t="shared" si="21"/>
        <v>0</v>
      </c>
    </row>
    <row r="95" spans="1:17" ht="15">
      <c r="A95" s="1276" t="s">
        <v>2602</v>
      </c>
      <c r="B95" s="1248" t="s">
        <v>2617</v>
      </c>
      <c r="C95" s="1248"/>
      <c r="D95" s="1248"/>
      <c r="E95" s="1228"/>
      <c r="F95" s="1228"/>
      <c r="G95" s="1222"/>
      <c r="H95" s="1222"/>
      <c r="I95" s="1222"/>
      <c r="J95" s="1222"/>
      <c r="K95" s="1222"/>
      <c r="L95" s="1222"/>
      <c r="M95" s="1222"/>
      <c r="N95" s="1222"/>
      <c r="O95" s="1222"/>
      <c r="P95" s="1222"/>
      <c r="Q95" s="861">
        <f t="shared" si="21"/>
        <v>0</v>
      </c>
    </row>
    <row r="96" spans="1:17" ht="15">
      <c r="A96" s="1276" t="s">
        <v>2603</v>
      </c>
      <c r="B96" s="1248" t="s">
        <v>2624</v>
      </c>
      <c r="C96" s="1248"/>
      <c r="D96" s="1248"/>
      <c r="E96" s="1228"/>
      <c r="F96" s="1228"/>
      <c r="G96" s="1222"/>
      <c r="H96" s="1222"/>
      <c r="I96" s="1222"/>
      <c r="J96" s="1222"/>
      <c r="K96" s="1222"/>
      <c r="L96" s="1222"/>
      <c r="M96" s="1222"/>
      <c r="N96" s="1222"/>
      <c r="O96" s="1222"/>
      <c r="P96" s="1222"/>
      <c r="Q96" s="861">
        <f t="shared" si="21"/>
        <v>0</v>
      </c>
    </row>
    <row r="97" spans="1:17" ht="15">
      <c r="A97" s="1276" t="s">
        <v>2604</v>
      </c>
      <c r="B97" s="1248" t="s">
        <v>2623</v>
      </c>
      <c r="C97" s="1248"/>
      <c r="D97" s="1248"/>
      <c r="E97" s="1275">
        <f>ARRIERE!P6/1000</f>
        <v>0</v>
      </c>
      <c r="F97" s="1275">
        <f>ARRIERE!Q6/1000</f>
        <v>0</v>
      </c>
      <c r="G97" s="1275">
        <f>ARRIERE!R6/1000</f>
        <v>0</v>
      </c>
      <c r="H97" s="1275">
        <f>ARRIERE!S6/1000</f>
        <v>0</v>
      </c>
      <c r="I97" s="1275">
        <f>ARRIERE!T6/1000</f>
        <v>0</v>
      </c>
      <c r="J97" s="1275">
        <f>ARRIERE!U6/1000</f>
        <v>0</v>
      </c>
      <c r="K97" s="1275">
        <f>ARRIERE!V6/1000</f>
        <v>0</v>
      </c>
      <c r="L97" s="1275">
        <f>ARRIERE!W6/1000</f>
        <v>0</v>
      </c>
      <c r="M97" s="1275">
        <f>ARRIERE!X6/1000</f>
        <v>0</v>
      </c>
      <c r="N97" s="1275">
        <f>ARRIERE!Y6/1000</f>
        <v>0</v>
      </c>
      <c r="O97" s="1275">
        <f>ARRIERE!Z6/1000</f>
        <v>0</v>
      </c>
      <c r="P97" s="1251">
        <f>ARRIERE!AA6/1000</f>
        <v>11937178.016000001</v>
      </c>
      <c r="Q97" s="861">
        <f t="shared" si="21"/>
        <v>11937178.016000001</v>
      </c>
    </row>
    <row r="98" spans="1:17" ht="15.75">
      <c r="A98" s="1246" t="s">
        <v>2605</v>
      </c>
      <c r="B98" s="1246" t="s">
        <v>2622</v>
      </c>
      <c r="C98" s="1246"/>
      <c r="D98" s="1246"/>
      <c r="E98" s="1222">
        <f>SUM(E99:E106)</f>
        <v>-166758.93841249999</v>
      </c>
      <c r="F98" s="1222">
        <f t="shared" ref="F98:P98" si="27">SUM(F99:F106)</f>
        <v>-161668.26415025</v>
      </c>
      <c r="G98" s="1222">
        <f t="shared" si="27"/>
        <v>3340168.6447964003</v>
      </c>
      <c r="H98" s="1222">
        <f t="shared" si="27"/>
        <v>-341244.28076133004</v>
      </c>
      <c r="I98" s="1222">
        <f t="shared" si="27"/>
        <v>-146734.5</v>
      </c>
      <c r="J98" s="1222">
        <f t="shared" si="27"/>
        <v>2409511.2626744802</v>
      </c>
      <c r="K98" s="1228">
        <f t="shared" si="27"/>
        <v>-446954.85599999997</v>
      </c>
      <c r="L98" s="1222">
        <f t="shared" si="27"/>
        <v>-159878.886</v>
      </c>
      <c r="M98" s="1228">
        <f t="shared" si="27"/>
        <v>8149489.0529999994</v>
      </c>
      <c r="N98" s="1228">
        <f t="shared" si="27"/>
        <v>-509501.68685250002</v>
      </c>
      <c r="O98" s="1228">
        <f t="shared" si="27"/>
        <v>-149487.76217</v>
      </c>
      <c r="P98" s="1228">
        <f t="shared" si="27"/>
        <v>-922675.75</v>
      </c>
      <c r="Q98" s="861">
        <f t="shared" si="21"/>
        <v>10894264.036124302</v>
      </c>
    </row>
    <row r="99" spans="1:17" ht="15">
      <c r="A99" s="1276" t="s">
        <v>2607</v>
      </c>
      <c r="B99" s="1248" t="s">
        <v>2621</v>
      </c>
      <c r="C99" s="1248"/>
      <c r="D99" s="1248"/>
      <c r="E99" s="1222"/>
      <c r="F99" s="1222"/>
      <c r="G99" s="1222"/>
      <c r="H99" s="1222"/>
      <c r="I99" s="1222"/>
      <c r="J99" s="1222"/>
      <c r="K99" s="1228"/>
      <c r="L99" s="1228"/>
      <c r="M99" s="1228"/>
      <c r="N99" s="1228"/>
      <c r="O99" s="1228"/>
      <c r="P99" s="1228"/>
      <c r="Q99" s="861">
        <f t="shared" si="21"/>
        <v>0</v>
      </c>
    </row>
    <row r="100" spans="1:17" ht="15">
      <c r="A100" s="1276" t="s">
        <v>2606</v>
      </c>
      <c r="B100" s="1248" t="s">
        <v>2620</v>
      </c>
      <c r="C100" s="1248"/>
      <c r="D100" s="1248"/>
      <c r="E100" s="1222"/>
      <c r="F100" s="1222"/>
      <c r="G100" s="1222"/>
      <c r="H100" s="1222"/>
      <c r="I100" s="1222"/>
      <c r="J100" s="1222"/>
      <c r="K100" s="1228"/>
      <c r="L100" s="1228"/>
      <c r="M100" s="1228"/>
      <c r="N100" s="1228"/>
      <c r="O100" s="1228"/>
      <c r="P100" s="1228"/>
      <c r="Q100" s="861">
        <f t="shared" si="21"/>
        <v>0</v>
      </c>
    </row>
    <row r="101" spans="1:17" ht="15">
      <c r="A101" s="1276" t="s">
        <v>2608</v>
      </c>
      <c r="B101" s="1248" t="s">
        <v>2614</v>
      </c>
      <c r="C101" s="1248"/>
      <c r="D101" s="1248"/>
      <c r="E101" s="1222"/>
      <c r="F101" s="1222"/>
      <c r="G101" s="1222"/>
      <c r="H101" s="1222"/>
      <c r="I101" s="1222"/>
      <c r="J101" s="1222"/>
      <c r="K101" s="1228"/>
      <c r="L101" s="1228"/>
      <c r="M101" s="1228"/>
      <c r="N101" s="1228"/>
      <c r="O101" s="1228"/>
      <c r="P101" s="1228"/>
      <c r="Q101" s="861">
        <f t="shared" si="21"/>
        <v>0</v>
      </c>
    </row>
    <row r="102" spans="1:17" ht="15">
      <c r="A102" s="1276" t="s">
        <v>2609</v>
      </c>
      <c r="B102" s="1248" t="s">
        <v>2615</v>
      </c>
      <c r="C102" s="1248"/>
      <c r="D102" s="1248"/>
      <c r="E102" s="1222">
        <f>'Appui-Projets'!J6+'Appui-Bud'!G19-Dettes!C124</f>
        <v>-166758.93841249999</v>
      </c>
      <c r="F102" s="1222">
        <f>'Appui-Projets'!K6+'Appui-Bud'!H19-Dettes!D124</f>
        <v>-161668.26415025</v>
      </c>
      <c r="G102" s="1222">
        <f>'Appui-Projets'!L6+'Appui-Bud'!I19-Dettes!E124</f>
        <v>3340168.6447964003</v>
      </c>
      <c r="H102" s="1222">
        <f>'Appui-Projets'!M6+'Appui-Bud'!J19-Dettes!F124</f>
        <v>-341244.28076133004</v>
      </c>
      <c r="I102" s="1222">
        <f>'Appui-Projets'!N6+'Appui-Bud'!K19-Dettes!G124</f>
        <v>-146734.5</v>
      </c>
      <c r="J102" s="1222">
        <f>'Appui-Projets'!O6+'Appui-Bud'!L19-Dettes!H124</f>
        <v>2409511.2626744802</v>
      </c>
      <c r="K102" s="1228">
        <f>'Appui-Projets'!P6+'Appui-Bud'!M19-Dettes!I124</f>
        <v>-446954.85599999997</v>
      </c>
      <c r="L102" s="1222">
        <f>'Appui-Projets'!Q6+'Appui-Bud'!N19-Dettes!J124</f>
        <v>-159878.886</v>
      </c>
      <c r="M102" s="1228">
        <f>'Appui-Projets'!R6+'Appui-Bud'!O19-Dettes!K124</f>
        <v>8149489.0529999994</v>
      </c>
      <c r="N102" s="1228">
        <f>'Appui-Projets'!S6+'Appui-Bud'!P19-Dettes!L124</f>
        <v>-509501.68685250002</v>
      </c>
      <c r="O102" s="1228">
        <f>'Appui-Projets'!T6+'Appui-Bud'!Q19-Dettes!M124</f>
        <v>-149487.76217</v>
      </c>
      <c r="P102" s="1228">
        <f>'Appui-Projets'!U6+'Appui-Bud'!R19-Dettes!N124</f>
        <v>-922675.75</v>
      </c>
      <c r="Q102" s="861">
        <f t="shared" si="21"/>
        <v>10894264.036124302</v>
      </c>
    </row>
    <row r="103" spans="1:17" ht="15">
      <c r="A103" s="1276" t="s">
        <v>2610</v>
      </c>
      <c r="B103" s="1248" t="s">
        <v>2616</v>
      </c>
      <c r="C103" s="1248"/>
      <c r="D103" s="1248"/>
      <c r="E103" s="1222"/>
      <c r="F103" s="1222"/>
      <c r="G103" s="1222"/>
      <c r="H103" s="1222"/>
      <c r="I103" s="1222"/>
      <c r="J103" s="1222"/>
      <c r="K103" s="1228"/>
      <c r="L103" s="1228"/>
      <c r="M103" s="1228"/>
      <c r="N103" s="1228"/>
      <c r="O103" s="1228"/>
      <c r="P103" s="1228"/>
      <c r="Q103" s="861">
        <f t="shared" si="21"/>
        <v>0</v>
      </c>
    </row>
    <row r="104" spans="1:17" ht="15">
      <c r="A104" s="1276" t="s">
        <v>2611</v>
      </c>
      <c r="B104" s="1248" t="s">
        <v>2617</v>
      </c>
      <c r="C104" s="1248"/>
      <c r="D104" s="1248"/>
      <c r="E104" s="1222"/>
      <c r="F104" s="1222"/>
      <c r="G104" s="1222"/>
      <c r="H104" s="1222"/>
      <c r="I104" s="1222"/>
      <c r="J104" s="1222"/>
      <c r="K104" s="1228"/>
      <c r="L104" s="1228"/>
      <c r="M104" s="1228"/>
      <c r="N104" s="1228"/>
      <c r="O104" s="1228"/>
      <c r="P104" s="1228"/>
      <c r="Q104" s="861">
        <f t="shared" si="21"/>
        <v>0</v>
      </c>
    </row>
    <row r="105" spans="1:17" ht="15">
      <c r="A105" s="1276" t="s">
        <v>2612</v>
      </c>
      <c r="B105" s="1248" t="s">
        <v>2618</v>
      </c>
      <c r="C105" s="1248"/>
      <c r="D105" s="1248"/>
      <c r="E105" s="1222"/>
      <c r="F105" s="1222"/>
      <c r="G105" s="1222"/>
      <c r="H105" s="1222"/>
      <c r="I105" s="1222"/>
      <c r="J105" s="1222"/>
      <c r="K105" s="1228"/>
      <c r="L105" s="1228"/>
      <c r="M105" s="1228"/>
      <c r="N105" s="1228"/>
      <c r="O105" s="1228"/>
      <c r="P105" s="1228"/>
      <c r="Q105" s="861">
        <f t="shared" si="21"/>
        <v>0</v>
      </c>
    </row>
    <row r="106" spans="1:17" ht="15.75" thickBot="1">
      <c r="A106" s="1276" t="s">
        <v>2613</v>
      </c>
      <c r="B106" s="1252" t="s">
        <v>2619</v>
      </c>
      <c r="C106" s="1228"/>
      <c r="D106" s="1228"/>
      <c r="E106" s="1222"/>
      <c r="F106" s="1222"/>
      <c r="G106" s="1222"/>
      <c r="H106" s="1222"/>
      <c r="I106" s="1222"/>
      <c r="J106" s="1222"/>
      <c r="K106" s="1228"/>
      <c r="L106" s="1228"/>
      <c r="M106" s="1228"/>
      <c r="N106" s="1228"/>
      <c r="O106" s="1228"/>
      <c r="P106" s="1228"/>
      <c r="Q106" s="861">
        <f t="shared" si="21"/>
        <v>0</v>
      </c>
    </row>
  </sheetData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5"/>
  <dimension ref="A2:V102"/>
  <sheetViews>
    <sheetView workbookViewId="0">
      <pane xSplit="2" ySplit="3" topLeftCell="C79" activePane="bottomRight" state="frozen"/>
      <selection pane="topRight" activeCell="C1" sqref="C1"/>
      <selection pane="bottomLeft" activeCell="A4" sqref="A4"/>
      <selection pane="bottomRight" activeCell="J102" sqref="J102"/>
    </sheetView>
  </sheetViews>
  <sheetFormatPr defaultRowHeight="12.75"/>
  <cols>
    <col min="1" max="1" width="8.7109375" customWidth="1"/>
    <col min="2" max="2" width="41" customWidth="1"/>
    <col min="3" max="3" width="13.28515625" customWidth="1"/>
    <col min="4" max="4" width="13" customWidth="1"/>
    <col min="5" max="5" width="13.42578125" customWidth="1"/>
    <col min="6" max="6" width="12.85546875" customWidth="1"/>
    <col min="7" max="7" width="13.140625" customWidth="1"/>
    <col min="8" max="8" width="12.85546875" customWidth="1"/>
    <col min="9" max="9" width="13.140625" customWidth="1"/>
    <col min="10" max="10" width="14.28515625" customWidth="1"/>
    <col min="11" max="11" width="13.28515625" customWidth="1"/>
    <col min="12" max="12" width="13.7109375" customWidth="1"/>
    <col min="13" max="13" width="14.28515625" customWidth="1"/>
    <col min="14" max="14" width="13.85546875" customWidth="1"/>
    <col min="15" max="15" width="14.140625" customWidth="1"/>
    <col min="16" max="16" width="13" customWidth="1"/>
    <col min="17" max="17" width="13.5703125" customWidth="1"/>
    <col min="18" max="21" width="18.140625" customWidth="1"/>
    <col min="22" max="22" width="13.28515625" customWidth="1"/>
  </cols>
  <sheetData>
    <row r="2" spans="1:22" ht="15.75">
      <c r="A2" s="2282" t="s">
        <v>2449</v>
      </c>
      <c r="B2" s="2282"/>
      <c r="C2" s="1253"/>
      <c r="D2" s="1253"/>
      <c r="E2" s="861"/>
      <c r="F2" s="861"/>
      <c r="G2" s="861"/>
      <c r="H2" s="861"/>
      <c r="I2" s="861"/>
      <c r="J2" s="861"/>
      <c r="K2" s="861"/>
      <c r="L2" s="861"/>
      <c r="M2" s="861"/>
    </row>
    <row r="3" spans="1:22" ht="16.5" thickBot="1">
      <c r="A3" s="2283" t="s">
        <v>2450</v>
      </c>
      <c r="B3" s="2283"/>
      <c r="C3" s="1253"/>
      <c r="D3" s="1253"/>
      <c r="E3" s="706"/>
      <c r="F3" s="706"/>
      <c r="G3" s="706"/>
      <c r="H3" s="706"/>
      <c r="I3" s="706"/>
      <c r="J3" s="706"/>
      <c r="K3" s="706"/>
      <c r="L3" s="706"/>
      <c r="M3" s="706"/>
      <c r="Q3" s="861"/>
    </row>
    <row r="4" spans="1:22" ht="15.75">
      <c r="A4" s="1347" t="s">
        <v>2451</v>
      </c>
      <c r="B4" s="1347" t="s">
        <v>2452</v>
      </c>
      <c r="C4" s="1254"/>
      <c r="D4" s="1254"/>
      <c r="E4" s="1360">
        <v>41275</v>
      </c>
      <c r="F4" s="1360">
        <v>41306</v>
      </c>
      <c r="G4" s="1360">
        <v>41334</v>
      </c>
      <c r="H4" s="1360">
        <v>41365</v>
      </c>
      <c r="I4" s="1360">
        <v>41395</v>
      </c>
      <c r="J4" s="1360">
        <v>41426</v>
      </c>
      <c r="K4" s="1360">
        <v>41456</v>
      </c>
      <c r="L4" s="1360">
        <v>41487</v>
      </c>
      <c r="M4" s="1360">
        <v>41518</v>
      </c>
      <c r="N4" s="1360">
        <v>41548</v>
      </c>
      <c r="O4" s="1360">
        <v>41579</v>
      </c>
      <c r="P4" s="1360">
        <v>41609</v>
      </c>
      <c r="Q4" s="1360" t="s">
        <v>2261</v>
      </c>
      <c r="R4" s="1360" t="s">
        <v>660</v>
      </c>
      <c r="S4" s="1360" t="s">
        <v>238</v>
      </c>
      <c r="T4" s="1360" t="s">
        <v>239</v>
      </c>
      <c r="U4" s="1360" t="s">
        <v>240</v>
      </c>
    </row>
    <row r="5" spans="1:22" ht="15.75">
      <c r="A5" s="1348"/>
      <c r="B5" s="1349"/>
      <c r="C5" s="1255"/>
      <c r="D5" s="1255"/>
      <c r="E5" s="1256"/>
    </row>
    <row r="6" spans="1:22" ht="15.75">
      <c r="A6" s="1348"/>
      <c r="B6" s="1350" t="s">
        <v>2453</v>
      </c>
      <c r="C6" s="1257"/>
      <c r="D6" s="1257"/>
      <c r="E6" s="1256"/>
      <c r="V6" s="861"/>
    </row>
    <row r="7" spans="1:22" ht="15.75">
      <c r="A7" s="1351">
        <v>1</v>
      </c>
      <c r="B7" s="1350" t="s">
        <v>2454</v>
      </c>
      <c r="C7" s="1257"/>
      <c r="D7" s="1257"/>
      <c r="E7" s="1258">
        <f t="shared" ref="E7:P7" si="0">E8+E15+E18+E22</f>
        <v>5590621.3829999994</v>
      </c>
      <c r="F7" s="1258">
        <f t="shared" si="0"/>
        <v>7783747.5520000001</v>
      </c>
      <c r="G7" s="1258">
        <f t="shared" si="0"/>
        <v>18210475.594000001</v>
      </c>
      <c r="H7" s="1258">
        <f t="shared" si="0"/>
        <v>5427765.0270000007</v>
      </c>
      <c r="I7" s="1258">
        <f t="shared" si="0"/>
        <v>8350191.4540000008</v>
      </c>
      <c r="J7" s="1258">
        <f t="shared" si="0"/>
        <v>20491999.910999998</v>
      </c>
      <c r="K7" s="1258">
        <f t="shared" si="0"/>
        <v>12145274.793000001</v>
      </c>
      <c r="L7" s="1258">
        <f t="shared" si="0"/>
        <v>7367686.6000399999</v>
      </c>
      <c r="M7" s="1258">
        <f t="shared" si="0"/>
        <v>12061412.563999997</v>
      </c>
      <c r="N7" s="1258">
        <f t="shared" si="0"/>
        <v>14013526.866999999</v>
      </c>
      <c r="O7" s="1258">
        <f t="shared" si="0"/>
        <v>6669756.8940000003</v>
      </c>
      <c r="P7" s="1258">
        <f t="shared" si="0"/>
        <v>11841544.390000001</v>
      </c>
      <c r="Q7" s="1258">
        <f>SUM(E7:P7)</f>
        <v>129954003.02903999</v>
      </c>
      <c r="R7" s="1258">
        <f>SUM(E7:G7)</f>
        <v>31584844.528999999</v>
      </c>
      <c r="S7" s="1258">
        <f>SUM(E7:J7)</f>
        <v>65854800.921000004</v>
      </c>
      <c r="T7" s="1258">
        <f>SUM(E7:M7)</f>
        <v>97429174.878040001</v>
      </c>
      <c r="U7" s="1258">
        <f>Q7</f>
        <v>129954003.02903999</v>
      </c>
    </row>
    <row r="8" spans="1:22" ht="15.75">
      <c r="A8" s="1351">
        <v>11</v>
      </c>
      <c r="B8" s="1352" t="s">
        <v>409</v>
      </c>
      <c r="C8" s="1259"/>
      <c r="D8" s="1259"/>
      <c r="E8" s="1260">
        <f t="shared" ref="E8:P8" si="1">SUM(E9:E14)</f>
        <v>4703236.5889999997</v>
      </c>
      <c r="F8" s="1260">
        <f t="shared" si="1"/>
        <v>5310034.0120000001</v>
      </c>
      <c r="G8" s="1260">
        <f t="shared" si="1"/>
        <v>5789015.3990000002</v>
      </c>
      <c r="H8" s="1260">
        <f t="shared" si="1"/>
        <v>4886952.5250000004</v>
      </c>
      <c r="I8" s="1260">
        <f t="shared" si="1"/>
        <v>7444374.3550000004</v>
      </c>
      <c r="J8" s="1260">
        <f t="shared" si="1"/>
        <v>12840067.868999999</v>
      </c>
      <c r="K8" s="1260">
        <f t="shared" si="1"/>
        <v>10528724.684</v>
      </c>
      <c r="L8" s="1260">
        <f t="shared" si="1"/>
        <v>6543415.28804</v>
      </c>
      <c r="M8" s="1260">
        <f t="shared" si="1"/>
        <v>5516094.5749999993</v>
      </c>
      <c r="N8" s="1260">
        <f t="shared" si="1"/>
        <v>5919596.7799999993</v>
      </c>
      <c r="O8" s="1260">
        <f t="shared" si="1"/>
        <v>4299482.4110000003</v>
      </c>
      <c r="P8" s="1260">
        <f t="shared" si="1"/>
        <v>5335644.8870000001</v>
      </c>
      <c r="Q8" s="1260">
        <f t="shared" ref="Q8:Q71" si="2">SUM(E8:P8)</f>
        <v>79116639.374039993</v>
      </c>
      <c r="R8" s="1260">
        <f t="shared" ref="R8:R71" si="3">SUM(E8:G8)</f>
        <v>15802286</v>
      </c>
      <c r="S8" s="1260">
        <f t="shared" ref="S8:S71" si="4">SUM(E8:J8)</f>
        <v>40973680.748999998</v>
      </c>
      <c r="T8" s="1260">
        <f t="shared" ref="T8:T71" si="5">SUM(E8:M8)</f>
        <v>63561915.296039999</v>
      </c>
      <c r="U8" s="1260">
        <f t="shared" ref="U8:U71" si="6">Q8</f>
        <v>79116639.374039993</v>
      </c>
    </row>
    <row r="9" spans="1:22" ht="15.75">
      <c r="A9" s="1351">
        <v>111</v>
      </c>
      <c r="B9" s="1349" t="s">
        <v>2721</v>
      </c>
      <c r="C9" s="1255"/>
      <c r="D9" s="1255"/>
      <c r="E9" s="1361">
        <f>'Recettes détaillées'!E7</f>
        <v>1344267.8020000001</v>
      </c>
      <c r="F9" s="1361">
        <f>'Recettes détaillées'!F7</f>
        <v>1313791.6870000002</v>
      </c>
      <c r="G9" s="1361">
        <f>'Recettes détaillées'!G7</f>
        <v>2070155.16</v>
      </c>
      <c r="H9" s="1361">
        <f>'Recettes détaillées'!H7</f>
        <v>1503870.3</v>
      </c>
      <c r="I9" s="1361">
        <f>'Recettes détaillées'!I7</f>
        <v>2468355.4010000001</v>
      </c>
      <c r="J9" s="1361">
        <f>'Recettes détaillées'!J7</f>
        <v>6267048.8959999997</v>
      </c>
      <c r="K9" s="1361">
        <f>'Recettes détaillées'!K7</f>
        <v>4359957.3829999994</v>
      </c>
      <c r="L9" s="1361">
        <f>'Recettes détaillées'!L7</f>
        <v>2119342.1708</v>
      </c>
      <c r="M9" s="1361">
        <f>'Recettes détaillées'!M7</f>
        <v>1623095.1890000002</v>
      </c>
      <c r="N9" s="1361">
        <f>'Recettes détaillées'!N7</f>
        <v>1512994.64</v>
      </c>
      <c r="O9" s="1361">
        <f>'Recettes détaillées'!O7</f>
        <v>1128114.8319999999</v>
      </c>
      <c r="P9" s="1361">
        <f>'Recettes détaillées'!P7</f>
        <v>1671288.828</v>
      </c>
      <c r="Q9" s="1361">
        <f t="shared" si="2"/>
        <v>27382282.288800001</v>
      </c>
      <c r="R9" s="1361">
        <f t="shared" si="3"/>
        <v>4728214.6490000002</v>
      </c>
      <c r="S9" s="1361">
        <f t="shared" si="4"/>
        <v>14967489.245999999</v>
      </c>
      <c r="T9" s="1361">
        <f t="shared" si="5"/>
        <v>23069883.9888</v>
      </c>
      <c r="U9" s="1361">
        <f t="shared" si="6"/>
        <v>27382282.288800001</v>
      </c>
    </row>
    <row r="10" spans="1:22" ht="15.75">
      <c r="A10" s="1351">
        <v>112</v>
      </c>
      <c r="B10" s="1349" t="s">
        <v>2455</v>
      </c>
      <c r="C10" s="1255"/>
      <c r="D10" s="1255"/>
      <c r="E10" s="1361">
        <f>'Recettes détaillées'!E11</f>
        <v>0</v>
      </c>
      <c r="F10" s="1361">
        <f>'Recettes détaillées'!F11</f>
        <v>0</v>
      </c>
      <c r="G10" s="1361">
        <f>'Recettes détaillées'!G11</f>
        <v>0</v>
      </c>
      <c r="H10" s="1361">
        <f>'Recettes détaillées'!H11</f>
        <v>0</v>
      </c>
      <c r="I10" s="1361">
        <f>'Recettes détaillées'!I11</f>
        <v>0</v>
      </c>
      <c r="J10" s="1361">
        <f>'Recettes détaillées'!J11</f>
        <v>0</v>
      </c>
      <c r="K10" s="1361">
        <f>'Recettes détaillées'!K11</f>
        <v>0</v>
      </c>
      <c r="L10" s="1361">
        <f>'Recettes détaillées'!L11</f>
        <v>0</v>
      </c>
      <c r="M10" s="1361">
        <f>'Recettes détaillées'!M11</f>
        <v>0</v>
      </c>
      <c r="N10" s="1361">
        <f>'Recettes détaillées'!N11</f>
        <v>0</v>
      </c>
      <c r="O10" s="1361">
        <f>'Recettes détaillées'!O11</f>
        <v>0</v>
      </c>
      <c r="P10" s="1361">
        <f>'Recettes détaillées'!P11</f>
        <v>0</v>
      </c>
      <c r="Q10" s="1361">
        <f t="shared" si="2"/>
        <v>0</v>
      </c>
      <c r="R10" s="1361">
        <f t="shared" si="3"/>
        <v>0</v>
      </c>
      <c r="S10" s="1361">
        <f t="shared" si="4"/>
        <v>0</v>
      </c>
      <c r="T10" s="1361">
        <f t="shared" si="5"/>
        <v>0</v>
      </c>
      <c r="U10" s="1361">
        <f t="shared" si="6"/>
        <v>0</v>
      </c>
    </row>
    <row r="11" spans="1:22" ht="15.75">
      <c r="A11" s="1351">
        <v>113</v>
      </c>
      <c r="B11" s="1349" t="s">
        <v>2456</v>
      </c>
      <c r="C11" s="1255"/>
      <c r="D11" s="1255"/>
      <c r="E11" s="1361">
        <f>'Recettes détaillées'!E12</f>
        <v>82364.709999999992</v>
      </c>
      <c r="F11" s="1361">
        <f>'Recettes détaillées'!F12</f>
        <v>65523.61</v>
      </c>
      <c r="G11" s="1361">
        <f>'Recettes détaillées'!G12</f>
        <v>35729.979999999996</v>
      </c>
      <c r="H11" s="1361">
        <f>'Recettes détaillées'!H12</f>
        <v>42036.812999999995</v>
      </c>
      <c r="I11" s="1361">
        <f>'Recettes détaillées'!I12</f>
        <v>30662.643</v>
      </c>
      <c r="J11" s="1361">
        <f>'Recettes détaillées'!J12</f>
        <v>128962.63400000001</v>
      </c>
      <c r="K11" s="1361">
        <f>'Recettes détaillées'!K12</f>
        <v>64894.087</v>
      </c>
      <c r="L11" s="1361">
        <f>+'Recettes détaillées'!L12</f>
        <v>20458.822</v>
      </c>
      <c r="M11" s="1361">
        <f>+'Recettes détaillées'!M12</f>
        <v>12161.083999999999</v>
      </c>
      <c r="N11" s="1361">
        <f>+'Recettes détaillées'!N12</f>
        <v>168228.14799999999</v>
      </c>
      <c r="O11" s="1361">
        <f>+'Recettes détaillées'!O12</f>
        <v>17661.347000000002</v>
      </c>
      <c r="P11" s="1361">
        <f>+'Recettes détaillées'!P12</f>
        <v>25387.755999999994</v>
      </c>
      <c r="Q11" s="1361">
        <f t="shared" si="2"/>
        <v>694071.63399999985</v>
      </c>
      <c r="R11" s="1361">
        <f t="shared" si="3"/>
        <v>183618.3</v>
      </c>
      <c r="S11" s="1361">
        <f t="shared" si="4"/>
        <v>385280.39</v>
      </c>
      <c r="T11" s="1361">
        <f t="shared" si="5"/>
        <v>482794.38299999997</v>
      </c>
      <c r="U11" s="1361">
        <f t="shared" si="6"/>
        <v>694071.63399999985</v>
      </c>
    </row>
    <row r="12" spans="1:22" ht="15.75">
      <c r="A12" s="1351">
        <v>114</v>
      </c>
      <c r="B12" s="1349" t="s">
        <v>2457</v>
      </c>
      <c r="C12" s="1255"/>
      <c r="D12" s="1255"/>
      <c r="E12" s="1361">
        <f>'Recettes détaillées'!E19</f>
        <v>2342084.7050000001</v>
      </c>
      <c r="F12" s="1361">
        <f>'Recettes détaillées'!F19</f>
        <v>2667148.983</v>
      </c>
      <c r="G12" s="1361">
        <f>'Recettes détaillées'!G19</f>
        <v>2526237.4109999998</v>
      </c>
      <c r="H12" s="1361">
        <f>'Recettes détaillées'!H19</f>
        <v>2415007.4360000002</v>
      </c>
      <c r="I12" s="1361">
        <f>'Recettes détaillées'!I19</f>
        <v>2786109.3309999998</v>
      </c>
      <c r="J12" s="1361">
        <f>'Recettes détaillées'!J19</f>
        <v>3004042.8659999999</v>
      </c>
      <c r="K12" s="1361">
        <f>'Recettes détaillées'!K19</f>
        <v>3007300.338</v>
      </c>
      <c r="L12" s="1361">
        <f>'Recettes détaillées'!L19</f>
        <v>2574659.3862399999</v>
      </c>
      <c r="M12" s="1361">
        <f>'Recettes détaillées'!M19</f>
        <v>2526450.7089999998</v>
      </c>
      <c r="N12" s="1361">
        <f>'Recettes détaillées'!N19</f>
        <v>2920899.0239999993</v>
      </c>
      <c r="O12" s="1361">
        <f>'Recettes détaillées'!O19</f>
        <v>2379308.9739999999</v>
      </c>
      <c r="P12" s="1361">
        <f>'Recettes détaillées'!P19</f>
        <v>2559259.7510000002</v>
      </c>
      <c r="Q12" s="1361">
        <f t="shared" si="2"/>
        <v>31708508.914239995</v>
      </c>
      <c r="R12" s="1361">
        <f t="shared" si="3"/>
        <v>7535471.0989999995</v>
      </c>
      <c r="S12" s="1361">
        <f t="shared" si="4"/>
        <v>15740630.732000001</v>
      </c>
      <c r="T12" s="1361">
        <f t="shared" si="5"/>
        <v>23849041.165239997</v>
      </c>
      <c r="U12" s="1361">
        <f t="shared" si="6"/>
        <v>31708508.914239995</v>
      </c>
    </row>
    <row r="13" spans="1:22" ht="15.75">
      <c r="A13" s="1351">
        <v>115</v>
      </c>
      <c r="B13" s="1349" t="s">
        <v>2720</v>
      </c>
      <c r="C13" s="1255"/>
      <c r="D13" s="1255"/>
      <c r="E13" s="1361">
        <f>'Recettes détaillées'!E31</f>
        <v>934519.37199999997</v>
      </c>
      <c r="F13" s="1361">
        <f>'Recettes détaillées'!F31</f>
        <v>1263569.7320000001</v>
      </c>
      <c r="G13" s="1361">
        <f>'Recettes détaillées'!G31</f>
        <v>1156892.848</v>
      </c>
      <c r="H13" s="1361">
        <f>'Recettes détaillées'!H31</f>
        <v>926037.97600000002</v>
      </c>
      <c r="I13" s="1361">
        <f>'Recettes détaillées'!I31</f>
        <v>2159246.98</v>
      </c>
      <c r="J13" s="1361">
        <f>'Recettes détaillées'!J31</f>
        <v>3440013.4730000002</v>
      </c>
      <c r="K13" s="1361">
        <f>'Recettes détaillées'!K31</f>
        <v>3096572.8759999997</v>
      </c>
      <c r="L13" s="1361">
        <f>'Recettes détaillées'!L31</f>
        <v>1828954.9090000002</v>
      </c>
      <c r="M13" s="1361">
        <f>'Recettes détaillées'!M31</f>
        <v>1354387.5929999999</v>
      </c>
      <c r="N13" s="1361">
        <f>'Recettes détaillées'!N31</f>
        <v>1317474.9680000001</v>
      </c>
      <c r="O13" s="1361">
        <f>'Recettes détaillées'!O31</f>
        <v>774397.25800000003</v>
      </c>
      <c r="P13" s="1361">
        <f>'Recettes détaillées'!P31</f>
        <v>1079708.5520000001</v>
      </c>
      <c r="Q13" s="1361">
        <f t="shared" si="2"/>
        <v>19331776.537000004</v>
      </c>
      <c r="R13" s="1361">
        <f t="shared" si="3"/>
        <v>3354981.9520000005</v>
      </c>
      <c r="S13" s="1361">
        <f t="shared" si="4"/>
        <v>9880280.381000001</v>
      </c>
      <c r="T13" s="1361">
        <f t="shared" si="5"/>
        <v>16160195.759000001</v>
      </c>
      <c r="U13" s="1361">
        <f t="shared" si="6"/>
        <v>19331776.537000004</v>
      </c>
    </row>
    <row r="14" spans="1:22" ht="15.75">
      <c r="A14" s="1351">
        <v>116</v>
      </c>
      <c r="B14" s="1349" t="s">
        <v>2458</v>
      </c>
      <c r="C14" s="1255"/>
      <c r="D14" s="1255"/>
      <c r="E14" s="1361">
        <f>'Recettes détaillées'!E38</f>
        <v>0</v>
      </c>
      <c r="F14" s="1361">
        <f>'Recettes détaillées'!F38</f>
        <v>0</v>
      </c>
      <c r="G14" s="1361">
        <f>'Recettes détaillées'!G38</f>
        <v>0</v>
      </c>
      <c r="H14" s="1361">
        <f>'Recettes détaillées'!H38</f>
        <v>0</v>
      </c>
      <c r="I14" s="1361">
        <f>'Recettes détaillées'!I38</f>
        <v>0</v>
      </c>
      <c r="J14" s="1361">
        <f>'Recettes détaillées'!J38</f>
        <v>0</v>
      </c>
      <c r="K14" s="1361">
        <f>'Recettes détaillées'!K38</f>
        <v>0</v>
      </c>
      <c r="L14" s="1361">
        <f>'Recettes détaillées'!L38</f>
        <v>0</v>
      </c>
      <c r="M14" s="1361">
        <f>'Recettes détaillées'!M38</f>
        <v>0</v>
      </c>
      <c r="N14" s="1361">
        <f>'Recettes détaillées'!N38</f>
        <v>0</v>
      </c>
      <c r="O14" s="1361">
        <f>'Recettes détaillées'!O38</f>
        <v>0</v>
      </c>
      <c r="P14" s="1361">
        <f>'Recettes détaillées'!P38</f>
        <v>0</v>
      </c>
      <c r="Q14" s="1361">
        <f t="shared" si="2"/>
        <v>0</v>
      </c>
      <c r="R14" s="1361">
        <f t="shared" si="3"/>
        <v>0</v>
      </c>
      <c r="S14" s="1361">
        <f t="shared" si="4"/>
        <v>0</v>
      </c>
      <c r="T14" s="1361">
        <f t="shared" si="5"/>
        <v>0</v>
      </c>
      <c r="U14" s="1361">
        <f t="shared" si="6"/>
        <v>0</v>
      </c>
    </row>
    <row r="15" spans="1:22" ht="15.75">
      <c r="A15" s="1351">
        <v>12</v>
      </c>
      <c r="B15" s="1352" t="s">
        <v>2459</v>
      </c>
      <c r="C15" s="1259"/>
      <c r="D15" s="1259"/>
      <c r="E15" s="1260">
        <f t="shared" ref="E15:P15" si="7">SUM(E16:E17)</f>
        <v>0</v>
      </c>
      <c r="F15" s="1260">
        <f t="shared" si="7"/>
        <v>0</v>
      </c>
      <c r="G15" s="1260">
        <f t="shared" si="7"/>
        <v>0</v>
      </c>
      <c r="H15" s="1260">
        <f t="shared" si="7"/>
        <v>0</v>
      </c>
      <c r="I15" s="1260">
        <f t="shared" si="7"/>
        <v>0</v>
      </c>
      <c r="J15" s="1260">
        <f t="shared" si="7"/>
        <v>0</v>
      </c>
      <c r="K15" s="1260">
        <f t="shared" si="7"/>
        <v>0</v>
      </c>
      <c r="L15" s="1260">
        <f t="shared" si="7"/>
        <v>0</v>
      </c>
      <c r="M15" s="1260">
        <f t="shared" si="7"/>
        <v>0</v>
      </c>
      <c r="N15" s="1260">
        <f t="shared" si="7"/>
        <v>0</v>
      </c>
      <c r="O15" s="1260">
        <f t="shared" si="7"/>
        <v>0</v>
      </c>
      <c r="P15" s="1260">
        <f t="shared" si="7"/>
        <v>0</v>
      </c>
      <c r="Q15" s="1260">
        <f t="shared" si="2"/>
        <v>0</v>
      </c>
      <c r="R15" s="1260">
        <f t="shared" si="3"/>
        <v>0</v>
      </c>
      <c r="S15" s="1260">
        <f t="shared" si="4"/>
        <v>0</v>
      </c>
      <c r="T15" s="1260">
        <f t="shared" si="5"/>
        <v>0</v>
      </c>
      <c r="U15" s="1260">
        <f t="shared" si="6"/>
        <v>0</v>
      </c>
    </row>
    <row r="16" spans="1:22" ht="15.75">
      <c r="A16" s="1351">
        <v>121</v>
      </c>
      <c r="B16" s="1349" t="s">
        <v>2460</v>
      </c>
      <c r="C16" s="1255"/>
      <c r="D16" s="1255"/>
      <c r="E16" s="1361">
        <f>'Recettes détaillées'!E40</f>
        <v>0</v>
      </c>
      <c r="F16" s="1361">
        <f>'Recettes détaillées'!F40</f>
        <v>0</v>
      </c>
      <c r="G16" s="1361">
        <f>'Recettes détaillées'!G40</f>
        <v>0</v>
      </c>
      <c r="H16" s="1361">
        <f>'Recettes détaillées'!H40</f>
        <v>0</v>
      </c>
      <c r="I16" s="1361">
        <f>'Recettes détaillées'!I40</f>
        <v>0</v>
      </c>
      <c r="J16" s="1361">
        <f>'Recettes détaillées'!J40</f>
        <v>0</v>
      </c>
      <c r="K16" s="1361">
        <f>'Recettes détaillées'!K40</f>
        <v>0</v>
      </c>
      <c r="L16" s="1361">
        <f>'Recettes détaillées'!L40</f>
        <v>0</v>
      </c>
      <c r="M16" s="1361">
        <f>'Recettes détaillées'!M40</f>
        <v>0</v>
      </c>
      <c r="N16" s="1361">
        <f>'Recettes détaillées'!N40</f>
        <v>0</v>
      </c>
      <c r="O16" s="1361">
        <f>'Recettes détaillées'!O40</f>
        <v>0</v>
      </c>
      <c r="P16" s="1361">
        <f>'Recettes détaillées'!P40</f>
        <v>0</v>
      </c>
      <c r="Q16" s="1361">
        <f t="shared" si="2"/>
        <v>0</v>
      </c>
      <c r="R16" s="1361">
        <f t="shared" si="3"/>
        <v>0</v>
      </c>
      <c r="S16" s="1361">
        <f t="shared" si="4"/>
        <v>0</v>
      </c>
      <c r="T16" s="1361">
        <f t="shared" si="5"/>
        <v>0</v>
      </c>
      <c r="U16" s="1361">
        <f t="shared" si="6"/>
        <v>0</v>
      </c>
    </row>
    <row r="17" spans="1:21" ht="15.75">
      <c r="A17" s="1351">
        <v>122</v>
      </c>
      <c r="B17" s="1349" t="s">
        <v>2461</v>
      </c>
      <c r="C17" s="1255"/>
      <c r="D17" s="1255"/>
      <c r="E17" s="1361">
        <f>'Recettes détaillées'!E45</f>
        <v>0</v>
      </c>
      <c r="F17" s="1361">
        <f>'Recettes détaillées'!F45</f>
        <v>0</v>
      </c>
      <c r="G17" s="1361">
        <f>'Recettes détaillées'!G45</f>
        <v>0</v>
      </c>
      <c r="H17" s="1361">
        <f>'Recettes détaillées'!H45</f>
        <v>0</v>
      </c>
      <c r="I17" s="1361">
        <f>'Recettes détaillées'!I45</f>
        <v>0</v>
      </c>
      <c r="J17" s="1361">
        <f>'Recettes détaillées'!J45</f>
        <v>0</v>
      </c>
      <c r="K17" s="1361">
        <f>'Recettes détaillées'!K45</f>
        <v>0</v>
      </c>
      <c r="L17" s="1361">
        <f>'Recettes détaillées'!L45</f>
        <v>0</v>
      </c>
      <c r="M17" s="1361">
        <f>'Recettes détaillées'!M45</f>
        <v>0</v>
      </c>
      <c r="N17" s="1361">
        <f>'Recettes détaillées'!N45</f>
        <v>0</v>
      </c>
      <c r="O17" s="1361">
        <f>'Recettes détaillées'!O45</f>
        <v>0</v>
      </c>
      <c r="P17" s="1361">
        <f>'Recettes détaillées'!P45</f>
        <v>0</v>
      </c>
      <c r="Q17" s="1361">
        <f t="shared" si="2"/>
        <v>0</v>
      </c>
      <c r="R17" s="1361">
        <f t="shared" si="3"/>
        <v>0</v>
      </c>
      <c r="S17" s="1361">
        <f t="shared" si="4"/>
        <v>0</v>
      </c>
      <c r="T17" s="1361">
        <f t="shared" si="5"/>
        <v>0</v>
      </c>
      <c r="U17" s="1361">
        <f t="shared" si="6"/>
        <v>0</v>
      </c>
    </row>
    <row r="18" spans="1:21" ht="15.75">
      <c r="A18" s="1351">
        <v>13</v>
      </c>
      <c r="B18" s="1352" t="s">
        <v>64</v>
      </c>
      <c r="C18" s="1259"/>
      <c r="D18" s="1259"/>
      <c r="E18" s="1260">
        <f t="shared" ref="E18:P18" si="8">E19+E20+E21</f>
        <v>0</v>
      </c>
      <c r="F18" s="1260">
        <f t="shared" si="8"/>
        <v>1708986.6359999999</v>
      </c>
      <c r="G18" s="1260">
        <f t="shared" si="8"/>
        <v>6351667.6349999998</v>
      </c>
      <c r="H18" s="1260">
        <f t="shared" si="8"/>
        <v>0</v>
      </c>
      <c r="I18" s="1260">
        <f t="shared" si="8"/>
        <v>0</v>
      </c>
      <c r="J18" s="1260">
        <f t="shared" si="8"/>
        <v>6116982.7189999996</v>
      </c>
      <c r="K18" s="1260">
        <f t="shared" si="8"/>
        <v>0</v>
      </c>
      <c r="L18" s="1260">
        <f t="shared" si="8"/>
        <v>0</v>
      </c>
      <c r="M18" s="1260">
        <f t="shared" si="8"/>
        <v>5832614.3799999999</v>
      </c>
      <c r="N18" s="1260">
        <f t="shared" si="8"/>
        <v>0</v>
      </c>
      <c r="O18" s="1260">
        <f t="shared" si="8"/>
        <v>165000</v>
      </c>
      <c r="P18" s="1260">
        <f t="shared" si="8"/>
        <v>4189325.5199999996</v>
      </c>
      <c r="Q18" s="1260">
        <f t="shared" si="2"/>
        <v>24364576.889999997</v>
      </c>
      <c r="R18" s="1260">
        <f t="shared" si="3"/>
        <v>8060654.2709999997</v>
      </c>
      <c r="S18" s="1260">
        <f t="shared" si="4"/>
        <v>14177636.989999998</v>
      </c>
      <c r="T18" s="1260">
        <f t="shared" si="5"/>
        <v>20010251.369999997</v>
      </c>
      <c r="U18" s="1260">
        <f t="shared" si="6"/>
        <v>24364576.889999997</v>
      </c>
    </row>
    <row r="19" spans="1:21" ht="15.75">
      <c r="A19" s="1351">
        <v>131</v>
      </c>
      <c r="B19" s="1349" t="s">
        <v>2462</v>
      </c>
      <c r="C19" s="1255"/>
      <c r="D19" s="1255"/>
      <c r="E19" s="1361">
        <f>'Recettes détaillées'!E50</f>
        <v>0</v>
      </c>
      <c r="F19" s="1361">
        <f>'Recettes détaillées'!F50</f>
        <v>1708986.6359999999</v>
      </c>
      <c r="G19" s="1361">
        <f>'Recettes détaillées'!G50</f>
        <v>551180.02599999995</v>
      </c>
      <c r="H19" s="1361">
        <f>'Recettes détaillées'!H50</f>
        <v>0</v>
      </c>
      <c r="I19" s="1361">
        <f>'Recettes détaillées'!I50</f>
        <v>0</v>
      </c>
      <c r="J19" s="1361">
        <f>'Recettes détaillées'!J50</f>
        <v>478649.701</v>
      </c>
      <c r="K19" s="1361">
        <f>'Recettes détaillées'!K50</f>
        <v>0</v>
      </c>
      <c r="L19" s="1361">
        <f>'Recettes détaillées'!L50</f>
        <v>0</v>
      </c>
      <c r="M19" s="1361">
        <f>'Recettes détaillées'!M50</f>
        <v>74861.010000000009</v>
      </c>
      <c r="N19" s="1361">
        <f>'Recettes détaillées'!N50</f>
        <v>0</v>
      </c>
      <c r="O19" s="1361">
        <f>'Recettes détaillées'!O50</f>
        <v>165000</v>
      </c>
      <c r="P19" s="1361">
        <f>'Recettes détaillées'!P50</f>
        <v>202163.26</v>
      </c>
      <c r="Q19" s="1361">
        <f t="shared" si="2"/>
        <v>3180840.6329999994</v>
      </c>
      <c r="R19" s="1361">
        <f t="shared" si="3"/>
        <v>2260166.662</v>
      </c>
      <c r="S19" s="1361">
        <f t="shared" si="4"/>
        <v>2738816.3629999999</v>
      </c>
      <c r="T19" s="1361">
        <f t="shared" si="5"/>
        <v>2813677.3729999997</v>
      </c>
      <c r="U19" s="1361">
        <f t="shared" si="6"/>
        <v>3180840.6329999994</v>
      </c>
    </row>
    <row r="20" spans="1:21" ht="15.75">
      <c r="A20" s="1351">
        <v>132</v>
      </c>
      <c r="B20" s="1349" t="s">
        <v>2463</v>
      </c>
      <c r="C20" s="1255"/>
      <c r="D20" s="1255"/>
      <c r="E20" s="1361">
        <f>+'Recettes détaillées'!E53</f>
        <v>0</v>
      </c>
      <c r="F20" s="1361">
        <f>+'Recettes détaillées'!F53</f>
        <v>0</v>
      </c>
      <c r="G20" s="1361">
        <f>+'Recettes détaillées'!G53</f>
        <v>5800487.6090000002</v>
      </c>
      <c r="H20" s="1361">
        <f>+'Recettes détaillées'!H53</f>
        <v>0</v>
      </c>
      <c r="I20" s="1361">
        <f>+'Recettes détaillées'!I53</f>
        <v>0</v>
      </c>
      <c r="J20" s="1361">
        <f>+'Recettes détaillées'!J53</f>
        <v>5638333.0179999992</v>
      </c>
      <c r="K20" s="1361">
        <f>+'Recettes détaillées'!K53</f>
        <v>0</v>
      </c>
      <c r="L20" s="1361">
        <f>+'Recettes détaillées'!L53</f>
        <v>0</v>
      </c>
      <c r="M20" s="1361">
        <f>+'Recettes détaillées'!M53</f>
        <v>5757753.3700000001</v>
      </c>
      <c r="N20" s="1361">
        <f>+'Recettes détaillées'!N53</f>
        <v>0</v>
      </c>
      <c r="O20" s="1361">
        <f>+'Recettes détaillées'!O53</f>
        <v>0</v>
      </c>
      <c r="P20" s="1361">
        <f>+'Recettes détaillées'!P53</f>
        <v>3987162.26</v>
      </c>
      <c r="Q20" s="1361">
        <f t="shared" si="2"/>
        <v>21183736.256999999</v>
      </c>
      <c r="R20" s="1361">
        <f t="shared" si="3"/>
        <v>5800487.6090000002</v>
      </c>
      <c r="S20" s="1361">
        <f t="shared" si="4"/>
        <v>11438820.627</v>
      </c>
      <c r="T20" s="1361">
        <f t="shared" si="5"/>
        <v>17196573.997000001</v>
      </c>
      <c r="U20" s="1361">
        <f t="shared" si="6"/>
        <v>21183736.256999999</v>
      </c>
    </row>
    <row r="21" spans="1:21" ht="15.75">
      <c r="A21" s="1351">
        <v>133</v>
      </c>
      <c r="B21" s="1349" t="s">
        <v>2464</v>
      </c>
      <c r="C21" s="1255"/>
      <c r="D21" s="1255"/>
      <c r="E21" s="1361">
        <f>'Recettes détaillées'!E56</f>
        <v>0</v>
      </c>
      <c r="F21" s="1361">
        <f>'Recettes détaillées'!F56</f>
        <v>0</v>
      </c>
      <c r="G21" s="1361">
        <f>'Recettes détaillées'!G56</f>
        <v>0</v>
      </c>
      <c r="H21" s="1361">
        <f>'Recettes détaillées'!H56</f>
        <v>0</v>
      </c>
      <c r="I21" s="1361">
        <f>'Recettes détaillées'!I56</f>
        <v>0</v>
      </c>
      <c r="J21" s="1361">
        <f>'Recettes détaillées'!J56</f>
        <v>0</v>
      </c>
      <c r="K21" s="1361">
        <f>'Recettes détaillées'!K56</f>
        <v>0</v>
      </c>
      <c r="L21" s="1361">
        <f>'Recettes détaillées'!L56</f>
        <v>0</v>
      </c>
      <c r="M21" s="1361">
        <f>'Recettes détaillées'!M56</f>
        <v>0</v>
      </c>
      <c r="N21" s="1361">
        <f>'Recettes détaillées'!N56</f>
        <v>0</v>
      </c>
      <c r="O21" s="1361">
        <f>'Recettes détaillées'!O56</f>
        <v>0</v>
      </c>
      <c r="P21" s="1361">
        <f>'Recettes détaillées'!P56</f>
        <v>0</v>
      </c>
      <c r="Q21" s="1361">
        <f t="shared" si="2"/>
        <v>0</v>
      </c>
      <c r="R21" s="1361">
        <f t="shared" si="3"/>
        <v>0</v>
      </c>
      <c r="S21" s="1361">
        <f t="shared" si="4"/>
        <v>0</v>
      </c>
      <c r="T21" s="1361">
        <f t="shared" si="5"/>
        <v>0</v>
      </c>
      <c r="U21" s="1361">
        <f t="shared" si="6"/>
        <v>0</v>
      </c>
    </row>
    <row r="22" spans="1:21" ht="15.75">
      <c r="A22" s="1351">
        <v>14</v>
      </c>
      <c r="B22" s="1352" t="s">
        <v>2465</v>
      </c>
      <c r="C22" s="1259"/>
      <c r="D22" s="1259"/>
      <c r="E22" s="1260">
        <f t="shared" ref="E22:P22" si="9">SUM(E23:E27)</f>
        <v>887384.79400000011</v>
      </c>
      <c r="F22" s="1260">
        <f t="shared" si="9"/>
        <v>764726.9040000001</v>
      </c>
      <c r="G22" s="1260">
        <f t="shared" si="9"/>
        <v>6069792.5600000005</v>
      </c>
      <c r="H22" s="1260">
        <f t="shared" si="9"/>
        <v>540812.50199999998</v>
      </c>
      <c r="I22" s="1260">
        <f t="shared" si="9"/>
        <v>905817.09900000005</v>
      </c>
      <c r="J22" s="1260">
        <f t="shared" si="9"/>
        <v>1534949.3230000001</v>
      </c>
      <c r="K22" s="1260">
        <f t="shared" si="9"/>
        <v>1616550.1090000002</v>
      </c>
      <c r="L22" s="1260">
        <f t="shared" si="9"/>
        <v>824271.31200000003</v>
      </c>
      <c r="M22" s="1260">
        <f t="shared" si="9"/>
        <v>712703.60900000005</v>
      </c>
      <c r="N22" s="1260">
        <f t="shared" si="9"/>
        <v>8093930.0870000003</v>
      </c>
      <c r="O22" s="1260">
        <f t="shared" si="9"/>
        <v>2205274.483</v>
      </c>
      <c r="P22" s="1260">
        <f t="shared" si="9"/>
        <v>2316573.983</v>
      </c>
      <c r="Q22" s="1260">
        <f t="shared" si="2"/>
        <v>26472786.765000001</v>
      </c>
      <c r="R22" s="1260">
        <f t="shared" si="3"/>
        <v>7721904.2580000013</v>
      </c>
      <c r="S22" s="1260">
        <f t="shared" si="4"/>
        <v>10703483.182000002</v>
      </c>
      <c r="T22" s="1260">
        <f t="shared" si="5"/>
        <v>13857008.212000001</v>
      </c>
      <c r="U22" s="1260">
        <f t="shared" si="6"/>
        <v>26472786.765000001</v>
      </c>
    </row>
    <row r="23" spans="1:21" ht="15.75">
      <c r="A23" s="1348">
        <v>141</v>
      </c>
      <c r="B23" s="1349" t="s">
        <v>2466</v>
      </c>
      <c r="C23" s="1255"/>
      <c r="D23" s="1255"/>
      <c r="E23" s="1361">
        <f>'Recettes détaillées'!E60</f>
        <v>578775.67100000009</v>
      </c>
      <c r="F23" s="1361">
        <f>'Recettes détaillées'!F60</f>
        <v>185593.59100000001</v>
      </c>
      <c r="G23" s="1361">
        <f>'Recettes détaillées'!G60</f>
        <v>5739439.7030000007</v>
      </c>
      <c r="H23" s="1361">
        <f>'Recettes détaillées'!H60</f>
        <v>185384.72</v>
      </c>
      <c r="I23" s="1361">
        <f>'Recettes détaillées'!I60</f>
        <v>113225.68800000001</v>
      </c>
      <c r="J23" s="1361">
        <f>'Recettes détaillées'!J60</f>
        <v>619371.52000000002</v>
      </c>
      <c r="K23" s="1361">
        <f>'Recettes détaillées'!K60</f>
        <v>873402.69300000009</v>
      </c>
      <c r="L23" s="1361">
        <f>'Recettes détaillées'!L60</f>
        <v>212923.19300000003</v>
      </c>
      <c r="M23" s="1361">
        <f>'Recettes détaillées'!M60</f>
        <v>326352.16200000001</v>
      </c>
      <c r="N23" s="1361">
        <f>'Recettes détaillées'!N60</f>
        <v>106354.931</v>
      </c>
      <c r="O23" s="1361">
        <f>'Recettes détaillées'!O60</f>
        <v>627786.37399999995</v>
      </c>
      <c r="P23" s="1361">
        <f>'Recettes détaillées'!P60</f>
        <v>1940049.8730000001</v>
      </c>
      <c r="Q23" s="1361">
        <f t="shared" si="2"/>
        <v>11508660.119000001</v>
      </c>
      <c r="R23" s="1361">
        <f t="shared" si="3"/>
        <v>6503808.9650000008</v>
      </c>
      <c r="S23" s="1361">
        <f t="shared" si="4"/>
        <v>7421790.8930000011</v>
      </c>
      <c r="T23" s="1361">
        <f t="shared" si="5"/>
        <v>8834468.9410000015</v>
      </c>
      <c r="U23" s="1361">
        <f t="shared" si="6"/>
        <v>11508660.119000001</v>
      </c>
    </row>
    <row r="24" spans="1:21" ht="15.75">
      <c r="A24" s="1348">
        <v>142</v>
      </c>
      <c r="B24" s="1349" t="s">
        <v>2467</v>
      </c>
      <c r="C24" s="1255"/>
      <c r="D24" s="1255"/>
      <c r="E24" s="1361">
        <f>'Recettes détaillées'!E66</f>
        <v>304945.78599999996</v>
      </c>
      <c r="F24" s="1361">
        <f>'Recettes détaillées'!F66</f>
        <v>501032.24700000009</v>
      </c>
      <c r="G24" s="1361">
        <f>'Recettes détaillées'!G66</f>
        <v>328265.79700000002</v>
      </c>
      <c r="H24" s="1361">
        <f>'Recettes détaillées'!H66</f>
        <v>347313.09699999995</v>
      </c>
      <c r="I24" s="1361">
        <f>'Recettes détaillées'!I66</f>
        <v>598622.94400000002</v>
      </c>
      <c r="J24" s="1361">
        <f>'Recettes détaillées'!J66</f>
        <v>782538.17800000007</v>
      </c>
      <c r="K24" s="1361">
        <f>'Recettes détaillées'!K66</f>
        <v>733547.73800000001</v>
      </c>
      <c r="L24" s="1361">
        <f>'Recettes détaillées'!L66</f>
        <v>485347.57800000004</v>
      </c>
      <c r="M24" s="1361">
        <f>'Recettes détaillées'!M66</f>
        <v>383305.78</v>
      </c>
      <c r="N24" s="1361">
        <f>'Recettes détaillées'!N66</f>
        <v>7981319.2999999998</v>
      </c>
      <c r="O24" s="1361">
        <f>'Recettes détaillées'!O66</f>
        <v>1574850.9580000001</v>
      </c>
      <c r="P24" s="1361">
        <f>'Recettes détaillées'!P66</f>
        <v>370739.56999999995</v>
      </c>
      <c r="Q24" s="1361">
        <f t="shared" si="2"/>
        <v>14391828.973000001</v>
      </c>
      <c r="R24" s="1361">
        <f t="shared" si="3"/>
        <v>1134243.83</v>
      </c>
      <c r="S24" s="1361">
        <f t="shared" si="4"/>
        <v>2862718.0490000006</v>
      </c>
      <c r="T24" s="1361">
        <f t="shared" si="5"/>
        <v>4464919.1450000005</v>
      </c>
      <c r="U24" s="1361">
        <f t="shared" si="6"/>
        <v>14391828.973000001</v>
      </c>
    </row>
    <row r="25" spans="1:21" ht="15.75">
      <c r="A25" s="1348">
        <v>143</v>
      </c>
      <c r="B25" s="1349" t="s">
        <v>2468</v>
      </c>
      <c r="C25" s="1255"/>
      <c r="D25" s="1255"/>
      <c r="E25" s="1361">
        <f>'Recettes détaillées'!E71</f>
        <v>3663.337</v>
      </c>
      <c r="F25" s="1361">
        <f>'Recettes détaillées'!F71</f>
        <v>77067.451000000001</v>
      </c>
      <c r="G25" s="1361">
        <f>'Recettes détaillées'!G71</f>
        <v>1484</v>
      </c>
      <c r="H25" s="1361">
        <f>'Recettes détaillées'!H71</f>
        <v>7468.2060000000001</v>
      </c>
      <c r="I25" s="1361">
        <f>'Recettes détaillées'!I71</f>
        <v>192305.641</v>
      </c>
      <c r="J25" s="1361">
        <f>'Recettes détaillées'!J71</f>
        <v>132272.75</v>
      </c>
      <c r="K25" s="1361">
        <f>'Recettes détaillées'!K71</f>
        <v>8074.4699999999993</v>
      </c>
      <c r="L25" s="1361">
        <f>'Recettes détaillées'!L71</f>
        <v>125938.041</v>
      </c>
      <c r="M25" s="1361">
        <f>'Recettes détaillées'!M71</f>
        <v>2841.8780000000002</v>
      </c>
      <c r="N25" s="1361">
        <f>'Recettes détaillées'!N71</f>
        <v>6180.8490000000002</v>
      </c>
      <c r="O25" s="1361">
        <f>'Recettes détaillées'!O71</f>
        <v>2637.1509999999998</v>
      </c>
      <c r="P25" s="1361">
        <f>'Recettes détaillées'!P71</f>
        <v>5720.42</v>
      </c>
      <c r="Q25" s="1361">
        <f t="shared" si="2"/>
        <v>565654.19400000002</v>
      </c>
      <c r="R25" s="1361">
        <f t="shared" si="3"/>
        <v>82214.788</v>
      </c>
      <c r="S25" s="1361">
        <f t="shared" si="4"/>
        <v>414261.38500000001</v>
      </c>
      <c r="T25" s="1361">
        <f t="shared" si="5"/>
        <v>551115.77399999998</v>
      </c>
      <c r="U25" s="1361">
        <f t="shared" si="6"/>
        <v>565654.19400000002</v>
      </c>
    </row>
    <row r="26" spans="1:21" ht="15.75">
      <c r="A26" s="1348">
        <v>144</v>
      </c>
      <c r="B26" s="1349" t="s">
        <v>2469</v>
      </c>
      <c r="C26" s="1255"/>
      <c r="D26" s="1255"/>
      <c r="E26" s="1361">
        <f>'Recettes détaillées'!E72</f>
        <v>0</v>
      </c>
      <c r="F26" s="1361">
        <f>'Recettes détaillées'!F72</f>
        <v>0</v>
      </c>
      <c r="G26" s="1361">
        <f>'Recettes détaillées'!G72</f>
        <v>0</v>
      </c>
      <c r="H26" s="1361">
        <f>'Recettes détaillées'!H72</f>
        <v>0</v>
      </c>
      <c r="I26" s="1361">
        <f>'Recettes détaillées'!I72</f>
        <v>0</v>
      </c>
      <c r="J26" s="1361">
        <f>'Recettes détaillées'!J72</f>
        <v>0</v>
      </c>
      <c r="K26" s="1361">
        <f>'Recettes détaillées'!K72</f>
        <v>0</v>
      </c>
      <c r="L26" s="1361">
        <f>'Recettes détaillées'!L72</f>
        <v>0</v>
      </c>
      <c r="M26" s="1361">
        <f>'Recettes détaillées'!M72</f>
        <v>0</v>
      </c>
      <c r="N26" s="1361">
        <f>'Recettes détaillées'!N72</f>
        <v>0</v>
      </c>
      <c r="O26" s="1361">
        <f>'Recettes détaillées'!O72</f>
        <v>0</v>
      </c>
      <c r="P26" s="1361">
        <f>'Recettes détaillées'!P72</f>
        <v>0</v>
      </c>
      <c r="Q26" s="1361">
        <f t="shared" si="2"/>
        <v>0</v>
      </c>
      <c r="R26" s="1361">
        <f t="shared" si="3"/>
        <v>0</v>
      </c>
      <c r="S26" s="1361">
        <f t="shared" si="4"/>
        <v>0</v>
      </c>
      <c r="T26" s="1361">
        <f t="shared" si="5"/>
        <v>0</v>
      </c>
      <c r="U26" s="1361">
        <f t="shared" si="6"/>
        <v>0</v>
      </c>
    </row>
    <row r="27" spans="1:21" ht="15.75">
      <c r="A27" s="1348">
        <v>145</v>
      </c>
      <c r="B27" s="1349" t="s">
        <v>2470</v>
      </c>
      <c r="C27" s="1255"/>
      <c r="D27" s="1255"/>
      <c r="E27" s="1362">
        <f>'Recettes détaillées'!E75</f>
        <v>0</v>
      </c>
      <c r="F27" s="1361">
        <f>'Recettes détaillées'!F75</f>
        <v>1033.615</v>
      </c>
      <c r="G27" s="1361">
        <f>'Recettes détaillées'!G75</f>
        <v>603.05999999999995</v>
      </c>
      <c r="H27" s="1361">
        <f>'Recettes détaillées'!H75</f>
        <v>646.47900000000004</v>
      </c>
      <c r="I27" s="1361">
        <f>'Recettes détaillées'!I75</f>
        <v>1662.826</v>
      </c>
      <c r="J27" s="1361">
        <f>'Recettes détaillées'!J75</f>
        <v>766.875</v>
      </c>
      <c r="K27" s="1361">
        <f>'Recettes détaillées'!K75</f>
        <v>1525.2080000000001</v>
      </c>
      <c r="L27" s="1361">
        <f>'Recettes détaillées'!L75</f>
        <v>62.5</v>
      </c>
      <c r="M27" s="1361">
        <f>'Recettes détaillées'!M75</f>
        <v>203.78899999999999</v>
      </c>
      <c r="N27" s="1361">
        <f>'Recettes détaillées'!N75</f>
        <v>75.007000000000005</v>
      </c>
      <c r="O27" s="1361">
        <f>'Recettes détaillées'!O75</f>
        <v>0</v>
      </c>
      <c r="P27" s="1361">
        <f>'Recettes détaillées'!P75</f>
        <v>64.12</v>
      </c>
      <c r="Q27" s="1361">
        <f t="shared" si="2"/>
        <v>6643.4789999999994</v>
      </c>
      <c r="R27" s="1361">
        <f t="shared" si="3"/>
        <v>1636.675</v>
      </c>
      <c r="S27" s="1361">
        <f t="shared" si="4"/>
        <v>4712.8549999999996</v>
      </c>
      <c r="T27" s="1361">
        <f t="shared" si="5"/>
        <v>6504.3519999999999</v>
      </c>
      <c r="U27" s="1361">
        <f t="shared" si="6"/>
        <v>6643.4789999999994</v>
      </c>
    </row>
    <row r="28" spans="1:21" ht="15.75">
      <c r="A28" s="1348"/>
      <c r="B28" s="1350" t="s">
        <v>2377</v>
      </c>
      <c r="C28" s="1257"/>
      <c r="D28" s="1257"/>
      <c r="E28" s="1362">
        <f t="shared" ref="E28:P28" si="10">E29+E34+E35+E36+E37+E40+E44+E48</f>
        <v>6878238.0820196802</v>
      </c>
      <c r="F28" s="1362">
        <f t="shared" si="10"/>
        <v>11563439.991312649</v>
      </c>
      <c r="G28" s="1362">
        <f t="shared" si="10"/>
        <v>17303781.412956491</v>
      </c>
      <c r="H28" s="1362">
        <f t="shared" si="10"/>
        <v>10602004.944373885</v>
      </c>
      <c r="I28" s="1362">
        <f t="shared" si="10"/>
        <v>5942231.9006650001</v>
      </c>
      <c r="J28" s="1362">
        <f t="shared" si="10"/>
        <v>11120286.40408442</v>
      </c>
      <c r="K28" s="1362">
        <f t="shared" si="10"/>
        <v>9382791.5740480013</v>
      </c>
      <c r="L28" s="1362">
        <f t="shared" si="10"/>
        <v>10855349.889</v>
      </c>
      <c r="M28" s="1362">
        <f t="shared" si="10"/>
        <v>10043625.322085101</v>
      </c>
      <c r="N28" s="1362">
        <f t="shared" si="10"/>
        <v>10936269.536614999</v>
      </c>
      <c r="O28" s="1362">
        <f t="shared" si="10"/>
        <v>8754336.1535251997</v>
      </c>
      <c r="P28" s="1362">
        <f t="shared" si="10"/>
        <v>10141135.08895194</v>
      </c>
      <c r="Q28" s="1361">
        <f t="shared" si="2"/>
        <v>123523490.29963736</v>
      </c>
      <c r="R28" s="1361">
        <f t="shared" si="3"/>
        <v>35745459.486288816</v>
      </c>
      <c r="S28" s="1361">
        <f t="shared" si="4"/>
        <v>63409982.735412121</v>
      </c>
      <c r="T28" s="1361">
        <f t="shared" si="5"/>
        <v>93691749.520545214</v>
      </c>
      <c r="U28" s="1361">
        <f t="shared" si="6"/>
        <v>123523490.29963736</v>
      </c>
    </row>
    <row r="29" spans="1:21" ht="15.75">
      <c r="A29" s="1351">
        <v>21</v>
      </c>
      <c r="B29" s="1352" t="s">
        <v>2471</v>
      </c>
      <c r="C29" s="1259"/>
      <c r="D29" s="1259"/>
      <c r="E29" s="1363">
        <f t="shared" ref="E29:P29" si="11">E30+E33</f>
        <v>3546706</v>
      </c>
      <c r="F29" s="1363">
        <f t="shared" si="11"/>
        <v>4497594</v>
      </c>
      <c r="G29" s="1363">
        <f t="shared" si="11"/>
        <v>3461803</v>
      </c>
      <c r="H29" s="1363">
        <f t="shared" si="11"/>
        <v>3775373</v>
      </c>
      <c r="I29" s="1363">
        <f t="shared" si="11"/>
        <v>3247611</v>
      </c>
      <c r="J29" s="1363">
        <f t="shared" si="11"/>
        <v>4400221</v>
      </c>
      <c r="K29" s="1363">
        <f t="shared" si="11"/>
        <v>3523960</v>
      </c>
      <c r="L29" s="1363">
        <f t="shared" si="11"/>
        <v>3674820</v>
      </c>
      <c r="M29" s="1363">
        <f t="shared" si="11"/>
        <v>3557583</v>
      </c>
      <c r="N29" s="1363">
        <f t="shared" si="11"/>
        <v>3639094</v>
      </c>
      <c r="O29" s="1363">
        <f t="shared" si="11"/>
        <v>3722947</v>
      </c>
      <c r="P29" s="1363">
        <f t="shared" si="11"/>
        <v>4427291</v>
      </c>
      <c r="Q29" s="1361">
        <f t="shared" si="2"/>
        <v>45475003</v>
      </c>
      <c r="R29" s="1361">
        <f t="shared" si="3"/>
        <v>11506103</v>
      </c>
      <c r="S29" s="1361">
        <f t="shared" si="4"/>
        <v>22929308</v>
      </c>
      <c r="T29" s="1361">
        <f t="shared" si="5"/>
        <v>33685671</v>
      </c>
      <c r="U29" s="1361">
        <f t="shared" si="6"/>
        <v>45475003</v>
      </c>
    </row>
    <row r="30" spans="1:21" ht="15.75">
      <c r="A30" s="1348">
        <v>211</v>
      </c>
      <c r="B30" s="1349" t="s">
        <v>2472</v>
      </c>
      <c r="C30" s="1255"/>
      <c r="D30" s="1255"/>
      <c r="E30" s="1361">
        <f t="shared" ref="E30:P30" si="12">SUM(E31:E32)</f>
        <v>3546706</v>
      </c>
      <c r="F30" s="1361">
        <f t="shared" si="12"/>
        <v>4497594</v>
      </c>
      <c r="G30" s="1361">
        <f t="shared" si="12"/>
        <v>3461803</v>
      </c>
      <c r="H30" s="1361">
        <f t="shared" si="12"/>
        <v>3775373</v>
      </c>
      <c r="I30" s="1361">
        <f t="shared" si="12"/>
        <v>3247611</v>
      </c>
      <c r="J30" s="1361">
        <f t="shared" si="12"/>
        <v>4400221</v>
      </c>
      <c r="K30" s="1361">
        <f t="shared" si="12"/>
        <v>3523960</v>
      </c>
      <c r="L30" s="1361">
        <f t="shared" si="12"/>
        <v>3674820</v>
      </c>
      <c r="M30" s="1361">
        <f t="shared" si="12"/>
        <v>3557583</v>
      </c>
      <c r="N30" s="1361">
        <f t="shared" si="12"/>
        <v>3639094</v>
      </c>
      <c r="O30" s="1361">
        <f t="shared" si="12"/>
        <v>3722947</v>
      </c>
      <c r="P30" s="1361">
        <f t="shared" si="12"/>
        <v>4427291</v>
      </c>
      <c r="Q30" s="1361">
        <f t="shared" si="2"/>
        <v>45475003</v>
      </c>
      <c r="R30" s="1361">
        <f t="shared" si="3"/>
        <v>11506103</v>
      </c>
      <c r="S30" s="1361">
        <f t="shared" si="4"/>
        <v>22929308</v>
      </c>
      <c r="T30" s="1361">
        <f t="shared" si="5"/>
        <v>33685671</v>
      </c>
      <c r="U30" s="1361">
        <f t="shared" si="6"/>
        <v>45475003</v>
      </c>
    </row>
    <row r="31" spans="1:21" ht="15.75">
      <c r="A31" s="1348">
        <v>2111</v>
      </c>
      <c r="B31" s="1349" t="s">
        <v>2473</v>
      </c>
      <c r="C31" s="1255"/>
      <c r="D31" s="1255"/>
      <c r="E31" s="1361">
        <f>'Charges, Classif. economique'!E6</f>
        <v>3546706</v>
      </c>
      <c r="F31" s="1361">
        <f>'Charges, Classif. economique'!F6</f>
        <v>4497594</v>
      </c>
      <c r="G31" s="1361">
        <f>'Charges, Classif. economique'!G6</f>
        <v>3461803</v>
      </c>
      <c r="H31" s="1361">
        <f>'Charges, Classif. economique'!H6</f>
        <v>3775373</v>
      </c>
      <c r="I31" s="1361">
        <f>'Charges, Classif. economique'!I6</f>
        <v>3247611</v>
      </c>
      <c r="J31" s="1361">
        <f>'Charges, Classif. economique'!J6</f>
        <v>4400221</v>
      </c>
      <c r="K31" s="1361">
        <f>'Charges, Classif. economique'!K6</f>
        <v>3523960</v>
      </c>
      <c r="L31" s="1361">
        <f>'Charges, Classif. economique'!L6</f>
        <v>3674820</v>
      </c>
      <c r="M31" s="1361">
        <f>'Charges, Classif. economique'!M6</f>
        <v>3557583</v>
      </c>
      <c r="N31" s="1361">
        <f>'Charges, Classif. economique'!N6</f>
        <v>3639094</v>
      </c>
      <c r="O31" s="1361">
        <f>'Charges, Classif. economique'!O6</f>
        <v>3722947</v>
      </c>
      <c r="P31" s="1361">
        <f>'Charges, Classif. economique'!P6</f>
        <v>4427291</v>
      </c>
      <c r="Q31" s="1361">
        <f t="shared" si="2"/>
        <v>45475003</v>
      </c>
      <c r="R31" s="1361">
        <f t="shared" si="3"/>
        <v>11506103</v>
      </c>
      <c r="S31" s="1361">
        <f t="shared" si="4"/>
        <v>22929308</v>
      </c>
      <c r="T31" s="1361">
        <f t="shared" si="5"/>
        <v>33685671</v>
      </c>
      <c r="U31" s="1361">
        <f t="shared" si="6"/>
        <v>45475003</v>
      </c>
    </row>
    <row r="32" spans="1:21" ht="15.75">
      <c r="A32" s="1348">
        <v>2113</v>
      </c>
      <c r="B32" s="1349" t="s">
        <v>2474</v>
      </c>
      <c r="C32" s="1255"/>
      <c r="D32" s="1255"/>
      <c r="E32" s="1361"/>
      <c r="F32" s="1361"/>
      <c r="G32" s="1361"/>
      <c r="H32" s="1361"/>
      <c r="I32" s="1361"/>
      <c r="J32" s="1361"/>
      <c r="K32" s="1361"/>
      <c r="L32" s="1361"/>
      <c r="M32" s="1361"/>
      <c r="N32" s="1361"/>
      <c r="O32" s="1361"/>
      <c r="P32" s="1361"/>
      <c r="Q32" s="1361">
        <f t="shared" si="2"/>
        <v>0</v>
      </c>
      <c r="R32" s="1361">
        <f t="shared" si="3"/>
        <v>0</v>
      </c>
      <c r="S32" s="1361">
        <f t="shared" si="4"/>
        <v>0</v>
      </c>
      <c r="T32" s="1361">
        <f t="shared" si="5"/>
        <v>0</v>
      </c>
      <c r="U32" s="1361">
        <f t="shared" si="6"/>
        <v>0</v>
      </c>
    </row>
    <row r="33" spans="1:21" ht="15.75">
      <c r="A33" s="1348">
        <v>212</v>
      </c>
      <c r="B33" s="1349" t="s">
        <v>2475</v>
      </c>
      <c r="C33" s="1255"/>
      <c r="D33" s="1255"/>
      <c r="E33" s="1361">
        <f>'Charges, Classif. economique'!E7</f>
        <v>0</v>
      </c>
      <c r="F33" s="1361">
        <f>'Charges, Classif. economique'!F7</f>
        <v>0</v>
      </c>
      <c r="G33" s="1361">
        <f>'Charges, Classif. economique'!G7</f>
        <v>0</v>
      </c>
      <c r="H33" s="1361">
        <f>'Charges, Classif. economique'!H7</f>
        <v>0</v>
      </c>
      <c r="I33" s="1361">
        <f>'Charges, Classif. economique'!I7</f>
        <v>0</v>
      </c>
      <c r="J33" s="1361">
        <f>'Charges, Classif. economique'!J7</f>
        <v>0</v>
      </c>
      <c r="K33" s="1361">
        <f>'Charges, Classif. economique'!K7</f>
        <v>0</v>
      </c>
      <c r="L33" s="1361">
        <f>'Charges, Classif. economique'!L7</f>
        <v>0</v>
      </c>
      <c r="M33" s="1361">
        <f>'Charges, Classif. economique'!M7</f>
        <v>0</v>
      </c>
      <c r="N33" s="1361">
        <f>'Charges, Classif. economique'!N7</f>
        <v>0</v>
      </c>
      <c r="O33" s="1361">
        <f>'Charges, Classif. economique'!O7</f>
        <v>0</v>
      </c>
      <c r="P33" s="1361">
        <f>'Charges, Classif. economique'!P7</f>
        <v>0</v>
      </c>
      <c r="Q33" s="1361">
        <f t="shared" si="2"/>
        <v>0</v>
      </c>
      <c r="R33" s="1361">
        <f t="shared" si="3"/>
        <v>0</v>
      </c>
      <c r="S33" s="1361">
        <f t="shared" si="4"/>
        <v>0</v>
      </c>
      <c r="T33" s="1361">
        <f t="shared" si="5"/>
        <v>0</v>
      </c>
      <c r="U33" s="1361">
        <f t="shared" si="6"/>
        <v>0</v>
      </c>
    </row>
    <row r="34" spans="1:21" ht="15.75">
      <c r="A34" s="1351">
        <v>22</v>
      </c>
      <c r="B34" s="1352" t="s">
        <v>2476</v>
      </c>
      <c r="C34" s="1259"/>
      <c r="D34" s="1259"/>
      <c r="E34" s="1363">
        <f>'Charges, Classif. economique'!E10</f>
        <v>686473</v>
      </c>
      <c r="F34" s="1363">
        <f>'Charges, Classif. economique'!F10</f>
        <v>2537129</v>
      </c>
      <c r="G34" s="1363">
        <f>'Charges, Classif. economique'!G10</f>
        <v>1049924.6640000001</v>
      </c>
      <c r="H34" s="1363">
        <f>'Charges, Classif. economique'!H10</f>
        <v>1405939</v>
      </c>
      <c r="I34" s="1363">
        <f>'Charges, Classif. economique'!I10</f>
        <v>293793</v>
      </c>
      <c r="J34" s="1363">
        <f>'Charges, Classif. economique'!J10</f>
        <v>2369321</v>
      </c>
      <c r="K34" s="1363">
        <f>'Charges, Classif. economique'!K10</f>
        <v>1457666</v>
      </c>
      <c r="L34" s="1363">
        <f>'Charges, Classif. economique'!L10</f>
        <v>1486964</v>
      </c>
      <c r="M34" s="1363">
        <f>'Charges, Classif. economique'!M10</f>
        <v>1421689</v>
      </c>
      <c r="N34" s="1363">
        <f>'Charges, Classif. economique'!N10</f>
        <v>1367113</v>
      </c>
      <c r="O34" s="1363">
        <f>'Charges, Classif. economique'!O10</f>
        <v>1681653</v>
      </c>
      <c r="P34" s="1363">
        <f>'Charges, Classif. economique'!P10</f>
        <v>1629753</v>
      </c>
      <c r="Q34" s="1361">
        <f t="shared" si="2"/>
        <v>17387417.664000001</v>
      </c>
      <c r="R34" s="1361">
        <f t="shared" si="3"/>
        <v>4273526.6639999999</v>
      </c>
      <c r="S34" s="1361">
        <f t="shared" si="4"/>
        <v>8342579.6639999999</v>
      </c>
      <c r="T34" s="1361">
        <f t="shared" si="5"/>
        <v>12708898.664000001</v>
      </c>
      <c r="U34" s="1361">
        <f t="shared" si="6"/>
        <v>17387417.664000001</v>
      </c>
    </row>
    <row r="35" spans="1:21" ht="15.75">
      <c r="A35" s="1351">
        <v>23</v>
      </c>
      <c r="B35" s="1352" t="s">
        <v>2477</v>
      </c>
      <c r="C35" s="1259"/>
      <c r="D35" s="1259"/>
      <c r="E35" s="1363">
        <f>'Charges, Classif. economique'!E11</f>
        <v>0</v>
      </c>
      <c r="F35" s="1363">
        <f>'Charges, Classif. economique'!F11</f>
        <v>0</v>
      </c>
      <c r="G35" s="1363">
        <f>'Charges, Classif. economique'!G11</f>
        <v>0</v>
      </c>
      <c r="H35" s="1363">
        <f>'Charges, Classif. economique'!H11</f>
        <v>0</v>
      </c>
      <c r="I35" s="1363">
        <f>'Charges, Classif. economique'!I11</f>
        <v>0</v>
      </c>
      <c r="J35" s="1363">
        <f>'Charges, Classif. economique'!J11</f>
        <v>0</v>
      </c>
      <c r="K35" s="1363">
        <f>'Charges, Classif. economique'!K11</f>
        <v>0</v>
      </c>
      <c r="L35" s="1363">
        <f>'Charges, Classif. economique'!L11</f>
        <v>0</v>
      </c>
      <c r="M35" s="1363">
        <f>'Charges, Classif. economique'!M11</f>
        <v>0</v>
      </c>
      <c r="N35" s="1363">
        <f>'Charges, Classif. economique'!N11</f>
        <v>0</v>
      </c>
      <c r="O35" s="1363">
        <f>'Charges, Classif. economique'!O11</f>
        <v>0</v>
      </c>
      <c r="P35" s="1363">
        <f>'Charges, Classif. economique'!P11</f>
        <v>0</v>
      </c>
      <c r="Q35" s="1361">
        <f t="shared" si="2"/>
        <v>0</v>
      </c>
      <c r="R35" s="1361">
        <f t="shared" si="3"/>
        <v>0</v>
      </c>
      <c r="S35" s="1361">
        <f t="shared" si="4"/>
        <v>0</v>
      </c>
      <c r="T35" s="1361">
        <f t="shared" si="5"/>
        <v>0</v>
      </c>
      <c r="U35" s="1361">
        <f t="shared" si="6"/>
        <v>0</v>
      </c>
    </row>
    <row r="36" spans="1:21" ht="15.75">
      <c r="A36" s="1351">
        <v>24</v>
      </c>
      <c r="B36" s="1352" t="s">
        <v>2478</v>
      </c>
      <c r="C36" s="1259"/>
      <c r="D36" s="1259"/>
      <c r="E36" s="1363">
        <f>'Charges, Classif. economique'!E12</f>
        <v>242252.08201967998</v>
      </c>
      <c r="F36" s="1363">
        <f>'Charges, Classif. economique'!F12</f>
        <v>330538.99131265003</v>
      </c>
      <c r="G36" s="1363">
        <f>'Charges, Classif. economique'!G12</f>
        <v>207313.16995648976</v>
      </c>
      <c r="H36" s="1363">
        <f>'Charges, Classif. economique'!H12</f>
        <v>2359092.9443738847</v>
      </c>
      <c r="I36" s="1363">
        <f>'Charges, Classif. economique'!I12</f>
        <v>52372.900665000001</v>
      </c>
      <c r="J36" s="1363">
        <f>'Charges, Classif. economique'!J12</f>
        <v>761733.40408442006</v>
      </c>
      <c r="K36" s="1363">
        <f>'Charges, Classif. economique'!K12</f>
        <v>942839.57404800004</v>
      </c>
      <c r="L36" s="1363">
        <f>'Charges, Classif. economique'!L12</f>
        <v>550573.88899999997</v>
      </c>
      <c r="M36" s="1363">
        <f>'Charges, Classif. economique'!M12</f>
        <v>502892.32208510005</v>
      </c>
      <c r="N36" s="1363">
        <f>'Charges, Classif. economique'!N12</f>
        <v>1083713.5366149999</v>
      </c>
      <c r="O36" s="1363">
        <f>'Charges, Classif. economique'!O12</f>
        <v>302280.15352519997</v>
      </c>
      <c r="P36" s="1363">
        <f>'Charges, Classif. economique'!P12</f>
        <v>483264.08895194007</v>
      </c>
      <c r="Q36" s="1361">
        <f t="shared" si="2"/>
        <v>7818867.0566373654</v>
      </c>
      <c r="R36" s="1361">
        <f t="shared" si="3"/>
        <v>780104.24328881968</v>
      </c>
      <c r="S36" s="1361">
        <f t="shared" si="4"/>
        <v>3953303.4924121248</v>
      </c>
      <c r="T36" s="1361">
        <f t="shared" si="5"/>
        <v>5949609.2775452258</v>
      </c>
      <c r="U36" s="1361">
        <f t="shared" si="6"/>
        <v>7818867.0566373654</v>
      </c>
    </row>
    <row r="37" spans="1:21" ht="15.75">
      <c r="A37" s="1351">
        <v>25</v>
      </c>
      <c r="B37" s="1352" t="s">
        <v>2479</v>
      </c>
      <c r="C37" s="1259"/>
      <c r="D37" s="1259"/>
      <c r="E37" s="1363">
        <f t="shared" ref="E37:P37" si="13">SUM(E38:E39)</f>
        <v>0</v>
      </c>
      <c r="F37" s="1363">
        <f t="shared" si="13"/>
        <v>0</v>
      </c>
      <c r="G37" s="1363">
        <f t="shared" si="13"/>
        <v>0</v>
      </c>
      <c r="H37" s="1363">
        <f t="shared" si="13"/>
        <v>0</v>
      </c>
      <c r="I37" s="1363">
        <f t="shared" si="13"/>
        <v>0</v>
      </c>
      <c r="J37" s="1363">
        <f t="shared" si="13"/>
        <v>0</v>
      </c>
      <c r="K37" s="1363">
        <f t="shared" si="13"/>
        <v>0</v>
      </c>
      <c r="L37" s="1363">
        <f t="shared" si="13"/>
        <v>0</v>
      </c>
      <c r="M37" s="1363">
        <f t="shared" si="13"/>
        <v>0</v>
      </c>
      <c r="N37" s="1363">
        <f t="shared" si="13"/>
        <v>0</v>
      </c>
      <c r="O37" s="1363">
        <f t="shared" si="13"/>
        <v>0</v>
      </c>
      <c r="P37" s="1363">
        <f t="shared" si="13"/>
        <v>0</v>
      </c>
      <c r="Q37" s="1361">
        <f t="shared" si="2"/>
        <v>0</v>
      </c>
      <c r="R37" s="1361">
        <f t="shared" si="3"/>
        <v>0</v>
      </c>
      <c r="S37" s="1361">
        <f t="shared" si="4"/>
        <v>0</v>
      </c>
      <c r="T37" s="1361">
        <f t="shared" si="5"/>
        <v>0</v>
      </c>
      <c r="U37" s="1361">
        <f t="shared" si="6"/>
        <v>0</v>
      </c>
    </row>
    <row r="38" spans="1:21" ht="15.75">
      <c r="A38" s="1348">
        <v>251</v>
      </c>
      <c r="B38" s="1349" t="s">
        <v>2480</v>
      </c>
      <c r="C38" s="1255"/>
      <c r="D38" s="1255"/>
      <c r="E38" s="1361">
        <f>'Charges, Classif. economique'!E17</f>
        <v>0</v>
      </c>
      <c r="F38" s="1361">
        <f>'Charges, Classif. economique'!F17</f>
        <v>0</v>
      </c>
      <c r="G38" s="1361">
        <f>'Charges, Classif. economique'!G17</f>
        <v>0</v>
      </c>
      <c r="H38" s="1361">
        <f>'Charges, Classif. economique'!H17</f>
        <v>0</v>
      </c>
      <c r="I38" s="1361">
        <f>'Charges, Classif. economique'!I17</f>
        <v>0</v>
      </c>
      <c r="J38" s="1361">
        <f>'Charges, Classif. economique'!J17</f>
        <v>0</v>
      </c>
      <c r="K38" s="1361">
        <f>'Charges, Classif. economique'!K17</f>
        <v>0</v>
      </c>
      <c r="L38" s="1361">
        <f>'Charges, Classif. economique'!L17</f>
        <v>0</v>
      </c>
      <c r="M38" s="1361">
        <f>'Charges, Classif. economique'!M17</f>
        <v>0</v>
      </c>
      <c r="N38" s="1361">
        <f>'Charges, Classif. economique'!N17</f>
        <v>0</v>
      </c>
      <c r="O38" s="1361">
        <f>'Charges, Classif. economique'!O17</f>
        <v>0</v>
      </c>
      <c r="P38" s="1361">
        <f>'Charges, Classif. economique'!P17</f>
        <v>0</v>
      </c>
      <c r="Q38" s="1361">
        <f t="shared" si="2"/>
        <v>0</v>
      </c>
      <c r="R38" s="1361">
        <f t="shared" si="3"/>
        <v>0</v>
      </c>
      <c r="S38" s="1361">
        <f t="shared" si="4"/>
        <v>0</v>
      </c>
      <c r="T38" s="1361">
        <f t="shared" si="5"/>
        <v>0</v>
      </c>
      <c r="U38" s="1361">
        <f t="shared" si="6"/>
        <v>0</v>
      </c>
    </row>
    <row r="39" spans="1:21" ht="15.75">
      <c r="A39" s="1348">
        <v>252</v>
      </c>
      <c r="B39" s="1349" t="s">
        <v>2481</v>
      </c>
      <c r="C39" s="1255"/>
      <c r="D39" s="1255"/>
      <c r="E39" s="1361">
        <f>'Charges, Classif. economique'!E18</f>
        <v>0</v>
      </c>
      <c r="F39" s="1361">
        <f>'Charges, Classif. economique'!F18</f>
        <v>0</v>
      </c>
      <c r="G39" s="1361">
        <f>'Charges, Classif. economique'!G18</f>
        <v>0</v>
      </c>
      <c r="H39" s="1361">
        <f>'Charges, Classif. economique'!H18</f>
        <v>0</v>
      </c>
      <c r="I39" s="1361">
        <f>'Charges, Classif. economique'!I18</f>
        <v>0</v>
      </c>
      <c r="J39" s="1361">
        <f>'Charges, Classif. economique'!J18</f>
        <v>0</v>
      </c>
      <c r="K39" s="1361">
        <f>'Charges, Classif. economique'!K18</f>
        <v>0</v>
      </c>
      <c r="L39" s="1361">
        <f>'Charges, Classif. economique'!L18</f>
        <v>0</v>
      </c>
      <c r="M39" s="1361">
        <f>'Charges, Classif. economique'!M18</f>
        <v>0</v>
      </c>
      <c r="N39" s="1361">
        <f>'Charges, Classif. economique'!N18</f>
        <v>0</v>
      </c>
      <c r="O39" s="1361">
        <f>'Charges, Classif. economique'!O18</f>
        <v>0</v>
      </c>
      <c r="P39" s="1361">
        <f>'Charges, Classif. economique'!P18</f>
        <v>0</v>
      </c>
      <c r="Q39" s="1361">
        <f t="shared" si="2"/>
        <v>0</v>
      </c>
      <c r="R39" s="1361">
        <f t="shared" si="3"/>
        <v>0</v>
      </c>
      <c r="S39" s="1361">
        <f t="shared" si="4"/>
        <v>0</v>
      </c>
      <c r="T39" s="1361">
        <f t="shared" si="5"/>
        <v>0</v>
      </c>
      <c r="U39" s="1361">
        <f t="shared" si="6"/>
        <v>0</v>
      </c>
    </row>
    <row r="40" spans="1:21" ht="15.75">
      <c r="A40" s="1351">
        <v>26</v>
      </c>
      <c r="B40" s="1352" t="s">
        <v>64</v>
      </c>
      <c r="C40" s="1259"/>
      <c r="D40" s="1259"/>
      <c r="E40" s="1363">
        <f t="shared" ref="E40:P40" si="14">SUM(E41:E43)</f>
        <v>0</v>
      </c>
      <c r="F40" s="1363">
        <f t="shared" si="14"/>
        <v>0</v>
      </c>
      <c r="G40" s="1363">
        <f t="shared" si="14"/>
        <v>0</v>
      </c>
      <c r="H40" s="1363">
        <f t="shared" si="14"/>
        <v>0</v>
      </c>
      <c r="I40" s="1363">
        <f t="shared" si="14"/>
        <v>0</v>
      </c>
      <c r="J40" s="1363">
        <f t="shared" si="14"/>
        <v>0</v>
      </c>
      <c r="K40" s="1363">
        <f t="shared" si="14"/>
        <v>0</v>
      </c>
      <c r="L40" s="1363">
        <f t="shared" si="14"/>
        <v>0</v>
      </c>
      <c r="M40" s="1363">
        <f t="shared" si="14"/>
        <v>0</v>
      </c>
      <c r="N40" s="1363">
        <f t="shared" si="14"/>
        <v>0</v>
      </c>
      <c r="O40" s="1363">
        <f t="shared" si="14"/>
        <v>0</v>
      </c>
      <c r="P40" s="1363">
        <f t="shared" si="14"/>
        <v>0</v>
      </c>
      <c r="Q40" s="1361">
        <f t="shared" si="2"/>
        <v>0</v>
      </c>
      <c r="R40" s="1361">
        <f t="shared" si="3"/>
        <v>0</v>
      </c>
      <c r="S40" s="1361">
        <f t="shared" si="4"/>
        <v>0</v>
      </c>
      <c r="T40" s="1361">
        <f t="shared" si="5"/>
        <v>0</v>
      </c>
      <c r="U40" s="1361">
        <f t="shared" si="6"/>
        <v>0</v>
      </c>
    </row>
    <row r="41" spans="1:21" ht="15.75">
      <c r="A41" s="1348">
        <v>261</v>
      </c>
      <c r="B41" s="1349" t="s">
        <v>2482</v>
      </c>
      <c r="C41" s="1255"/>
      <c r="D41" s="1255"/>
      <c r="E41" s="1361">
        <f>'Charges, Classif. economique'!E20</f>
        <v>0</v>
      </c>
      <c r="F41" s="1361">
        <f>'Charges, Classif. economique'!F20</f>
        <v>0</v>
      </c>
      <c r="G41" s="1361">
        <f>'Charges, Classif. economique'!G20</f>
        <v>0</v>
      </c>
      <c r="H41" s="1361">
        <f>'Charges, Classif. economique'!H20</f>
        <v>0</v>
      </c>
      <c r="I41" s="1361">
        <f>'Charges, Classif. economique'!I20</f>
        <v>0</v>
      </c>
      <c r="J41" s="1361">
        <f>'Charges, Classif. economique'!J20</f>
        <v>0</v>
      </c>
      <c r="K41" s="1361">
        <f>'Charges, Classif. economique'!K20</f>
        <v>0</v>
      </c>
      <c r="L41" s="1361">
        <f>'Charges, Classif. economique'!L20</f>
        <v>0</v>
      </c>
      <c r="M41" s="1361">
        <f>'Charges, Classif. economique'!M20</f>
        <v>0</v>
      </c>
      <c r="N41" s="1361">
        <f>'Charges, Classif. economique'!N20</f>
        <v>0</v>
      </c>
      <c r="O41" s="1361">
        <f>'Charges, Classif. economique'!O20</f>
        <v>0</v>
      </c>
      <c r="P41" s="1361">
        <f>'Charges, Classif. economique'!P20</f>
        <v>0</v>
      </c>
      <c r="Q41" s="1361">
        <f t="shared" si="2"/>
        <v>0</v>
      </c>
      <c r="R41" s="1361">
        <f t="shared" si="3"/>
        <v>0</v>
      </c>
      <c r="S41" s="1361">
        <f t="shared" si="4"/>
        <v>0</v>
      </c>
      <c r="T41" s="1361">
        <f t="shared" si="5"/>
        <v>0</v>
      </c>
      <c r="U41" s="1361">
        <f t="shared" si="6"/>
        <v>0</v>
      </c>
    </row>
    <row r="42" spans="1:21" ht="15.75">
      <c r="A42" s="1348">
        <v>262</v>
      </c>
      <c r="B42" s="1349" t="s">
        <v>2483</v>
      </c>
      <c r="C42" s="1255"/>
      <c r="D42" s="1255"/>
      <c r="E42" s="1361">
        <f>'Charges, Classif. economique'!E23</f>
        <v>0</v>
      </c>
      <c r="F42" s="1361">
        <f>'Charges, Classif. economique'!F23</f>
        <v>0</v>
      </c>
      <c r="G42" s="1361">
        <f>'Charges, Classif. economique'!G23</f>
        <v>0</v>
      </c>
      <c r="H42" s="1361">
        <f>'Charges, Classif. economique'!H23</f>
        <v>0</v>
      </c>
      <c r="I42" s="1361">
        <f>'Charges, Classif. economique'!I23</f>
        <v>0</v>
      </c>
      <c r="J42" s="1361">
        <f>'Charges, Classif. economique'!J23</f>
        <v>0</v>
      </c>
      <c r="K42" s="1361">
        <f>'Charges, Classif. economique'!K23</f>
        <v>0</v>
      </c>
      <c r="L42" s="1361">
        <f>'Charges, Classif. economique'!L23</f>
        <v>0</v>
      </c>
      <c r="M42" s="1361">
        <f>'Charges, Classif. economique'!M23</f>
        <v>0</v>
      </c>
      <c r="N42" s="1361">
        <f>'Charges, Classif. economique'!N23</f>
        <v>0</v>
      </c>
      <c r="O42" s="1361">
        <f>'Charges, Classif. economique'!O23</f>
        <v>0</v>
      </c>
      <c r="P42" s="1361">
        <f>'Charges, Classif. economique'!P23</f>
        <v>0</v>
      </c>
      <c r="Q42" s="1361">
        <f t="shared" si="2"/>
        <v>0</v>
      </c>
      <c r="R42" s="1361">
        <f t="shared" si="3"/>
        <v>0</v>
      </c>
      <c r="S42" s="1361">
        <f t="shared" si="4"/>
        <v>0</v>
      </c>
      <c r="T42" s="1361">
        <f t="shared" si="5"/>
        <v>0</v>
      </c>
      <c r="U42" s="1361">
        <f t="shared" si="6"/>
        <v>0</v>
      </c>
    </row>
    <row r="43" spans="1:21" ht="15.75">
      <c r="A43" s="1348">
        <v>263</v>
      </c>
      <c r="B43" s="1349" t="s">
        <v>2484</v>
      </c>
      <c r="C43" s="1255"/>
      <c r="D43" s="1255"/>
      <c r="E43" s="1361">
        <f>'Charges, Classif. economique'!E26</f>
        <v>0</v>
      </c>
      <c r="F43" s="1361">
        <f>'Charges, Classif. economique'!F26</f>
        <v>0</v>
      </c>
      <c r="G43" s="1361">
        <f>'Charges, Classif. economique'!G26</f>
        <v>0</v>
      </c>
      <c r="H43" s="1361">
        <f>'Charges, Classif. economique'!H26</f>
        <v>0</v>
      </c>
      <c r="I43" s="1361">
        <f>'Charges, Classif. economique'!I26</f>
        <v>0</v>
      </c>
      <c r="J43" s="1361">
        <f>'Charges, Classif. economique'!J26</f>
        <v>0</v>
      </c>
      <c r="K43" s="1361">
        <f>'Charges, Classif. economique'!K26</f>
        <v>0</v>
      </c>
      <c r="L43" s="1361">
        <f>'Charges, Classif. economique'!L26</f>
        <v>0</v>
      </c>
      <c r="M43" s="1361">
        <f>'Charges, Classif. economique'!M26</f>
        <v>0</v>
      </c>
      <c r="N43" s="1361">
        <f>'Charges, Classif. economique'!N26</f>
        <v>0</v>
      </c>
      <c r="O43" s="1361">
        <f>'Charges, Classif. economique'!O26</f>
        <v>0</v>
      </c>
      <c r="P43" s="1361">
        <f>'Charges, Classif. economique'!P26</f>
        <v>0</v>
      </c>
      <c r="Q43" s="1361">
        <f t="shared" si="2"/>
        <v>0</v>
      </c>
      <c r="R43" s="1361">
        <f t="shared" si="3"/>
        <v>0</v>
      </c>
      <c r="S43" s="1361">
        <f t="shared" si="4"/>
        <v>0</v>
      </c>
      <c r="T43" s="1361">
        <f t="shared" si="5"/>
        <v>0</v>
      </c>
      <c r="U43" s="1361">
        <f t="shared" si="6"/>
        <v>0</v>
      </c>
    </row>
    <row r="44" spans="1:21" ht="15.75">
      <c r="A44" s="1351">
        <v>27</v>
      </c>
      <c r="B44" s="1352" t="s">
        <v>2485</v>
      </c>
      <c r="C44" s="1259"/>
      <c r="D44" s="1259"/>
      <c r="E44" s="1363">
        <f t="shared" ref="E44:P44" si="15">SUM(E45:E47)</f>
        <v>0</v>
      </c>
      <c r="F44" s="1363">
        <f t="shared" si="15"/>
        <v>0</v>
      </c>
      <c r="G44" s="1363">
        <f t="shared" si="15"/>
        <v>0</v>
      </c>
      <c r="H44" s="1363">
        <f t="shared" si="15"/>
        <v>0</v>
      </c>
      <c r="I44" s="1363">
        <f t="shared" si="15"/>
        <v>0</v>
      </c>
      <c r="J44" s="1363">
        <f t="shared" si="15"/>
        <v>0</v>
      </c>
      <c r="K44" s="1363">
        <f t="shared" si="15"/>
        <v>0</v>
      </c>
      <c r="L44" s="1363">
        <f t="shared" si="15"/>
        <v>0</v>
      </c>
      <c r="M44" s="1363">
        <f t="shared" si="15"/>
        <v>0</v>
      </c>
      <c r="N44" s="1363">
        <f t="shared" si="15"/>
        <v>0</v>
      </c>
      <c r="O44" s="1363">
        <f t="shared" si="15"/>
        <v>0</v>
      </c>
      <c r="P44" s="1363">
        <f t="shared" si="15"/>
        <v>0</v>
      </c>
      <c r="Q44" s="1361">
        <f t="shared" si="2"/>
        <v>0</v>
      </c>
      <c r="R44" s="1361">
        <f t="shared" si="3"/>
        <v>0</v>
      </c>
      <c r="S44" s="1361">
        <f t="shared" si="4"/>
        <v>0</v>
      </c>
      <c r="T44" s="1361">
        <f t="shared" si="5"/>
        <v>0</v>
      </c>
      <c r="U44" s="1361">
        <f t="shared" si="6"/>
        <v>0</v>
      </c>
    </row>
    <row r="45" spans="1:21" ht="15.75">
      <c r="A45" s="1348">
        <v>271</v>
      </c>
      <c r="B45" s="1349" t="s">
        <v>2486</v>
      </c>
      <c r="C45" s="1255"/>
      <c r="D45" s="1255"/>
      <c r="E45" s="1361">
        <f>'Charges, Classif. economique'!E30</f>
        <v>0</v>
      </c>
      <c r="F45" s="1361">
        <f>'Charges, Classif. economique'!F30</f>
        <v>0</v>
      </c>
      <c r="G45" s="1361">
        <f>'Charges, Classif. economique'!G30</f>
        <v>0</v>
      </c>
      <c r="H45" s="1361">
        <f>'Charges, Classif. economique'!H30</f>
        <v>0</v>
      </c>
      <c r="I45" s="1361">
        <f>'Charges, Classif. economique'!I30</f>
        <v>0</v>
      </c>
      <c r="J45" s="1361">
        <f>'Charges, Classif. economique'!J30</f>
        <v>0</v>
      </c>
      <c r="K45" s="1361">
        <f>'Charges, Classif. economique'!K30</f>
        <v>0</v>
      </c>
      <c r="L45" s="1361">
        <f>'Charges, Classif. economique'!L30</f>
        <v>0</v>
      </c>
      <c r="M45" s="1361">
        <f>'Charges, Classif. economique'!M30</f>
        <v>0</v>
      </c>
      <c r="N45" s="1361">
        <f>'Charges, Classif. economique'!N30</f>
        <v>0</v>
      </c>
      <c r="O45" s="1361">
        <f>'Charges, Classif. economique'!O30</f>
        <v>0</v>
      </c>
      <c r="P45" s="1361">
        <f>'Charges, Classif. economique'!P30</f>
        <v>0</v>
      </c>
      <c r="Q45" s="1361">
        <f t="shared" si="2"/>
        <v>0</v>
      </c>
      <c r="R45" s="1361">
        <f t="shared" si="3"/>
        <v>0</v>
      </c>
      <c r="S45" s="1361">
        <f t="shared" si="4"/>
        <v>0</v>
      </c>
      <c r="T45" s="1361">
        <f t="shared" si="5"/>
        <v>0</v>
      </c>
      <c r="U45" s="1361">
        <f t="shared" si="6"/>
        <v>0</v>
      </c>
    </row>
    <row r="46" spans="1:21" ht="15.75">
      <c r="A46" s="1348">
        <v>272</v>
      </c>
      <c r="B46" s="1349" t="s">
        <v>2487</v>
      </c>
      <c r="C46" s="1255"/>
      <c r="D46" s="1255"/>
      <c r="E46" s="1361">
        <f>'Charges, Classif. economique'!E31</f>
        <v>0</v>
      </c>
      <c r="F46" s="1361">
        <f>'Charges, Classif. economique'!F31</f>
        <v>0</v>
      </c>
      <c r="G46" s="1361">
        <f>'Charges, Classif. economique'!G31</f>
        <v>0</v>
      </c>
      <c r="H46" s="1361">
        <f>'Charges, Classif. economique'!H31</f>
        <v>0</v>
      </c>
      <c r="I46" s="1361">
        <f>'Charges, Classif. economique'!I31</f>
        <v>0</v>
      </c>
      <c r="J46" s="1361">
        <f>'Charges, Classif. economique'!J31</f>
        <v>0</v>
      </c>
      <c r="K46" s="1361">
        <f>'Charges, Classif. economique'!K31</f>
        <v>0</v>
      </c>
      <c r="L46" s="1361">
        <f>'Charges, Classif. economique'!L31</f>
        <v>0</v>
      </c>
      <c r="M46" s="1361">
        <f>'Charges, Classif. economique'!M31</f>
        <v>0</v>
      </c>
      <c r="N46" s="1361">
        <f>'Charges, Classif. economique'!N31</f>
        <v>0</v>
      </c>
      <c r="O46" s="1361">
        <f>'Charges, Classif. economique'!O31</f>
        <v>0</v>
      </c>
      <c r="P46" s="1361">
        <f>'Charges, Classif. economique'!P31</f>
        <v>0</v>
      </c>
      <c r="Q46" s="1361">
        <f t="shared" si="2"/>
        <v>0</v>
      </c>
      <c r="R46" s="1361">
        <f t="shared" si="3"/>
        <v>0</v>
      </c>
      <c r="S46" s="1361">
        <f t="shared" si="4"/>
        <v>0</v>
      </c>
      <c r="T46" s="1361">
        <f t="shared" si="5"/>
        <v>0</v>
      </c>
      <c r="U46" s="1361">
        <f t="shared" si="6"/>
        <v>0</v>
      </c>
    </row>
    <row r="47" spans="1:21" ht="15.75">
      <c r="A47" s="1348">
        <v>273</v>
      </c>
      <c r="B47" s="1349" t="s">
        <v>2488</v>
      </c>
      <c r="C47" s="1255"/>
      <c r="D47" s="1255"/>
      <c r="E47" s="1361">
        <f>'Charges, Classif. economique'!E32</f>
        <v>0</v>
      </c>
      <c r="F47" s="1361">
        <f>'Charges, Classif. economique'!F32</f>
        <v>0</v>
      </c>
      <c r="G47" s="1361">
        <f>'Charges, Classif. economique'!G32</f>
        <v>0</v>
      </c>
      <c r="H47" s="1361">
        <f>'Charges, Classif. economique'!H32</f>
        <v>0</v>
      </c>
      <c r="I47" s="1361">
        <f>'Charges, Classif. economique'!I32</f>
        <v>0</v>
      </c>
      <c r="J47" s="1361">
        <f>'Charges, Classif. economique'!J32</f>
        <v>0</v>
      </c>
      <c r="K47" s="1361">
        <f>'Charges, Classif. economique'!K32</f>
        <v>0</v>
      </c>
      <c r="L47" s="1361">
        <f>'Charges, Classif. economique'!L32</f>
        <v>0</v>
      </c>
      <c r="M47" s="1361">
        <f>'Charges, Classif. economique'!M32</f>
        <v>0</v>
      </c>
      <c r="N47" s="1361">
        <f>'Charges, Classif. economique'!N32</f>
        <v>0</v>
      </c>
      <c r="O47" s="1361">
        <f>'Charges, Classif. economique'!O32</f>
        <v>0</v>
      </c>
      <c r="P47" s="1361">
        <f>'Charges, Classif. economique'!P32</f>
        <v>0</v>
      </c>
      <c r="Q47" s="1361">
        <f t="shared" si="2"/>
        <v>0</v>
      </c>
      <c r="R47" s="1361">
        <f t="shared" si="3"/>
        <v>0</v>
      </c>
      <c r="S47" s="1361">
        <f t="shared" si="4"/>
        <v>0</v>
      </c>
      <c r="T47" s="1361">
        <f t="shared" si="5"/>
        <v>0</v>
      </c>
      <c r="U47" s="1361">
        <f t="shared" si="6"/>
        <v>0</v>
      </c>
    </row>
    <row r="48" spans="1:21" ht="15.75">
      <c r="A48" s="1351">
        <v>28</v>
      </c>
      <c r="B48" s="1352" t="s">
        <v>2489</v>
      </c>
      <c r="C48" s="1259"/>
      <c r="D48" s="1259"/>
      <c r="E48" s="1363">
        <f t="shared" ref="E48:P48" si="16">SUM(E49:E50)</f>
        <v>2402807</v>
      </c>
      <c r="F48" s="1363">
        <f t="shared" si="16"/>
        <v>4198178</v>
      </c>
      <c r="G48" s="1363">
        <f t="shared" si="16"/>
        <v>12584740.579</v>
      </c>
      <c r="H48" s="1363">
        <f t="shared" si="16"/>
        <v>3061600</v>
      </c>
      <c r="I48" s="1363">
        <f t="shared" si="16"/>
        <v>2348455</v>
      </c>
      <c r="J48" s="1363">
        <f t="shared" si="16"/>
        <v>3589011</v>
      </c>
      <c r="K48" s="1363">
        <f t="shared" si="16"/>
        <v>3458326</v>
      </c>
      <c r="L48" s="1363">
        <f t="shared" si="16"/>
        <v>5142992</v>
      </c>
      <c r="M48" s="1363">
        <f t="shared" si="16"/>
        <v>4561461</v>
      </c>
      <c r="N48" s="1363">
        <f t="shared" si="16"/>
        <v>4846349</v>
      </c>
      <c r="O48" s="1363">
        <f t="shared" si="16"/>
        <v>3047456</v>
      </c>
      <c r="P48" s="1363">
        <f t="shared" si="16"/>
        <v>3600827</v>
      </c>
      <c r="Q48" s="1361">
        <f t="shared" si="2"/>
        <v>52842202.578999996</v>
      </c>
      <c r="R48" s="1361">
        <f t="shared" si="3"/>
        <v>19185725.579</v>
      </c>
      <c r="S48" s="1361">
        <f t="shared" si="4"/>
        <v>28184791.579</v>
      </c>
      <c r="T48" s="1361">
        <f t="shared" si="5"/>
        <v>41347570.578999996</v>
      </c>
      <c r="U48" s="1361">
        <f t="shared" si="6"/>
        <v>52842202.578999996</v>
      </c>
    </row>
    <row r="49" spans="1:21" ht="15.75">
      <c r="A49" s="1348">
        <v>281</v>
      </c>
      <c r="B49" s="1349" t="s">
        <v>2490</v>
      </c>
      <c r="C49" s="1255"/>
      <c r="D49" s="1255"/>
      <c r="E49" s="1361">
        <f>'Charges, Classif. economique'!E34</f>
        <v>0</v>
      </c>
      <c r="F49" s="1361">
        <f>'Charges, Classif. economique'!F34</f>
        <v>0</v>
      </c>
      <c r="G49" s="1361">
        <f>'Charges, Classif. economique'!G34</f>
        <v>0</v>
      </c>
      <c r="H49" s="1361">
        <f>'Charges, Classif. economique'!H34</f>
        <v>0</v>
      </c>
      <c r="I49" s="1361">
        <f>'Charges, Classif. economique'!I34</f>
        <v>0</v>
      </c>
      <c r="J49" s="1361">
        <f>'Charges, Classif. economique'!J34</f>
        <v>0</v>
      </c>
      <c r="K49" s="1361">
        <f>'Charges, Classif. economique'!K34</f>
        <v>0</v>
      </c>
      <c r="L49" s="1361">
        <f>'Charges, Classif. economique'!L34</f>
        <v>0</v>
      </c>
      <c r="M49" s="1361">
        <f>'Charges, Classif. economique'!M34</f>
        <v>0</v>
      </c>
      <c r="N49" s="1361">
        <f>'Charges, Classif. economique'!N34</f>
        <v>0</v>
      </c>
      <c r="O49" s="1361">
        <f>'Charges, Classif. economique'!O34</f>
        <v>0</v>
      </c>
      <c r="P49" s="1361">
        <f>'Charges, Classif. economique'!P34</f>
        <v>0</v>
      </c>
      <c r="Q49" s="1361">
        <f t="shared" si="2"/>
        <v>0</v>
      </c>
      <c r="R49" s="1361">
        <f t="shared" si="3"/>
        <v>0</v>
      </c>
      <c r="S49" s="1361">
        <f t="shared" si="4"/>
        <v>0</v>
      </c>
      <c r="T49" s="1361">
        <f t="shared" si="5"/>
        <v>0</v>
      </c>
      <c r="U49" s="1361">
        <f t="shared" si="6"/>
        <v>0</v>
      </c>
    </row>
    <row r="50" spans="1:21" ht="15.75">
      <c r="A50" s="1348">
        <v>282</v>
      </c>
      <c r="B50" s="1349" t="s">
        <v>2491</v>
      </c>
      <c r="C50" s="1255"/>
      <c r="D50" s="1255"/>
      <c r="E50" s="1361">
        <f>'Charges, Classif. economique'!E35</f>
        <v>2402807</v>
      </c>
      <c r="F50" s="1361">
        <f>'Charges, Classif. economique'!F35</f>
        <v>4198178</v>
      </c>
      <c r="G50" s="1361">
        <f>'Charges, Classif. economique'!G35</f>
        <v>12584740.579</v>
      </c>
      <c r="H50" s="1361">
        <f>'Charges, Classif. economique'!H35</f>
        <v>3061600</v>
      </c>
      <c r="I50" s="1361">
        <f>'Charges, Classif. economique'!I35</f>
        <v>2348455</v>
      </c>
      <c r="J50" s="1361">
        <f>'Charges, Classif. economique'!J35</f>
        <v>3589011</v>
      </c>
      <c r="K50" s="1361">
        <f>'Charges, Classif. economique'!K35</f>
        <v>3458326</v>
      </c>
      <c r="L50" s="1361">
        <f>'Charges, Classif. economique'!L35</f>
        <v>5142992</v>
      </c>
      <c r="M50" s="1361">
        <f>'Charges, Classif. economique'!M35</f>
        <v>4561461</v>
      </c>
      <c r="N50" s="1361">
        <f>'Charges, Classif. economique'!N35</f>
        <v>4846349</v>
      </c>
      <c r="O50" s="1361">
        <f>'Charges, Classif. economique'!O35</f>
        <v>3047456</v>
      </c>
      <c r="P50" s="1361">
        <f>'Charges, Classif. economique'!P35</f>
        <v>3600827</v>
      </c>
      <c r="Q50" s="1361">
        <f t="shared" si="2"/>
        <v>52842202.578999996</v>
      </c>
      <c r="R50" s="1361">
        <f t="shared" si="3"/>
        <v>19185725.579</v>
      </c>
      <c r="S50" s="1361">
        <f t="shared" si="4"/>
        <v>28184791.579</v>
      </c>
      <c r="T50" s="1361">
        <f t="shared" si="5"/>
        <v>41347570.578999996</v>
      </c>
      <c r="U50" s="1361">
        <f t="shared" si="6"/>
        <v>52842202.578999996</v>
      </c>
    </row>
    <row r="51" spans="1:21" ht="15.75">
      <c r="A51" s="1348"/>
      <c r="B51" s="1352" t="s">
        <v>2492</v>
      </c>
      <c r="C51" s="1259"/>
      <c r="D51" s="1259"/>
      <c r="E51" s="1363">
        <f t="shared" ref="E51:P51" si="17">E7-E28</f>
        <v>-1287616.6990196807</v>
      </c>
      <c r="F51" s="1363">
        <f t="shared" si="17"/>
        <v>-3779692.439312649</v>
      </c>
      <c r="G51" s="1363">
        <f t="shared" si="17"/>
        <v>906694.18104350939</v>
      </c>
      <c r="H51" s="1363">
        <f t="shared" si="17"/>
        <v>-5174239.9173738845</v>
      </c>
      <c r="I51" s="1363">
        <f t="shared" si="17"/>
        <v>2407959.5533350008</v>
      </c>
      <c r="J51" s="1363">
        <f t="shared" si="17"/>
        <v>9371713.5069155786</v>
      </c>
      <c r="K51" s="1363">
        <f t="shared" si="17"/>
        <v>2762483.2189520001</v>
      </c>
      <c r="L51" s="1363">
        <f t="shared" si="17"/>
        <v>-3487663.2889600005</v>
      </c>
      <c r="M51" s="1363">
        <f t="shared" si="17"/>
        <v>2017787.2419148963</v>
      </c>
      <c r="N51" s="1363">
        <f t="shared" si="17"/>
        <v>3077257.3303849995</v>
      </c>
      <c r="O51" s="1363">
        <f t="shared" si="17"/>
        <v>-2084579.2595251994</v>
      </c>
      <c r="P51" s="1363">
        <f t="shared" si="17"/>
        <v>1700409.3010480609</v>
      </c>
      <c r="Q51" s="1361">
        <f t="shared" si="2"/>
        <v>6430512.7294026315</v>
      </c>
      <c r="R51" s="1361">
        <f t="shared" si="3"/>
        <v>-4160614.9572888203</v>
      </c>
      <c r="S51" s="1361">
        <f t="shared" si="4"/>
        <v>2444818.1855878746</v>
      </c>
      <c r="T51" s="1361">
        <f t="shared" si="5"/>
        <v>3737425.3574947705</v>
      </c>
      <c r="U51" s="1361">
        <f t="shared" si="6"/>
        <v>6430512.7294026315</v>
      </c>
    </row>
    <row r="52" spans="1:21" ht="15.75">
      <c r="A52" s="1348"/>
      <c r="B52" s="1350" t="s">
        <v>2493</v>
      </c>
      <c r="C52" s="1257"/>
      <c r="D52" s="1257"/>
      <c r="E52" s="1361"/>
      <c r="F52" s="1361"/>
      <c r="G52" s="1361"/>
      <c r="H52" s="1361"/>
      <c r="I52" s="1361"/>
      <c r="J52" s="1361"/>
      <c r="K52" s="1361"/>
      <c r="L52" s="1361"/>
      <c r="M52" s="1361"/>
      <c r="N52" s="1361"/>
      <c r="O52" s="1361"/>
      <c r="P52" s="1361"/>
      <c r="Q52" s="1361">
        <f t="shared" si="2"/>
        <v>0</v>
      </c>
      <c r="R52" s="1361">
        <f t="shared" si="3"/>
        <v>0</v>
      </c>
      <c r="S52" s="1361">
        <f t="shared" si="4"/>
        <v>0</v>
      </c>
      <c r="T52" s="1361">
        <f t="shared" si="5"/>
        <v>0</v>
      </c>
      <c r="U52" s="1361">
        <f t="shared" si="6"/>
        <v>0</v>
      </c>
    </row>
    <row r="53" spans="1:21" ht="15.75">
      <c r="A53" s="1353">
        <v>31</v>
      </c>
      <c r="B53" s="1352" t="s">
        <v>2494</v>
      </c>
      <c r="C53" s="1259"/>
      <c r="D53" s="1259"/>
      <c r="E53" s="1363">
        <f t="shared" ref="E53:P53" si="18">E54+E59</f>
        <v>190559.723</v>
      </c>
      <c r="F53" s="1363">
        <f t="shared" si="18"/>
        <v>909583.81599999999</v>
      </c>
      <c r="G53" s="1363">
        <f t="shared" si="18"/>
        <v>9942211.8839999996</v>
      </c>
      <c r="H53" s="1363">
        <f t="shared" si="18"/>
        <v>181826.81075</v>
      </c>
      <c r="I53" s="1363">
        <f t="shared" si="18"/>
        <v>74011.236499999999</v>
      </c>
      <c r="J53" s="1363">
        <f t="shared" si="18"/>
        <v>8884346.2645599991</v>
      </c>
      <c r="K53" s="1363">
        <f t="shared" si="18"/>
        <v>309049.25599999999</v>
      </c>
      <c r="L53" s="1363">
        <f t="shared" si="18"/>
        <v>446891.83600000001</v>
      </c>
      <c r="M53" s="1363">
        <f t="shared" si="18"/>
        <v>14856466.911</v>
      </c>
      <c r="N53" s="1363">
        <f t="shared" si="18"/>
        <v>149707.68400000001</v>
      </c>
      <c r="O53" s="1363">
        <f t="shared" si="18"/>
        <v>1502783.2919999999</v>
      </c>
      <c r="P53" s="1363">
        <f t="shared" si="18"/>
        <v>4805272.3739999998</v>
      </c>
      <c r="Q53" s="1361">
        <f t="shared" si="2"/>
        <v>42252711.087810002</v>
      </c>
      <c r="R53" s="1361">
        <f t="shared" si="3"/>
        <v>11042355.423</v>
      </c>
      <c r="S53" s="1361">
        <f t="shared" si="4"/>
        <v>20182539.734810002</v>
      </c>
      <c r="T53" s="1361">
        <f t="shared" si="5"/>
        <v>35794947.737810001</v>
      </c>
      <c r="U53" s="1361">
        <f t="shared" si="6"/>
        <v>42252711.087810002</v>
      </c>
    </row>
    <row r="54" spans="1:21" ht="15.75">
      <c r="A54" s="1353"/>
      <c r="B54" s="1352" t="s">
        <v>2495</v>
      </c>
      <c r="C54" s="1259"/>
      <c r="D54" s="1259"/>
      <c r="E54" s="1363">
        <f t="shared" ref="E54:P54" si="19">SUM(E55:E58)</f>
        <v>190559.723</v>
      </c>
      <c r="F54" s="1363">
        <f t="shared" si="19"/>
        <v>909583.81599999999</v>
      </c>
      <c r="G54" s="1363">
        <f t="shared" si="19"/>
        <v>41383.207999999999</v>
      </c>
      <c r="H54" s="1363">
        <f t="shared" si="19"/>
        <v>181826.81075</v>
      </c>
      <c r="I54" s="1363">
        <f t="shared" si="19"/>
        <v>74011.236499999999</v>
      </c>
      <c r="J54" s="1363">
        <f t="shared" si="19"/>
        <v>146827.03700000001</v>
      </c>
      <c r="K54" s="1363">
        <f t="shared" si="19"/>
        <v>309049.25599999999</v>
      </c>
      <c r="L54" s="1363">
        <f t="shared" si="19"/>
        <v>446891.83600000001</v>
      </c>
      <c r="M54" s="1363">
        <f t="shared" si="19"/>
        <v>601077.21600000001</v>
      </c>
      <c r="N54" s="1363">
        <f t="shared" si="19"/>
        <v>149707.68400000001</v>
      </c>
      <c r="O54" s="1363">
        <f t="shared" si="19"/>
        <v>1502783.2919999999</v>
      </c>
      <c r="P54" s="1363">
        <f t="shared" si="19"/>
        <v>615781.15399999998</v>
      </c>
      <c r="Q54" s="1361">
        <f t="shared" si="2"/>
        <v>5169482.2692499999</v>
      </c>
      <c r="R54" s="1361">
        <f t="shared" si="3"/>
        <v>1141526.747</v>
      </c>
      <c r="S54" s="1361">
        <f t="shared" si="4"/>
        <v>1544191.8312499998</v>
      </c>
      <c r="T54" s="1361">
        <f t="shared" si="5"/>
        <v>2901210.13925</v>
      </c>
      <c r="U54" s="1361">
        <f t="shared" si="6"/>
        <v>5169482.2692499999</v>
      </c>
    </row>
    <row r="55" spans="1:21" ht="15.75">
      <c r="A55" s="1348">
        <v>311</v>
      </c>
      <c r="B55" s="1349" t="s">
        <v>2496</v>
      </c>
      <c r="C55" s="1255"/>
      <c r="D55" s="1255"/>
      <c r="E55" s="1361">
        <f>'ANF, AF &amp; Passifs détaillés'!E7</f>
        <v>190559.723</v>
      </c>
      <c r="F55" s="1361">
        <f>'ANF, AF &amp; Passifs détaillés'!F7</f>
        <v>909583.81599999999</v>
      </c>
      <c r="G55" s="1361">
        <f>'ANF, AF &amp; Passifs détaillés'!G7</f>
        <v>41383.207999999999</v>
      </c>
      <c r="H55" s="1361">
        <f>'ANF, AF &amp; Passifs détaillés'!H7</f>
        <v>181826.81075</v>
      </c>
      <c r="I55" s="1361">
        <f>'ANF, AF &amp; Passifs détaillés'!I7</f>
        <v>74011.236499999999</v>
      </c>
      <c r="J55" s="1361">
        <f>'ANF, AF &amp; Passifs détaillés'!J7</f>
        <v>146827.03700000001</v>
      </c>
      <c r="K55" s="1361">
        <f>'ANF, AF &amp; Passifs détaillés'!K7</f>
        <v>309049.25599999999</v>
      </c>
      <c r="L55" s="1361">
        <f>'ANF, AF &amp; Passifs détaillés'!L7</f>
        <v>446891.83600000001</v>
      </c>
      <c r="M55" s="1361">
        <f>'ANF, AF &amp; Passifs détaillés'!M7</f>
        <v>601077.21600000001</v>
      </c>
      <c r="N55" s="1361">
        <f>'ANF, AF &amp; Passifs détaillés'!N7</f>
        <v>149707.68400000001</v>
      </c>
      <c r="O55" s="1361">
        <f>'ANF, AF &amp; Passifs détaillés'!O7</f>
        <v>1502783.2919999999</v>
      </c>
      <c r="P55" s="1361">
        <f>'ANF, AF &amp; Passifs détaillés'!P7</f>
        <v>615781.15399999998</v>
      </c>
      <c r="Q55" s="1361">
        <f t="shared" si="2"/>
        <v>5169482.2692499999</v>
      </c>
      <c r="R55" s="1361">
        <f t="shared" si="3"/>
        <v>1141526.747</v>
      </c>
      <c r="S55" s="1361">
        <f t="shared" si="4"/>
        <v>1544191.8312499998</v>
      </c>
      <c r="T55" s="1361">
        <f t="shared" si="5"/>
        <v>2901210.13925</v>
      </c>
      <c r="U55" s="1361">
        <f t="shared" si="6"/>
        <v>5169482.2692499999</v>
      </c>
    </row>
    <row r="56" spans="1:21" ht="15.75">
      <c r="A56" s="1348">
        <v>312</v>
      </c>
      <c r="B56" s="1349" t="s">
        <v>2497</v>
      </c>
      <c r="C56" s="1255"/>
      <c r="D56" s="1255"/>
      <c r="E56" s="1361">
        <f>'ANF, AF &amp; Passifs détaillés'!E23</f>
        <v>0</v>
      </c>
      <c r="F56" s="1361">
        <f>'ANF, AF &amp; Passifs détaillés'!F23</f>
        <v>0</v>
      </c>
      <c r="G56" s="1361">
        <f>'ANF, AF &amp; Passifs détaillés'!G23</f>
        <v>0</v>
      </c>
      <c r="H56" s="1361">
        <f>'ANF, AF &amp; Passifs détaillés'!H23</f>
        <v>0</v>
      </c>
      <c r="I56" s="1361">
        <f>'ANF, AF &amp; Passifs détaillés'!I23</f>
        <v>0</v>
      </c>
      <c r="J56" s="1361">
        <f>'ANF, AF &amp; Passifs détaillés'!J23</f>
        <v>0</v>
      </c>
      <c r="K56" s="1361">
        <f>'ANF, AF &amp; Passifs détaillés'!K23</f>
        <v>0</v>
      </c>
      <c r="L56" s="1361">
        <f>'ANF, AF &amp; Passifs détaillés'!L23</f>
        <v>0</v>
      </c>
      <c r="M56" s="1361">
        <f>'ANF, AF &amp; Passifs détaillés'!M23</f>
        <v>0</v>
      </c>
      <c r="N56" s="1361">
        <f>'ANF, AF &amp; Passifs détaillés'!N23</f>
        <v>0</v>
      </c>
      <c r="O56" s="1361">
        <f>'ANF, AF &amp; Passifs détaillés'!O23</f>
        <v>0</v>
      </c>
      <c r="P56" s="1361">
        <f>'ANF, AF &amp; Passifs détaillés'!P23</f>
        <v>0</v>
      </c>
      <c r="Q56" s="1361">
        <f t="shared" si="2"/>
        <v>0</v>
      </c>
      <c r="R56" s="1361">
        <f t="shared" si="3"/>
        <v>0</v>
      </c>
      <c r="S56" s="1361">
        <f t="shared" si="4"/>
        <v>0</v>
      </c>
      <c r="T56" s="1361">
        <f t="shared" si="5"/>
        <v>0</v>
      </c>
      <c r="U56" s="1361">
        <f t="shared" si="6"/>
        <v>0</v>
      </c>
    </row>
    <row r="57" spans="1:21" ht="15.75">
      <c r="A57" s="1348">
        <v>313</v>
      </c>
      <c r="B57" s="1349" t="s">
        <v>2498</v>
      </c>
      <c r="C57" s="1255"/>
      <c r="D57" s="1255"/>
      <c r="E57" s="1361">
        <f>'ANF, AF &amp; Passifs détaillés'!E26</f>
        <v>0</v>
      </c>
      <c r="F57" s="1361">
        <f>'ANF, AF &amp; Passifs détaillés'!F26</f>
        <v>0</v>
      </c>
      <c r="G57" s="1361">
        <f>'ANF, AF &amp; Passifs détaillés'!G26</f>
        <v>0</v>
      </c>
      <c r="H57" s="1361">
        <f>'ANF, AF &amp; Passifs détaillés'!H26</f>
        <v>0</v>
      </c>
      <c r="I57" s="1361">
        <f>'ANF, AF &amp; Passifs détaillés'!I26</f>
        <v>0</v>
      </c>
      <c r="J57" s="1361">
        <f>'ANF, AF &amp; Passifs détaillés'!J26</f>
        <v>0</v>
      </c>
      <c r="K57" s="1361">
        <f>'ANF, AF &amp; Passifs détaillés'!K26</f>
        <v>0</v>
      </c>
      <c r="L57" s="1361">
        <f>'ANF, AF &amp; Passifs détaillés'!L26</f>
        <v>0</v>
      </c>
      <c r="M57" s="1361">
        <f>'ANF, AF &amp; Passifs détaillés'!M26</f>
        <v>0</v>
      </c>
      <c r="N57" s="1361">
        <f>'ANF, AF &amp; Passifs détaillés'!N26</f>
        <v>0</v>
      </c>
      <c r="O57" s="1361">
        <f>'ANF, AF &amp; Passifs détaillés'!O26</f>
        <v>0</v>
      </c>
      <c r="P57" s="1361">
        <f>'ANF, AF &amp; Passifs détaillés'!P26</f>
        <v>0</v>
      </c>
      <c r="Q57" s="1361">
        <f t="shared" si="2"/>
        <v>0</v>
      </c>
      <c r="R57" s="1361">
        <f t="shared" si="3"/>
        <v>0</v>
      </c>
      <c r="S57" s="1361">
        <f t="shared" si="4"/>
        <v>0</v>
      </c>
      <c r="T57" s="1361">
        <f t="shared" si="5"/>
        <v>0</v>
      </c>
      <c r="U57" s="1361">
        <f t="shared" si="6"/>
        <v>0</v>
      </c>
    </row>
    <row r="58" spans="1:21" ht="15.75">
      <c r="A58" s="1348">
        <v>314</v>
      </c>
      <c r="B58" s="1349" t="s">
        <v>2499</v>
      </c>
      <c r="C58" s="1255"/>
      <c r="D58" s="1255"/>
      <c r="E58" s="1361">
        <f>'ANF, AF &amp; Passifs détaillés'!E29</f>
        <v>0</v>
      </c>
      <c r="F58" s="1361">
        <f>'ANF, AF &amp; Passifs détaillés'!F29</f>
        <v>0</v>
      </c>
      <c r="G58" s="1361">
        <f>'ANF, AF &amp; Passifs détaillés'!G29</f>
        <v>0</v>
      </c>
      <c r="H58" s="1361">
        <f>'ANF, AF &amp; Passifs détaillés'!H29</f>
        <v>0</v>
      </c>
      <c r="I58" s="1361">
        <f>'ANF, AF &amp; Passifs détaillés'!I29</f>
        <v>0</v>
      </c>
      <c r="J58" s="1361">
        <f>'ANF, AF &amp; Passifs détaillés'!J29</f>
        <v>0</v>
      </c>
      <c r="K58" s="1361">
        <f>'ANF, AF &amp; Passifs détaillés'!K29</f>
        <v>0</v>
      </c>
      <c r="L58" s="1361">
        <f>'ANF, AF &amp; Passifs détaillés'!L29</f>
        <v>0</v>
      </c>
      <c r="M58" s="1361">
        <f>'ANF, AF &amp; Passifs détaillés'!M29</f>
        <v>0</v>
      </c>
      <c r="N58" s="1361">
        <f>'ANF, AF &amp; Passifs détaillés'!N29</f>
        <v>0</v>
      </c>
      <c r="O58" s="1361">
        <f>'ANF, AF &amp; Passifs détaillés'!O29</f>
        <v>0</v>
      </c>
      <c r="P58" s="1361">
        <f>'ANF, AF &amp; Passifs détaillés'!P29</f>
        <v>0</v>
      </c>
      <c r="Q58" s="1361">
        <f t="shared" si="2"/>
        <v>0</v>
      </c>
      <c r="R58" s="1361">
        <f t="shared" si="3"/>
        <v>0</v>
      </c>
      <c r="S58" s="1361">
        <f t="shared" si="4"/>
        <v>0</v>
      </c>
      <c r="T58" s="1361">
        <f t="shared" si="5"/>
        <v>0</v>
      </c>
      <c r="U58" s="1361">
        <f t="shared" si="6"/>
        <v>0</v>
      </c>
    </row>
    <row r="59" spans="1:21" ht="15.75">
      <c r="A59" s="1348"/>
      <c r="B59" s="1352" t="s">
        <v>2500</v>
      </c>
      <c r="C59" s="1259"/>
      <c r="D59" s="1259"/>
      <c r="E59" s="1363">
        <f t="shared" ref="E59:P59" si="20">SUM(E60:E63)</f>
        <v>0</v>
      </c>
      <c r="F59" s="1363">
        <f t="shared" si="20"/>
        <v>0</v>
      </c>
      <c r="G59" s="1363">
        <f t="shared" si="20"/>
        <v>9900828.675999999</v>
      </c>
      <c r="H59" s="1363">
        <f t="shared" si="20"/>
        <v>0</v>
      </c>
      <c r="I59" s="1363">
        <f t="shared" si="20"/>
        <v>0</v>
      </c>
      <c r="J59" s="1363">
        <f t="shared" si="20"/>
        <v>8737519.2275599986</v>
      </c>
      <c r="K59" s="1363">
        <f t="shared" si="20"/>
        <v>0</v>
      </c>
      <c r="L59" s="1363">
        <f t="shared" si="20"/>
        <v>0</v>
      </c>
      <c r="M59" s="1363">
        <f t="shared" si="20"/>
        <v>14255389.695</v>
      </c>
      <c r="N59" s="1363">
        <f t="shared" si="20"/>
        <v>0</v>
      </c>
      <c r="O59" s="1363">
        <f t="shared" si="20"/>
        <v>0</v>
      </c>
      <c r="P59" s="1363">
        <f t="shared" si="20"/>
        <v>4189491.2199999997</v>
      </c>
      <c r="Q59" s="1361">
        <f t="shared" si="2"/>
        <v>37083228.818559997</v>
      </c>
      <c r="R59" s="1361">
        <f t="shared" si="3"/>
        <v>9900828.675999999</v>
      </c>
      <c r="S59" s="1361">
        <f t="shared" si="4"/>
        <v>18638347.903559998</v>
      </c>
      <c r="T59" s="1361">
        <f t="shared" si="5"/>
        <v>32893737.598559998</v>
      </c>
      <c r="U59" s="1361">
        <f t="shared" si="6"/>
        <v>37083228.818559997</v>
      </c>
    </row>
    <row r="60" spans="1:21" ht="15.75">
      <c r="A60" s="1348"/>
      <c r="B60" s="1349" t="s">
        <v>2496</v>
      </c>
      <c r="C60" s="1255"/>
      <c r="D60" s="1255"/>
      <c r="E60" s="1361">
        <f>'ANF, AF &amp; Passifs détaillés'!E48</f>
        <v>0</v>
      </c>
      <c r="F60" s="1361">
        <f>'ANF, AF &amp; Passifs détaillés'!F48</f>
        <v>0</v>
      </c>
      <c r="G60" s="1361">
        <f>'ANF, AF &amp; Passifs détaillés'!G48</f>
        <v>9900828.675999999</v>
      </c>
      <c r="H60" s="1361">
        <f>'ANF, AF &amp; Passifs détaillés'!H48</f>
        <v>0</v>
      </c>
      <c r="I60" s="1361">
        <f>'ANF, AF &amp; Passifs détaillés'!I48</f>
        <v>0</v>
      </c>
      <c r="J60" s="1361">
        <f>'ANF, AF &amp; Passifs détaillés'!J48</f>
        <v>8737519.2275599986</v>
      </c>
      <c r="K60" s="1361">
        <f>'ANF, AF &amp; Passifs détaillés'!K48</f>
        <v>0</v>
      </c>
      <c r="L60" s="1361">
        <f>'ANF, AF &amp; Passifs détaillés'!L48</f>
        <v>0</v>
      </c>
      <c r="M60" s="1361">
        <f>'ANF, AF &amp; Passifs détaillés'!M48</f>
        <v>14255389.695</v>
      </c>
      <c r="N60" s="1361">
        <f>'ANF, AF &amp; Passifs détaillés'!N48</f>
        <v>0</v>
      </c>
      <c r="O60" s="1361">
        <f>'ANF, AF &amp; Passifs détaillés'!O48</f>
        <v>0</v>
      </c>
      <c r="P60" s="1361">
        <f>'ANF, AF &amp; Passifs détaillés'!P48</f>
        <v>4189491.2199999997</v>
      </c>
      <c r="Q60" s="1361">
        <f t="shared" si="2"/>
        <v>37083228.818559997</v>
      </c>
      <c r="R60" s="1361">
        <f t="shared" si="3"/>
        <v>9900828.675999999</v>
      </c>
      <c r="S60" s="1361">
        <f t="shared" si="4"/>
        <v>18638347.903559998</v>
      </c>
      <c r="T60" s="1361">
        <f t="shared" si="5"/>
        <v>32893737.598559998</v>
      </c>
      <c r="U60" s="1361">
        <f t="shared" si="6"/>
        <v>37083228.818559997</v>
      </c>
    </row>
    <row r="61" spans="1:21" ht="15.75">
      <c r="A61" s="1348"/>
      <c r="B61" s="1349" t="s">
        <v>2497</v>
      </c>
      <c r="C61" s="1255"/>
      <c r="D61" s="1255"/>
      <c r="E61" s="1361">
        <f>'ANF, AF &amp; Passifs détaillés'!E52</f>
        <v>0</v>
      </c>
      <c r="F61" s="1361">
        <f>'ANF, AF &amp; Passifs détaillés'!F52</f>
        <v>0</v>
      </c>
      <c r="G61" s="1361">
        <f>'ANF, AF &amp; Passifs détaillés'!G52</f>
        <v>0</v>
      </c>
      <c r="H61" s="1361">
        <f>'ANF, AF &amp; Passifs détaillés'!H52</f>
        <v>0</v>
      </c>
      <c r="I61" s="1361">
        <f>'ANF, AF &amp; Passifs détaillés'!I52</f>
        <v>0</v>
      </c>
      <c r="J61" s="1361">
        <f>'ANF, AF &amp; Passifs détaillés'!J52</f>
        <v>0</v>
      </c>
      <c r="K61" s="1361">
        <f>'ANF, AF &amp; Passifs détaillés'!K52</f>
        <v>0</v>
      </c>
      <c r="L61" s="1361">
        <f>'ANF, AF &amp; Passifs détaillés'!L52</f>
        <v>0</v>
      </c>
      <c r="M61" s="1361">
        <f>'ANF, AF &amp; Passifs détaillés'!M52</f>
        <v>0</v>
      </c>
      <c r="N61" s="1361">
        <f>'ANF, AF &amp; Passifs détaillés'!N52</f>
        <v>0</v>
      </c>
      <c r="O61" s="1361">
        <f>'ANF, AF &amp; Passifs détaillés'!O52</f>
        <v>0</v>
      </c>
      <c r="P61" s="1361">
        <f>'ANF, AF &amp; Passifs détaillés'!P52</f>
        <v>0</v>
      </c>
      <c r="Q61" s="1361">
        <f t="shared" si="2"/>
        <v>0</v>
      </c>
      <c r="R61" s="1361">
        <f t="shared" si="3"/>
        <v>0</v>
      </c>
      <c r="S61" s="1361">
        <f t="shared" si="4"/>
        <v>0</v>
      </c>
      <c r="T61" s="1361">
        <f t="shared" si="5"/>
        <v>0</v>
      </c>
      <c r="U61" s="1361">
        <f t="shared" si="6"/>
        <v>0</v>
      </c>
    </row>
    <row r="62" spans="1:21" ht="15.75">
      <c r="A62" s="1348"/>
      <c r="B62" s="1349" t="s">
        <v>2498</v>
      </c>
      <c r="C62" s="1255"/>
      <c r="D62" s="1255"/>
      <c r="E62" s="1361">
        <f>'ANF, AF &amp; Passifs détaillés'!E53</f>
        <v>0</v>
      </c>
      <c r="F62" s="1361">
        <f>'ANF, AF &amp; Passifs détaillés'!F53</f>
        <v>0</v>
      </c>
      <c r="G62" s="1361">
        <f>'ANF, AF &amp; Passifs détaillés'!G53</f>
        <v>0</v>
      </c>
      <c r="H62" s="1361">
        <f>'ANF, AF &amp; Passifs détaillés'!H53</f>
        <v>0</v>
      </c>
      <c r="I62" s="1361">
        <f>'ANF, AF &amp; Passifs détaillés'!I53</f>
        <v>0</v>
      </c>
      <c r="J62" s="1361">
        <f>'ANF, AF &amp; Passifs détaillés'!J53</f>
        <v>0</v>
      </c>
      <c r="K62" s="1361">
        <f>'ANF, AF &amp; Passifs détaillés'!K53</f>
        <v>0</v>
      </c>
      <c r="L62" s="1361">
        <f>'ANF, AF &amp; Passifs détaillés'!L53</f>
        <v>0</v>
      </c>
      <c r="M62" s="1361">
        <f>'ANF, AF &amp; Passifs détaillés'!M53</f>
        <v>0</v>
      </c>
      <c r="N62" s="1361">
        <f>'ANF, AF &amp; Passifs détaillés'!N53</f>
        <v>0</v>
      </c>
      <c r="O62" s="1361">
        <f>'ANF, AF &amp; Passifs détaillés'!O53</f>
        <v>0</v>
      </c>
      <c r="P62" s="1361">
        <f>'ANF, AF &amp; Passifs détaillés'!P53</f>
        <v>0</v>
      </c>
      <c r="Q62" s="1361">
        <f t="shared" si="2"/>
        <v>0</v>
      </c>
      <c r="R62" s="1361">
        <f t="shared" si="3"/>
        <v>0</v>
      </c>
      <c r="S62" s="1361">
        <f t="shared" si="4"/>
        <v>0</v>
      </c>
      <c r="T62" s="1361">
        <f t="shared" si="5"/>
        <v>0</v>
      </c>
      <c r="U62" s="1361">
        <f t="shared" si="6"/>
        <v>0</v>
      </c>
    </row>
    <row r="63" spans="1:21" ht="15.75">
      <c r="A63" s="1348"/>
      <c r="B63" s="1349" t="s">
        <v>2499</v>
      </c>
      <c r="C63" s="1255"/>
      <c r="D63" s="1255"/>
      <c r="E63" s="1361">
        <f>'ANF, AF &amp; Passifs détaillés'!E54</f>
        <v>0</v>
      </c>
      <c r="F63" s="1361">
        <f>'ANF, AF &amp; Passifs détaillés'!F54</f>
        <v>0</v>
      </c>
      <c r="G63" s="1361">
        <f>'ANF, AF &amp; Passifs détaillés'!G54</f>
        <v>0</v>
      </c>
      <c r="H63" s="1361">
        <f>'ANF, AF &amp; Passifs détaillés'!H54</f>
        <v>0</v>
      </c>
      <c r="I63" s="1361">
        <f>'ANF, AF &amp; Passifs détaillés'!I54</f>
        <v>0</v>
      </c>
      <c r="J63" s="1361">
        <f>'ANF, AF &amp; Passifs détaillés'!J54</f>
        <v>0</v>
      </c>
      <c r="K63" s="1361">
        <f>'ANF, AF &amp; Passifs détaillés'!K54</f>
        <v>0</v>
      </c>
      <c r="L63" s="1361">
        <f>'ANF, AF &amp; Passifs détaillés'!L54</f>
        <v>0</v>
      </c>
      <c r="M63" s="1361">
        <f>'ANF, AF &amp; Passifs détaillés'!M54</f>
        <v>0</v>
      </c>
      <c r="N63" s="1361">
        <f>'ANF, AF &amp; Passifs détaillés'!N54</f>
        <v>0</v>
      </c>
      <c r="O63" s="1361">
        <f>'ANF, AF &amp; Passifs détaillés'!O54</f>
        <v>0</v>
      </c>
      <c r="P63" s="1361">
        <f>'ANF, AF &amp; Passifs détaillés'!P54</f>
        <v>0</v>
      </c>
      <c r="Q63" s="1361">
        <f t="shared" si="2"/>
        <v>0</v>
      </c>
      <c r="R63" s="1361">
        <f t="shared" si="3"/>
        <v>0</v>
      </c>
      <c r="S63" s="1361">
        <f t="shared" si="4"/>
        <v>0</v>
      </c>
      <c r="T63" s="1361">
        <f t="shared" si="5"/>
        <v>0</v>
      </c>
      <c r="U63" s="1361">
        <f t="shared" si="6"/>
        <v>0</v>
      </c>
    </row>
    <row r="64" spans="1:21" ht="15.75">
      <c r="A64" s="1348"/>
      <c r="B64" s="1354" t="s">
        <v>2501</v>
      </c>
      <c r="C64" s="1261"/>
      <c r="D64" s="1261"/>
      <c r="E64" s="1262">
        <f>E51-E53</f>
        <v>-1478176.4220196807</v>
      </c>
      <c r="F64" s="1262">
        <f t="shared" ref="F64:P64" si="21">F51-F53</f>
        <v>-4689276.2553126486</v>
      </c>
      <c r="G64" s="1262">
        <f t="shared" si="21"/>
        <v>-9035517.7029564902</v>
      </c>
      <c r="H64" s="1262">
        <f t="shared" si="21"/>
        <v>-5356066.7281238846</v>
      </c>
      <c r="I64" s="1262">
        <f t="shared" si="21"/>
        <v>2333948.3168350006</v>
      </c>
      <c r="J64" s="1262">
        <f t="shared" si="21"/>
        <v>487367.24235557951</v>
      </c>
      <c r="K64" s="1262">
        <f t="shared" si="21"/>
        <v>2453433.9629520001</v>
      </c>
      <c r="L64" s="1262">
        <f t="shared" si="21"/>
        <v>-3934555.1249600006</v>
      </c>
      <c r="M64" s="1262">
        <f t="shared" si="21"/>
        <v>-12838679.669085104</v>
      </c>
      <c r="N64" s="1262">
        <f t="shared" si="21"/>
        <v>2927549.6463849996</v>
      </c>
      <c r="O64" s="1262">
        <f t="shared" si="21"/>
        <v>-3587362.5515251993</v>
      </c>
      <c r="P64" s="1262">
        <f t="shared" si="21"/>
        <v>-3104863.072951939</v>
      </c>
      <c r="Q64" s="1262">
        <f t="shared" si="2"/>
        <v>-35822198.358407371</v>
      </c>
      <c r="R64" s="1262">
        <f t="shared" si="3"/>
        <v>-15202970.380288821</v>
      </c>
      <c r="S64" s="1262">
        <f t="shared" si="4"/>
        <v>-17737721.549222127</v>
      </c>
      <c r="T64" s="1262">
        <f t="shared" si="5"/>
        <v>-32057522.380315233</v>
      </c>
      <c r="U64" s="1262">
        <f t="shared" si="6"/>
        <v>-35822198.358407371</v>
      </c>
    </row>
    <row r="65" spans="1:21" ht="15.75">
      <c r="A65" s="1348"/>
      <c r="B65" s="1355" t="s">
        <v>2502</v>
      </c>
      <c r="C65" s="1263"/>
      <c r="D65" s="1263"/>
      <c r="E65" s="1262">
        <f>E67-E85</f>
        <v>-4588628.6645874819</v>
      </c>
      <c r="F65" s="1262">
        <f t="shared" ref="F65:P65" si="22">F67-F85</f>
        <v>-3646289.8808497684</v>
      </c>
      <c r="G65" s="1262">
        <f t="shared" si="22"/>
        <v>-7302603.2117963918</v>
      </c>
      <c r="H65" s="1262">
        <f t="shared" si="22"/>
        <v>-3981210.3672386808</v>
      </c>
      <c r="I65" s="1262">
        <f t="shared" si="22"/>
        <v>26017966.118999999</v>
      </c>
      <c r="J65" s="1262">
        <f t="shared" si="22"/>
        <v>149721.2463255222</v>
      </c>
      <c r="K65" s="1262">
        <f t="shared" si="22"/>
        <v>290555.32700000459</v>
      </c>
      <c r="L65" s="1262">
        <f t="shared" si="22"/>
        <v>-848720.59999999614</v>
      </c>
      <c r="M65" s="1262">
        <f t="shared" si="22"/>
        <v>-12131993.746999994</v>
      </c>
      <c r="N65" s="1262">
        <f t="shared" si="22"/>
        <v>-3430639.4091474912</v>
      </c>
      <c r="O65" s="1262">
        <f t="shared" si="22"/>
        <v>-2333340.7348300125</v>
      </c>
      <c r="P65" s="1262">
        <f t="shared" si="22"/>
        <v>-20913877.812999997</v>
      </c>
      <c r="Q65" s="1262">
        <f t="shared" si="2"/>
        <v>-32719061.736124288</v>
      </c>
      <c r="R65" s="1262">
        <f t="shared" si="3"/>
        <v>-15537521.757233642</v>
      </c>
      <c r="S65" s="1262">
        <f t="shared" si="4"/>
        <v>6648955.2408531979</v>
      </c>
      <c r="T65" s="1262">
        <f t="shared" si="5"/>
        <v>-6041203.7791467877</v>
      </c>
      <c r="U65" s="1262">
        <f t="shared" si="6"/>
        <v>-32719061.736124288</v>
      </c>
    </row>
    <row r="66" spans="1:21" ht="15.75">
      <c r="A66" s="1348"/>
      <c r="B66" s="1352" t="s">
        <v>2503</v>
      </c>
      <c r="C66" s="1259"/>
      <c r="D66" s="1259"/>
      <c r="E66" s="1361"/>
      <c r="F66" s="1361"/>
      <c r="G66" s="1361"/>
      <c r="H66" s="1361"/>
      <c r="I66" s="1361"/>
      <c r="J66" s="1361"/>
      <c r="K66" s="1361"/>
      <c r="L66" s="1361"/>
      <c r="M66" s="1361"/>
      <c r="N66" s="1361"/>
      <c r="O66" s="1361"/>
      <c r="P66" s="1361"/>
      <c r="Q66" s="1361">
        <f t="shared" si="2"/>
        <v>0</v>
      </c>
      <c r="R66" s="1361">
        <f t="shared" si="3"/>
        <v>0</v>
      </c>
      <c r="S66" s="1361">
        <f t="shared" si="4"/>
        <v>0</v>
      </c>
      <c r="T66" s="1361">
        <f t="shared" si="5"/>
        <v>0</v>
      </c>
      <c r="U66" s="1361">
        <f t="shared" si="6"/>
        <v>0</v>
      </c>
    </row>
    <row r="67" spans="1:21" ht="15.75">
      <c r="A67" s="1353">
        <v>32</v>
      </c>
      <c r="B67" s="1352" t="s">
        <v>2504</v>
      </c>
      <c r="C67" s="1259"/>
      <c r="D67" s="1259"/>
      <c r="E67" s="1361">
        <f t="shared" ref="E67:P67" si="23">E68+E76</f>
        <v>-5577182.1830000002</v>
      </c>
      <c r="F67" s="1361">
        <f t="shared" si="23"/>
        <v>-437619.47599999997</v>
      </c>
      <c r="G67" s="1361">
        <f t="shared" si="23"/>
        <v>5769228.5269999988</v>
      </c>
      <c r="H67" s="1361">
        <f t="shared" si="23"/>
        <v>-120525.77700000032</v>
      </c>
      <c r="I67" s="1361">
        <f t="shared" si="23"/>
        <v>324554.97400000098</v>
      </c>
      <c r="J67" s="1361">
        <f t="shared" si="23"/>
        <v>-3939517.6270000003</v>
      </c>
      <c r="K67" s="1361">
        <f t="shared" si="23"/>
        <v>-1035736.2220000002</v>
      </c>
      <c r="L67" s="1361">
        <f t="shared" si="23"/>
        <v>-1691140.3550000002</v>
      </c>
      <c r="M67" s="1361">
        <f t="shared" si="23"/>
        <v>3155982.7629999998</v>
      </c>
      <c r="N67" s="1361">
        <f t="shared" si="23"/>
        <v>2374518.0310000009</v>
      </c>
      <c r="O67" s="1361">
        <f t="shared" si="23"/>
        <v>-1418667.1180000005</v>
      </c>
      <c r="P67" s="1361">
        <f t="shared" si="23"/>
        <v>-57152.683000002267</v>
      </c>
      <c r="Q67" s="1361">
        <f t="shared" si="2"/>
        <v>-2653257.1460000034</v>
      </c>
      <c r="R67" s="1361">
        <f t="shared" si="3"/>
        <v>-245573.13200000115</v>
      </c>
      <c r="S67" s="1361">
        <f t="shared" si="4"/>
        <v>-3981061.5620000008</v>
      </c>
      <c r="T67" s="1361">
        <f t="shared" si="5"/>
        <v>-3551955.3760000016</v>
      </c>
      <c r="U67" s="1361">
        <f t="shared" si="6"/>
        <v>-2653257.1460000034</v>
      </c>
    </row>
    <row r="68" spans="1:21" ht="15.75">
      <c r="A68" s="1351">
        <v>321</v>
      </c>
      <c r="B68" s="1350" t="s">
        <v>2505</v>
      </c>
      <c r="C68" s="1257"/>
      <c r="D68" s="1257"/>
      <c r="E68" s="1363">
        <f t="shared" ref="E68:P68" si="24">SUM(E69:E75)</f>
        <v>-5577182.1830000002</v>
      </c>
      <c r="F68" s="1363">
        <f t="shared" si="24"/>
        <v>-437619.47599999997</v>
      </c>
      <c r="G68" s="1363">
        <f t="shared" si="24"/>
        <v>5769228.5269999988</v>
      </c>
      <c r="H68" s="1363">
        <f t="shared" si="24"/>
        <v>-120525.77700000032</v>
      </c>
      <c r="I68" s="1363">
        <f t="shared" si="24"/>
        <v>324554.97400000098</v>
      </c>
      <c r="J68" s="1363">
        <f t="shared" si="24"/>
        <v>-3939517.6270000003</v>
      </c>
      <c r="K68" s="1363">
        <f t="shared" si="24"/>
        <v>-1035736.2220000002</v>
      </c>
      <c r="L68" s="1363">
        <f t="shared" si="24"/>
        <v>-1691140.3550000002</v>
      </c>
      <c r="M68" s="1363">
        <f t="shared" si="24"/>
        <v>3155982.7629999998</v>
      </c>
      <c r="N68" s="1363">
        <f t="shared" si="24"/>
        <v>2374518.0310000009</v>
      </c>
      <c r="O68" s="1363">
        <f t="shared" si="24"/>
        <v>-1418667.1180000005</v>
      </c>
      <c r="P68" s="1363">
        <f t="shared" si="24"/>
        <v>-57152.683000002267</v>
      </c>
      <c r="Q68" s="1361">
        <f t="shared" si="2"/>
        <v>-2653257.1460000034</v>
      </c>
      <c r="R68" s="1361">
        <f t="shared" si="3"/>
        <v>-245573.13200000115</v>
      </c>
      <c r="S68" s="1361">
        <f t="shared" si="4"/>
        <v>-3981061.5620000008</v>
      </c>
      <c r="T68" s="1361">
        <f t="shared" si="5"/>
        <v>-3551955.3760000016</v>
      </c>
      <c r="U68" s="1361">
        <f t="shared" si="6"/>
        <v>-2653257.1460000034</v>
      </c>
    </row>
    <row r="69" spans="1:21" ht="15.75">
      <c r="A69" s="1348">
        <v>3212</v>
      </c>
      <c r="B69" s="1349" t="s">
        <v>2506</v>
      </c>
      <c r="C69" s="1255"/>
      <c r="D69" s="1255"/>
      <c r="E69" s="1361">
        <f>'ANF, AF &amp; Passifs détaillés'!E65</f>
        <v>-5577182.1830000002</v>
      </c>
      <c r="F69" s="1361">
        <f>'ANF, AF &amp; Passifs détaillés'!F65</f>
        <v>-437619.47599999997</v>
      </c>
      <c r="G69" s="1361">
        <f>'ANF, AF &amp; Passifs détaillés'!G65</f>
        <v>5769228.5269999988</v>
      </c>
      <c r="H69" s="1361">
        <f>'ANF, AF &amp; Passifs détaillés'!H65</f>
        <v>-120525.77700000032</v>
      </c>
      <c r="I69" s="1361">
        <f>'ANF, AF &amp; Passifs détaillés'!I65</f>
        <v>324554.97400000098</v>
      </c>
      <c r="J69" s="1361">
        <f>'ANF, AF &amp; Passifs détaillés'!J65</f>
        <v>-3939517.6270000003</v>
      </c>
      <c r="K69" s="1361">
        <f>'ANF, AF &amp; Passifs détaillés'!K65</f>
        <v>-1035736.2220000002</v>
      </c>
      <c r="L69" s="1361">
        <f>'ANF, AF &amp; Passifs détaillés'!L65</f>
        <v>-1691140.3550000002</v>
      </c>
      <c r="M69" s="1361">
        <f>'ANF, AF &amp; Passifs détaillés'!M65</f>
        <v>3155982.7629999998</v>
      </c>
      <c r="N69" s="1361">
        <f>'ANF, AF &amp; Passifs détaillés'!N65</f>
        <v>2374518.0310000009</v>
      </c>
      <c r="O69" s="1361">
        <f>'ANF, AF &amp; Passifs détaillés'!O65</f>
        <v>-1418667.1180000005</v>
      </c>
      <c r="P69" s="1361">
        <f>'ANF, AF &amp; Passifs détaillés'!P65</f>
        <v>-57152.683000002267</v>
      </c>
      <c r="Q69" s="1361">
        <f t="shared" si="2"/>
        <v>-2653257.1460000034</v>
      </c>
      <c r="R69" s="1361">
        <f t="shared" si="3"/>
        <v>-245573.13200000115</v>
      </c>
      <c r="S69" s="1361">
        <f t="shared" si="4"/>
        <v>-3981061.5620000008</v>
      </c>
      <c r="T69" s="1361">
        <f t="shared" si="5"/>
        <v>-3551955.3760000016</v>
      </c>
      <c r="U69" s="1361">
        <f t="shared" si="6"/>
        <v>-2653257.1460000034</v>
      </c>
    </row>
    <row r="70" spans="1:21" ht="15.75">
      <c r="A70" s="1348">
        <v>3213</v>
      </c>
      <c r="B70" s="1349" t="s">
        <v>2507</v>
      </c>
      <c r="C70" s="1255"/>
      <c r="D70" s="1255"/>
      <c r="E70" s="1361">
        <f>'ANF, AF &amp; Passifs détaillés'!E66</f>
        <v>0</v>
      </c>
      <c r="F70" s="1361">
        <f>'ANF, AF &amp; Passifs détaillés'!F66</f>
        <v>0</v>
      </c>
      <c r="G70" s="1361">
        <f>'ANF, AF &amp; Passifs détaillés'!G66</f>
        <v>0</v>
      </c>
      <c r="H70" s="1361">
        <f>'ANF, AF &amp; Passifs détaillés'!H66</f>
        <v>0</v>
      </c>
      <c r="I70" s="1361">
        <f>'ANF, AF &amp; Passifs détaillés'!I66</f>
        <v>0</v>
      </c>
      <c r="J70" s="1361">
        <f>'ANF, AF &amp; Passifs détaillés'!J66</f>
        <v>0</v>
      </c>
      <c r="K70" s="1361">
        <f>'ANF, AF &amp; Passifs détaillés'!K66</f>
        <v>0</v>
      </c>
      <c r="L70" s="1361">
        <f>'ANF, AF &amp; Passifs détaillés'!L66</f>
        <v>0</v>
      </c>
      <c r="M70" s="1361">
        <f>'ANF, AF &amp; Passifs détaillés'!M66</f>
        <v>0</v>
      </c>
      <c r="N70" s="1361">
        <f>'ANF, AF &amp; Passifs détaillés'!N66</f>
        <v>0</v>
      </c>
      <c r="O70" s="1361">
        <f>'ANF, AF &amp; Passifs détaillés'!O66</f>
        <v>0</v>
      </c>
      <c r="P70" s="1361">
        <f>'ANF, AF &amp; Passifs détaillés'!P66</f>
        <v>0</v>
      </c>
      <c r="Q70" s="1361">
        <f t="shared" si="2"/>
        <v>0</v>
      </c>
      <c r="R70" s="1361">
        <f t="shared" si="3"/>
        <v>0</v>
      </c>
      <c r="S70" s="1361">
        <f t="shared" si="4"/>
        <v>0</v>
      </c>
      <c r="T70" s="1361">
        <f t="shared" si="5"/>
        <v>0</v>
      </c>
      <c r="U70" s="1361">
        <f t="shared" si="6"/>
        <v>0</v>
      </c>
    </row>
    <row r="71" spans="1:21" ht="15.75">
      <c r="A71" s="1348">
        <v>3214</v>
      </c>
      <c r="B71" s="1349" t="s">
        <v>2508</v>
      </c>
      <c r="C71" s="1255"/>
      <c r="D71" s="1255"/>
      <c r="E71" s="1361">
        <f>'ANF, AF &amp; Passifs détaillés'!E67</f>
        <v>0</v>
      </c>
      <c r="F71" s="1361">
        <f>'ANF, AF &amp; Passifs détaillés'!F67</f>
        <v>0</v>
      </c>
      <c r="G71" s="1361">
        <f>'ANF, AF &amp; Passifs détaillés'!G67</f>
        <v>0</v>
      </c>
      <c r="H71" s="1361">
        <f>'ANF, AF &amp; Passifs détaillés'!H67</f>
        <v>0</v>
      </c>
      <c r="I71" s="1361">
        <f>'ANF, AF &amp; Passifs détaillés'!I67</f>
        <v>0</v>
      </c>
      <c r="J71" s="1361">
        <f>'ANF, AF &amp; Passifs détaillés'!J67</f>
        <v>0</v>
      </c>
      <c r="K71" s="1361">
        <f>'ANF, AF &amp; Passifs détaillés'!K67</f>
        <v>0</v>
      </c>
      <c r="L71" s="1361">
        <f>'ANF, AF &amp; Passifs détaillés'!L67</f>
        <v>0</v>
      </c>
      <c r="M71" s="1361">
        <f>'ANF, AF &amp; Passifs détaillés'!M67</f>
        <v>0</v>
      </c>
      <c r="N71" s="1361">
        <f>'ANF, AF &amp; Passifs détaillés'!N67</f>
        <v>0</v>
      </c>
      <c r="O71" s="1361">
        <f>'ANF, AF &amp; Passifs détaillés'!O67</f>
        <v>0</v>
      </c>
      <c r="P71" s="1361">
        <f>'ANF, AF &amp; Passifs détaillés'!P67</f>
        <v>0</v>
      </c>
      <c r="Q71" s="1361">
        <f t="shared" si="2"/>
        <v>0</v>
      </c>
      <c r="R71" s="1361">
        <f t="shared" si="3"/>
        <v>0</v>
      </c>
      <c r="S71" s="1361">
        <f t="shared" si="4"/>
        <v>0</v>
      </c>
      <c r="T71" s="1361">
        <f t="shared" si="5"/>
        <v>0</v>
      </c>
      <c r="U71" s="1361">
        <f t="shared" si="6"/>
        <v>0</v>
      </c>
    </row>
    <row r="72" spans="1:21" ht="15.75">
      <c r="A72" s="1348">
        <v>3215</v>
      </c>
      <c r="B72" s="1349" t="s">
        <v>2509</v>
      </c>
      <c r="C72" s="1255"/>
      <c r="D72" s="1255"/>
      <c r="E72" s="1361">
        <f>'ANF, AF &amp; Passifs détaillés'!E68</f>
        <v>0</v>
      </c>
      <c r="F72" s="1361">
        <f>'ANF, AF &amp; Passifs détaillés'!F68</f>
        <v>0</v>
      </c>
      <c r="G72" s="1361">
        <f>'ANF, AF &amp; Passifs détaillés'!G68</f>
        <v>0</v>
      </c>
      <c r="H72" s="1361">
        <f>'ANF, AF &amp; Passifs détaillés'!H68</f>
        <v>0</v>
      </c>
      <c r="I72" s="1361">
        <f>'ANF, AF &amp; Passifs détaillés'!I68</f>
        <v>0</v>
      </c>
      <c r="J72" s="1361">
        <f>'ANF, AF &amp; Passifs détaillés'!J68</f>
        <v>0</v>
      </c>
      <c r="K72" s="1361">
        <f>'ANF, AF &amp; Passifs détaillés'!K68</f>
        <v>0</v>
      </c>
      <c r="L72" s="1361">
        <f>'ANF, AF &amp; Passifs détaillés'!L68</f>
        <v>0</v>
      </c>
      <c r="M72" s="1361">
        <f>'ANF, AF &amp; Passifs détaillés'!M68</f>
        <v>0</v>
      </c>
      <c r="N72" s="1361">
        <f>'ANF, AF &amp; Passifs détaillés'!N68</f>
        <v>0</v>
      </c>
      <c r="O72" s="1361">
        <f>'ANF, AF &amp; Passifs détaillés'!O68</f>
        <v>0</v>
      </c>
      <c r="P72" s="1361">
        <f>'ANF, AF &amp; Passifs détaillés'!P68</f>
        <v>0</v>
      </c>
      <c r="Q72" s="1361">
        <f t="shared" ref="Q72:Q102" si="25">SUM(E72:P72)</f>
        <v>0</v>
      </c>
      <c r="R72" s="1361">
        <f t="shared" ref="R72:R102" si="26">SUM(E72:G72)</f>
        <v>0</v>
      </c>
      <c r="S72" s="1361">
        <f t="shared" ref="S72:S102" si="27">SUM(E72:J72)</f>
        <v>0</v>
      </c>
      <c r="T72" s="1361">
        <f t="shared" ref="T72:T102" si="28">SUM(E72:M72)</f>
        <v>0</v>
      </c>
      <c r="U72" s="1361">
        <f t="shared" ref="U72:U102" si="29">Q72</f>
        <v>0</v>
      </c>
    </row>
    <row r="73" spans="1:21" ht="15.75">
      <c r="A73" s="1348">
        <v>3215</v>
      </c>
      <c r="B73" s="1349" t="s">
        <v>2510</v>
      </c>
      <c r="C73" s="1255"/>
      <c r="D73" s="1255"/>
      <c r="E73" s="1361">
        <f>'ANF, AF &amp; Passifs détaillés'!E69</f>
        <v>0</v>
      </c>
      <c r="F73" s="1361">
        <f>'ANF, AF &amp; Passifs détaillés'!F69</f>
        <v>0</v>
      </c>
      <c r="G73" s="1361">
        <f>'ANF, AF &amp; Passifs détaillés'!G69</f>
        <v>0</v>
      </c>
      <c r="H73" s="1361">
        <f>'ANF, AF &amp; Passifs détaillés'!H69</f>
        <v>0</v>
      </c>
      <c r="I73" s="1361">
        <f>'ANF, AF &amp; Passifs détaillés'!I69</f>
        <v>0</v>
      </c>
      <c r="J73" s="1361">
        <f>'ANF, AF &amp; Passifs détaillés'!J69</f>
        <v>0</v>
      </c>
      <c r="K73" s="1361">
        <f>'ANF, AF &amp; Passifs détaillés'!K69</f>
        <v>0</v>
      </c>
      <c r="L73" s="1361">
        <f>'ANF, AF &amp; Passifs détaillés'!L69</f>
        <v>0</v>
      </c>
      <c r="M73" s="1361">
        <f>'ANF, AF &amp; Passifs détaillés'!M69</f>
        <v>0</v>
      </c>
      <c r="N73" s="1361">
        <f>'ANF, AF &amp; Passifs détaillés'!N69</f>
        <v>0</v>
      </c>
      <c r="O73" s="1361">
        <f>'ANF, AF &amp; Passifs détaillés'!O69</f>
        <v>0</v>
      </c>
      <c r="P73" s="1361">
        <f>'ANF, AF &amp; Passifs détaillés'!P69</f>
        <v>0</v>
      </c>
      <c r="Q73" s="1361">
        <f t="shared" si="25"/>
        <v>0</v>
      </c>
      <c r="R73" s="1361">
        <f t="shared" si="26"/>
        <v>0</v>
      </c>
      <c r="S73" s="1361">
        <f t="shared" si="27"/>
        <v>0</v>
      </c>
      <c r="T73" s="1361">
        <f t="shared" si="28"/>
        <v>0</v>
      </c>
      <c r="U73" s="1361">
        <f t="shared" si="29"/>
        <v>0</v>
      </c>
    </row>
    <row r="74" spans="1:21" ht="15.75">
      <c r="A74" s="1348">
        <v>3217</v>
      </c>
      <c r="B74" s="1349" t="s">
        <v>2511</v>
      </c>
      <c r="C74" s="1255"/>
      <c r="D74" s="1255"/>
      <c r="E74" s="1361">
        <f>'ANF, AF &amp; Passifs détaillés'!E70</f>
        <v>0</v>
      </c>
      <c r="F74" s="1361">
        <f>'ANF, AF &amp; Passifs détaillés'!F70</f>
        <v>0</v>
      </c>
      <c r="G74" s="1361">
        <f>'ANF, AF &amp; Passifs détaillés'!G70</f>
        <v>0</v>
      </c>
      <c r="H74" s="1361">
        <f>'ANF, AF &amp; Passifs détaillés'!H70</f>
        <v>0</v>
      </c>
      <c r="I74" s="1361">
        <f>'ANF, AF &amp; Passifs détaillés'!I70</f>
        <v>0</v>
      </c>
      <c r="J74" s="1361">
        <f>'ANF, AF &amp; Passifs détaillés'!J70</f>
        <v>0</v>
      </c>
      <c r="K74" s="1361">
        <f>'ANF, AF &amp; Passifs détaillés'!K70</f>
        <v>0</v>
      </c>
      <c r="L74" s="1361">
        <f>'ANF, AF &amp; Passifs détaillés'!L70</f>
        <v>0</v>
      </c>
      <c r="M74" s="1361">
        <f>'ANF, AF &amp; Passifs détaillés'!M70</f>
        <v>0</v>
      </c>
      <c r="N74" s="1361">
        <f>'ANF, AF &amp; Passifs détaillés'!N70</f>
        <v>0</v>
      </c>
      <c r="O74" s="1361">
        <f>'ANF, AF &amp; Passifs détaillés'!O70</f>
        <v>0</v>
      </c>
      <c r="P74" s="1361">
        <f>'ANF, AF &amp; Passifs détaillés'!P70</f>
        <v>0</v>
      </c>
      <c r="Q74" s="1361">
        <f t="shared" si="25"/>
        <v>0</v>
      </c>
      <c r="R74" s="1361">
        <f t="shared" si="26"/>
        <v>0</v>
      </c>
      <c r="S74" s="1361">
        <f t="shared" si="27"/>
        <v>0</v>
      </c>
      <c r="T74" s="1361">
        <f t="shared" si="28"/>
        <v>0</v>
      </c>
      <c r="U74" s="1361">
        <f t="shared" si="29"/>
        <v>0</v>
      </c>
    </row>
    <row r="75" spans="1:21" ht="15.75">
      <c r="A75" s="1348">
        <v>3218</v>
      </c>
      <c r="B75" s="1349" t="s">
        <v>2512</v>
      </c>
      <c r="C75" s="1255"/>
      <c r="D75" s="1255"/>
      <c r="E75" s="1361">
        <f>'ANF, AF &amp; Passifs détaillés'!E71</f>
        <v>0</v>
      </c>
      <c r="F75" s="1361">
        <f>'ANF, AF &amp; Passifs détaillés'!F71</f>
        <v>0</v>
      </c>
      <c r="G75" s="1361">
        <f>'ANF, AF &amp; Passifs détaillés'!G71</f>
        <v>0</v>
      </c>
      <c r="H75" s="1361">
        <f>'ANF, AF &amp; Passifs détaillés'!H71</f>
        <v>0</v>
      </c>
      <c r="I75" s="1361">
        <f>'ANF, AF &amp; Passifs détaillés'!I71</f>
        <v>0</v>
      </c>
      <c r="J75" s="1361">
        <f>'ANF, AF &amp; Passifs détaillés'!J71</f>
        <v>0</v>
      </c>
      <c r="K75" s="1361">
        <f>'ANF, AF &amp; Passifs détaillés'!K71</f>
        <v>0</v>
      </c>
      <c r="L75" s="1361">
        <f>'ANF, AF &amp; Passifs détaillés'!L71</f>
        <v>0</v>
      </c>
      <c r="M75" s="1361">
        <f>'ANF, AF &amp; Passifs détaillés'!M71</f>
        <v>0</v>
      </c>
      <c r="N75" s="1361">
        <f>'ANF, AF &amp; Passifs détaillés'!N71</f>
        <v>0</v>
      </c>
      <c r="O75" s="1361">
        <f>'ANF, AF &amp; Passifs détaillés'!O71</f>
        <v>0</v>
      </c>
      <c r="P75" s="1361">
        <f>'ANF, AF &amp; Passifs détaillés'!P71</f>
        <v>0</v>
      </c>
      <c r="Q75" s="1361">
        <f t="shared" si="25"/>
        <v>0</v>
      </c>
      <c r="R75" s="1361">
        <f t="shared" si="26"/>
        <v>0</v>
      </c>
      <c r="S75" s="1361">
        <f t="shared" si="27"/>
        <v>0</v>
      </c>
      <c r="T75" s="1361">
        <f t="shared" si="28"/>
        <v>0</v>
      </c>
      <c r="U75" s="1361">
        <f t="shared" si="29"/>
        <v>0</v>
      </c>
    </row>
    <row r="76" spans="1:21" ht="15.75">
      <c r="A76" s="1351">
        <v>322</v>
      </c>
      <c r="B76" s="1350" t="s">
        <v>2513</v>
      </c>
      <c r="C76" s="1257"/>
      <c r="D76" s="1257"/>
      <c r="E76" s="1363">
        <f t="shared" ref="E76:P76" si="30">SUM(E77:E83)</f>
        <v>0</v>
      </c>
      <c r="F76" s="1363">
        <f t="shared" si="30"/>
        <v>0</v>
      </c>
      <c r="G76" s="1363">
        <f t="shared" si="30"/>
        <v>0</v>
      </c>
      <c r="H76" s="1363">
        <f t="shared" si="30"/>
        <v>0</v>
      </c>
      <c r="I76" s="1363">
        <f t="shared" si="30"/>
        <v>0</v>
      </c>
      <c r="J76" s="1363">
        <f t="shared" si="30"/>
        <v>0</v>
      </c>
      <c r="K76" s="1363">
        <f t="shared" si="30"/>
        <v>0</v>
      </c>
      <c r="L76" s="1363">
        <f t="shared" si="30"/>
        <v>0</v>
      </c>
      <c r="M76" s="1363">
        <f t="shared" si="30"/>
        <v>0</v>
      </c>
      <c r="N76" s="1363">
        <f t="shared" si="30"/>
        <v>0</v>
      </c>
      <c r="O76" s="1363">
        <f t="shared" si="30"/>
        <v>0</v>
      </c>
      <c r="P76" s="1363">
        <f t="shared" si="30"/>
        <v>0</v>
      </c>
      <c r="Q76" s="1361">
        <f t="shared" si="25"/>
        <v>0</v>
      </c>
      <c r="R76" s="1361">
        <f t="shared" si="26"/>
        <v>0</v>
      </c>
      <c r="S76" s="1361">
        <f t="shared" si="27"/>
        <v>0</v>
      </c>
      <c r="T76" s="1361">
        <f t="shared" si="28"/>
        <v>0</v>
      </c>
      <c r="U76" s="1361">
        <f t="shared" si="29"/>
        <v>0</v>
      </c>
    </row>
    <row r="77" spans="1:21" ht="15.75">
      <c r="A77" s="1348">
        <v>3222</v>
      </c>
      <c r="B77" s="1349" t="s">
        <v>2514</v>
      </c>
      <c r="C77" s="1255"/>
      <c r="D77" s="1255"/>
      <c r="E77" s="1361">
        <f>'ANF, AF &amp; Passifs détaillés'!E73</f>
        <v>0</v>
      </c>
      <c r="F77" s="1361">
        <f>'ANF, AF &amp; Passifs détaillés'!F73</f>
        <v>0</v>
      </c>
      <c r="G77" s="1361">
        <f>'ANF, AF &amp; Passifs détaillés'!G73</f>
        <v>0</v>
      </c>
      <c r="H77" s="1361">
        <f>'ANF, AF &amp; Passifs détaillés'!H73</f>
        <v>0</v>
      </c>
      <c r="I77" s="1361">
        <f>'ANF, AF &amp; Passifs détaillés'!I73</f>
        <v>0</v>
      </c>
      <c r="J77" s="1361">
        <f>'ANF, AF &amp; Passifs détaillés'!J73</f>
        <v>0</v>
      </c>
      <c r="K77" s="1361">
        <f>'ANF, AF &amp; Passifs détaillés'!K73</f>
        <v>0</v>
      </c>
      <c r="L77" s="1361">
        <f>'ANF, AF &amp; Passifs détaillés'!L73</f>
        <v>0</v>
      </c>
      <c r="M77" s="1361">
        <f>'ANF, AF &amp; Passifs détaillés'!M73</f>
        <v>0</v>
      </c>
      <c r="N77" s="1361">
        <f>'ANF, AF &amp; Passifs détaillés'!N73</f>
        <v>0</v>
      </c>
      <c r="O77" s="1361">
        <f>'ANF, AF &amp; Passifs détaillés'!O73</f>
        <v>0</v>
      </c>
      <c r="P77" s="1361">
        <f>'ANF, AF &amp; Passifs détaillés'!P73</f>
        <v>0</v>
      </c>
      <c r="Q77" s="1361">
        <f t="shared" si="25"/>
        <v>0</v>
      </c>
      <c r="R77" s="1361">
        <f t="shared" si="26"/>
        <v>0</v>
      </c>
      <c r="S77" s="1361">
        <f t="shared" si="27"/>
        <v>0</v>
      </c>
      <c r="T77" s="1361">
        <f t="shared" si="28"/>
        <v>0</v>
      </c>
      <c r="U77" s="1361">
        <f t="shared" si="29"/>
        <v>0</v>
      </c>
    </row>
    <row r="78" spans="1:21" ht="15.75">
      <c r="A78" s="1348">
        <v>3223</v>
      </c>
      <c r="B78" s="1349" t="s">
        <v>2515</v>
      </c>
      <c r="C78" s="1255"/>
      <c r="D78" s="1255"/>
      <c r="E78" s="1361">
        <f>'ANF, AF &amp; Passifs détaillés'!E74</f>
        <v>0</v>
      </c>
      <c r="F78" s="1361">
        <f>'ANF, AF &amp; Passifs détaillés'!F74</f>
        <v>0</v>
      </c>
      <c r="G78" s="1361">
        <f>'ANF, AF &amp; Passifs détaillés'!G74</f>
        <v>0</v>
      </c>
      <c r="H78" s="1361">
        <f>'ANF, AF &amp; Passifs détaillés'!H74</f>
        <v>0</v>
      </c>
      <c r="I78" s="1361">
        <f>'ANF, AF &amp; Passifs détaillés'!I74</f>
        <v>0</v>
      </c>
      <c r="J78" s="1361">
        <f>'ANF, AF &amp; Passifs détaillés'!J74</f>
        <v>0</v>
      </c>
      <c r="K78" s="1361">
        <f>'ANF, AF &amp; Passifs détaillés'!K74</f>
        <v>0</v>
      </c>
      <c r="L78" s="1361">
        <f>'ANF, AF &amp; Passifs détaillés'!L74</f>
        <v>0</v>
      </c>
      <c r="M78" s="1361">
        <f>'ANF, AF &amp; Passifs détaillés'!M74</f>
        <v>0</v>
      </c>
      <c r="N78" s="1361">
        <f>'ANF, AF &amp; Passifs détaillés'!N74</f>
        <v>0</v>
      </c>
      <c r="O78" s="1361">
        <f>'ANF, AF &amp; Passifs détaillés'!O74</f>
        <v>0</v>
      </c>
      <c r="P78" s="1361">
        <f>'ANF, AF &amp; Passifs détaillés'!P74</f>
        <v>0</v>
      </c>
      <c r="Q78" s="1361">
        <f t="shared" si="25"/>
        <v>0</v>
      </c>
      <c r="R78" s="1361">
        <f t="shared" si="26"/>
        <v>0</v>
      </c>
      <c r="S78" s="1361">
        <f t="shared" si="27"/>
        <v>0</v>
      </c>
      <c r="T78" s="1361">
        <f t="shared" si="28"/>
        <v>0</v>
      </c>
      <c r="U78" s="1361">
        <f t="shared" si="29"/>
        <v>0</v>
      </c>
    </row>
    <row r="79" spans="1:21" ht="15.75">
      <c r="A79" s="1348">
        <v>3224</v>
      </c>
      <c r="B79" s="1349" t="s">
        <v>2508</v>
      </c>
      <c r="C79" s="1255"/>
      <c r="D79" s="1255"/>
      <c r="E79" s="1361">
        <f>'ANF, AF &amp; Passifs détaillés'!E75</f>
        <v>0</v>
      </c>
      <c r="F79" s="1361">
        <f>'ANF, AF &amp; Passifs détaillés'!F75</f>
        <v>0</v>
      </c>
      <c r="G79" s="1361">
        <f>'ANF, AF &amp; Passifs détaillés'!G75</f>
        <v>0</v>
      </c>
      <c r="H79" s="1361">
        <f>'ANF, AF &amp; Passifs détaillés'!H75</f>
        <v>0</v>
      </c>
      <c r="I79" s="1361">
        <f>'ANF, AF &amp; Passifs détaillés'!I75</f>
        <v>0</v>
      </c>
      <c r="J79" s="1361">
        <f>'ANF, AF &amp; Passifs détaillés'!J75</f>
        <v>0</v>
      </c>
      <c r="K79" s="1361">
        <f>'ANF, AF &amp; Passifs détaillés'!K75</f>
        <v>0</v>
      </c>
      <c r="L79" s="1361">
        <f>'ANF, AF &amp; Passifs détaillés'!L75</f>
        <v>0</v>
      </c>
      <c r="M79" s="1361">
        <f>'ANF, AF &amp; Passifs détaillés'!M75</f>
        <v>0</v>
      </c>
      <c r="N79" s="1361">
        <f>'ANF, AF &amp; Passifs détaillés'!N75</f>
        <v>0</v>
      </c>
      <c r="O79" s="1361">
        <f>'ANF, AF &amp; Passifs détaillés'!O75</f>
        <v>0</v>
      </c>
      <c r="P79" s="1361">
        <f>'ANF, AF &amp; Passifs détaillés'!P75</f>
        <v>0</v>
      </c>
      <c r="Q79" s="1361">
        <f t="shared" si="25"/>
        <v>0</v>
      </c>
      <c r="R79" s="1361">
        <f t="shared" si="26"/>
        <v>0</v>
      </c>
      <c r="S79" s="1361">
        <f t="shared" si="27"/>
        <v>0</v>
      </c>
      <c r="T79" s="1361">
        <f t="shared" si="28"/>
        <v>0</v>
      </c>
      <c r="U79" s="1361">
        <f t="shared" si="29"/>
        <v>0</v>
      </c>
    </row>
    <row r="80" spans="1:21" ht="15.75">
      <c r="A80" s="1348">
        <v>3225</v>
      </c>
      <c r="B80" s="1349" t="s">
        <v>2509</v>
      </c>
      <c r="C80" s="1255"/>
      <c r="D80" s="1255"/>
      <c r="E80" s="1361">
        <f>'ANF, AF &amp; Passifs détaillés'!E76</f>
        <v>0</v>
      </c>
      <c r="F80" s="1361">
        <f>'ANF, AF &amp; Passifs détaillés'!F76</f>
        <v>0</v>
      </c>
      <c r="G80" s="1361">
        <f>'ANF, AF &amp; Passifs détaillés'!G76</f>
        <v>0</v>
      </c>
      <c r="H80" s="1361">
        <f>'ANF, AF &amp; Passifs détaillés'!H76</f>
        <v>0</v>
      </c>
      <c r="I80" s="1361">
        <f>'ANF, AF &amp; Passifs détaillés'!I76</f>
        <v>0</v>
      </c>
      <c r="J80" s="1361">
        <f>'ANF, AF &amp; Passifs détaillés'!J76</f>
        <v>0</v>
      </c>
      <c r="K80" s="1361">
        <f>'ANF, AF &amp; Passifs détaillés'!K76</f>
        <v>0</v>
      </c>
      <c r="L80" s="1361">
        <f>'ANF, AF &amp; Passifs détaillés'!L76</f>
        <v>0</v>
      </c>
      <c r="M80" s="1361">
        <f>'ANF, AF &amp; Passifs détaillés'!M76</f>
        <v>0</v>
      </c>
      <c r="N80" s="1361">
        <f>'ANF, AF &amp; Passifs détaillés'!N76</f>
        <v>0</v>
      </c>
      <c r="O80" s="1361">
        <f>'ANF, AF &amp; Passifs détaillés'!O76</f>
        <v>0</v>
      </c>
      <c r="P80" s="1361">
        <f>'ANF, AF &amp; Passifs détaillés'!P76</f>
        <v>0</v>
      </c>
      <c r="Q80" s="1361">
        <f t="shared" si="25"/>
        <v>0</v>
      </c>
      <c r="R80" s="1361">
        <f t="shared" si="26"/>
        <v>0</v>
      </c>
      <c r="S80" s="1361">
        <f t="shared" si="27"/>
        <v>0</v>
      </c>
      <c r="T80" s="1361">
        <f t="shared" si="28"/>
        <v>0</v>
      </c>
      <c r="U80" s="1361">
        <f t="shared" si="29"/>
        <v>0</v>
      </c>
    </row>
    <row r="81" spans="1:21" ht="15.75">
      <c r="A81" s="1348">
        <v>3226</v>
      </c>
      <c r="B81" s="1349" t="s">
        <v>2516</v>
      </c>
      <c r="C81" s="1255"/>
      <c r="D81" s="1255"/>
      <c r="E81" s="1361">
        <f>'ANF, AF &amp; Passifs détaillés'!E77</f>
        <v>0</v>
      </c>
      <c r="F81" s="1361">
        <f>'ANF, AF &amp; Passifs détaillés'!F77</f>
        <v>0</v>
      </c>
      <c r="G81" s="1361">
        <f>'ANF, AF &amp; Passifs détaillés'!G77</f>
        <v>0</v>
      </c>
      <c r="H81" s="1361">
        <f>'ANF, AF &amp; Passifs détaillés'!H77</f>
        <v>0</v>
      </c>
      <c r="I81" s="1361">
        <f>'ANF, AF &amp; Passifs détaillés'!I77</f>
        <v>0</v>
      </c>
      <c r="J81" s="1361">
        <f>'ANF, AF &amp; Passifs détaillés'!J77</f>
        <v>0</v>
      </c>
      <c r="K81" s="1361">
        <f>'ANF, AF &amp; Passifs détaillés'!K77</f>
        <v>0</v>
      </c>
      <c r="L81" s="1361">
        <f>'ANF, AF &amp; Passifs détaillés'!L77</f>
        <v>0</v>
      </c>
      <c r="M81" s="1361">
        <f>'ANF, AF &amp; Passifs détaillés'!M77</f>
        <v>0</v>
      </c>
      <c r="N81" s="1361">
        <f>'ANF, AF &amp; Passifs détaillés'!N77</f>
        <v>0</v>
      </c>
      <c r="O81" s="1361">
        <f>'ANF, AF &amp; Passifs détaillés'!O77</f>
        <v>0</v>
      </c>
      <c r="P81" s="1361">
        <f>'ANF, AF &amp; Passifs détaillés'!P77</f>
        <v>0</v>
      </c>
      <c r="Q81" s="1361">
        <f t="shared" si="25"/>
        <v>0</v>
      </c>
      <c r="R81" s="1361">
        <f t="shared" si="26"/>
        <v>0</v>
      </c>
      <c r="S81" s="1361">
        <f t="shared" si="27"/>
        <v>0</v>
      </c>
      <c r="T81" s="1361">
        <f t="shared" si="28"/>
        <v>0</v>
      </c>
      <c r="U81" s="1361">
        <f t="shared" si="29"/>
        <v>0</v>
      </c>
    </row>
    <row r="82" spans="1:21" ht="15.75">
      <c r="A82" s="1348">
        <v>3227</v>
      </c>
      <c r="B82" s="1349" t="s">
        <v>2517</v>
      </c>
      <c r="C82" s="1255"/>
      <c r="D82" s="1255"/>
      <c r="E82" s="1361">
        <f>'ANF, AF &amp; Passifs détaillés'!E78</f>
        <v>0</v>
      </c>
      <c r="F82" s="1361">
        <f>'ANF, AF &amp; Passifs détaillés'!F78</f>
        <v>0</v>
      </c>
      <c r="G82" s="1361">
        <f>'ANF, AF &amp; Passifs détaillés'!G78</f>
        <v>0</v>
      </c>
      <c r="H82" s="1361">
        <f>'ANF, AF &amp; Passifs détaillés'!H78</f>
        <v>0</v>
      </c>
      <c r="I82" s="1361">
        <f>'ANF, AF &amp; Passifs détaillés'!I78</f>
        <v>0</v>
      </c>
      <c r="J82" s="1361">
        <f>'ANF, AF &amp; Passifs détaillés'!J78</f>
        <v>0</v>
      </c>
      <c r="K82" s="1361">
        <f>'ANF, AF &amp; Passifs détaillés'!K78</f>
        <v>0</v>
      </c>
      <c r="L82" s="1361">
        <f>'ANF, AF &amp; Passifs détaillés'!L78</f>
        <v>0</v>
      </c>
      <c r="M82" s="1361">
        <f>'ANF, AF &amp; Passifs détaillés'!M78</f>
        <v>0</v>
      </c>
      <c r="N82" s="1361">
        <f>'ANF, AF &amp; Passifs détaillés'!N78</f>
        <v>0</v>
      </c>
      <c r="O82" s="1361">
        <f>'ANF, AF &amp; Passifs détaillés'!O78</f>
        <v>0</v>
      </c>
      <c r="P82" s="1361">
        <f>'ANF, AF &amp; Passifs détaillés'!P78</f>
        <v>0</v>
      </c>
      <c r="Q82" s="1361">
        <f t="shared" si="25"/>
        <v>0</v>
      </c>
      <c r="R82" s="1361">
        <f t="shared" si="26"/>
        <v>0</v>
      </c>
      <c r="S82" s="1361">
        <f t="shared" si="27"/>
        <v>0</v>
      </c>
      <c r="T82" s="1361">
        <f t="shared" si="28"/>
        <v>0</v>
      </c>
      <c r="U82" s="1361">
        <f t="shared" si="29"/>
        <v>0</v>
      </c>
    </row>
    <row r="83" spans="1:21" ht="15.75">
      <c r="A83" s="1348">
        <v>3228</v>
      </c>
      <c r="B83" s="1349" t="s">
        <v>2518</v>
      </c>
      <c r="C83" s="1255"/>
      <c r="D83" s="1255"/>
      <c r="E83" s="1361">
        <f>'ANF, AF &amp; Passifs détaillés'!E79</f>
        <v>0</v>
      </c>
      <c r="F83" s="1361">
        <f>'ANF, AF &amp; Passifs détaillés'!F79</f>
        <v>0</v>
      </c>
      <c r="G83" s="1361">
        <f>'ANF, AF &amp; Passifs détaillés'!G79</f>
        <v>0</v>
      </c>
      <c r="H83" s="1361">
        <f>'ANF, AF &amp; Passifs détaillés'!H79</f>
        <v>0</v>
      </c>
      <c r="I83" s="1361">
        <f>'ANF, AF &amp; Passifs détaillés'!I79</f>
        <v>0</v>
      </c>
      <c r="J83" s="1361">
        <f>'ANF, AF &amp; Passifs détaillés'!J79</f>
        <v>0</v>
      </c>
      <c r="K83" s="1361">
        <f>'ANF, AF &amp; Passifs détaillés'!K79</f>
        <v>0</v>
      </c>
      <c r="L83" s="1361">
        <f>'ANF, AF &amp; Passifs détaillés'!L79</f>
        <v>0</v>
      </c>
      <c r="M83" s="1361">
        <f>'ANF, AF &amp; Passifs détaillés'!M79</f>
        <v>0</v>
      </c>
      <c r="N83" s="1361">
        <f>'ANF, AF &amp; Passifs détaillés'!N79</f>
        <v>0</v>
      </c>
      <c r="O83" s="1361">
        <f>'ANF, AF &amp; Passifs détaillés'!O79</f>
        <v>0</v>
      </c>
      <c r="P83" s="1361">
        <f>'ANF, AF &amp; Passifs détaillés'!P79</f>
        <v>0</v>
      </c>
      <c r="Q83" s="1361">
        <f t="shared" si="25"/>
        <v>0</v>
      </c>
      <c r="R83" s="1361">
        <f t="shared" si="26"/>
        <v>0</v>
      </c>
      <c r="S83" s="1361">
        <f t="shared" si="27"/>
        <v>0</v>
      </c>
      <c r="T83" s="1361">
        <f t="shared" si="28"/>
        <v>0</v>
      </c>
      <c r="U83" s="1361">
        <f t="shared" si="29"/>
        <v>0</v>
      </c>
    </row>
    <row r="84" spans="1:21" ht="15.75">
      <c r="A84" s="1351">
        <v>323</v>
      </c>
      <c r="B84" s="1350" t="s">
        <v>2519</v>
      </c>
      <c r="C84" s="1257"/>
      <c r="D84" s="1257"/>
      <c r="E84" s="1361"/>
      <c r="F84" s="1361"/>
      <c r="G84" s="1361"/>
      <c r="H84" s="1361"/>
      <c r="I84" s="1361"/>
      <c r="J84" s="1361"/>
      <c r="K84" s="1361"/>
      <c r="L84" s="1361"/>
      <c r="M84" s="1361"/>
      <c r="N84" s="1361"/>
      <c r="O84" s="1361"/>
      <c r="P84" s="1361"/>
      <c r="Q84" s="1361">
        <f t="shared" si="25"/>
        <v>0</v>
      </c>
      <c r="R84" s="1361">
        <f t="shared" si="26"/>
        <v>0</v>
      </c>
      <c r="S84" s="1361">
        <f t="shared" si="27"/>
        <v>0</v>
      </c>
      <c r="T84" s="1361">
        <f t="shared" si="28"/>
        <v>0</v>
      </c>
      <c r="U84" s="1361">
        <f t="shared" si="29"/>
        <v>0</v>
      </c>
    </row>
    <row r="85" spans="1:21" ht="15.75">
      <c r="A85" s="1353">
        <v>33</v>
      </c>
      <c r="B85" s="1352" t="s">
        <v>2520</v>
      </c>
      <c r="C85" s="1259"/>
      <c r="D85" s="1259"/>
      <c r="E85" s="1363">
        <f t="shared" ref="E85:P85" si="31">E86+E94</f>
        <v>-988553.5184125182</v>
      </c>
      <c r="F85" s="1363">
        <f t="shared" si="31"/>
        <v>3208670.4048497686</v>
      </c>
      <c r="G85" s="1363">
        <f t="shared" si="31"/>
        <v>13071831.738796391</v>
      </c>
      <c r="H85" s="1363">
        <f t="shared" si="31"/>
        <v>3860684.5902386806</v>
      </c>
      <c r="I85" s="1363">
        <f t="shared" si="31"/>
        <v>-25693411.145</v>
      </c>
      <c r="J85" s="1363">
        <f t="shared" si="31"/>
        <v>-4089238.8733255225</v>
      </c>
      <c r="K85" s="1363">
        <f t="shared" si="31"/>
        <v>-1326291.5490000048</v>
      </c>
      <c r="L85" s="1363">
        <f t="shared" si="31"/>
        <v>-842419.75500000408</v>
      </c>
      <c r="M85" s="1363">
        <f t="shared" si="31"/>
        <v>15287976.509999994</v>
      </c>
      <c r="N85" s="1363">
        <f t="shared" si="31"/>
        <v>5805157.4401474921</v>
      </c>
      <c r="O85" s="1363">
        <f t="shared" si="31"/>
        <v>914673.61683001183</v>
      </c>
      <c r="P85" s="1363">
        <f t="shared" si="31"/>
        <v>20856725.129999995</v>
      </c>
      <c r="Q85" s="1361">
        <f t="shared" si="25"/>
        <v>30065804.590124283</v>
      </c>
      <c r="R85" s="1361">
        <f t="shared" si="26"/>
        <v>15291948.625233641</v>
      </c>
      <c r="S85" s="1361">
        <f t="shared" si="27"/>
        <v>-10630016.802853201</v>
      </c>
      <c r="T85" s="1361">
        <f t="shared" si="28"/>
        <v>2489248.4031467848</v>
      </c>
      <c r="U85" s="1361">
        <f t="shared" si="29"/>
        <v>30065804.590124283</v>
      </c>
    </row>
    <row r="86" spans="1:21" ht="15.75">
      <c r="A86" s="1351">
        <v>331</v>
      </c>
      <c r="B86" s="1350" t="s">
        <v>2521</v>
      </c>
      <c r="C86" s="1257"/>
      <c r="D86" s="1257"/>
      <c r="E86" s="1363">
        <f t="shared" ref="E86:P86" si="32">SUM(E87:E93)</f>
        <v>-821794.58000001824</v>
      </c>
      <c r="F86" s="1363">
        <f t="shared" si="32"/>
        <v>3370338.6690000189</v>
      </c>
      <c r="G86" s="1363">
        <f t="shared" si="32"/>
        <v>9731663.0939999893</v>
      </c>
      <c r="H86" s="1363">
        <f t="shared" si="32"/>
        <v>4201928.8710000105</v>
      </c>
      <c r="I86" s="1363">
        <f t="shared" si="32"/>
        <v>-25546676.645</v>
      </c>
      <c r="J86" s="1363">
        <f t="shared" si="32"/>
        <v>-6498750.1360000027</v>
      </c>
      <c r="K86" s="1363">
        <f t="shared" si="32"/>
        <v>-879336.69300000474</v>
      </c>
      <c r="L86" s="1363">
        <f t="shared" si="32"/>
        <v>-682540.86900000402</v>
      </c>
      <c r="M86" s="1363">
        <f t="shared" si="32"/>
        <v>7138487.4569999957</v>
      </c>
      <c r="N86" s="1363">
        <f t="shared" si="32"/>
        <v>6314659.1269999919</v>
      </c>
      <c r="O86" s="1363">
        <f t="shared" si="32"/>
        <v>1064161.3790000118</v>
      </c>
      <c r="P86" s="1363">
        <f t="shared" si="32"/>
        <v>21779400.879999995</v>
      </c>
      <c r="Q86" s="1361">
        <f t="shared" si="25"/>
        <v>19171540.553999983</v>
      </c>
      <c r="R86" s="1361">
        <f t="shared" si="26"/>
        <v>12280207.182999991</v>
      </c>
      <c r="S86" s="1361">
        <f t="shared" si="27"/>
        <v>-15563290.727000002</v>
      </c>
      <c r="T86" s="1361">
        <f t="shared" si="28"/>
        <v>-9986680.8320000172</v>
      </c>
      <c r="U86" s="1361">
        <f t="shared" si="29"/>
        <v>19171540.553999983</v>
      </c>
    </row>
    <row r="87" spans="1:21" ht="15.75">
      <c r="A87" s="1348">
        <v>3312</v>
      </c>
      <c r="B87" s="1349" t="s">
        <v>2514</v>
      </c>
      <c r="C87" s="1255"/>
      <c r="D87" s="1255"/>
      <c r="E87" s="1361">
        <f>'ANF, AF &amp; Passifs détaillés'!E91</f>
        <v>0</v>
      </c>
      <c r="F87" s="1361">
        <f>'ANF, AF &amp; Passifs détaillés'!F91</f>
        <v>0</v>
      </c>
      <c r="G87" s="1361">
        <f>'ANF, AF &amp; Passifs détaillés'!G91</f>
        <v>0</v>
      </c>
      <c r="H87" s="1361">
        <f>'ANF, AF &amp; Passifs détaillés'!H91</f>
        <v>0</v>
      </c>
      <c r="I87" s="1361">
        <f>'ANF, AF &amp; Passifs détaillés'!I91</f>
        <v>0</v>
      </c>
      <c r="J87" s="1361">
        <f>'ANF, AF &amp; Passifs détaillés'!J91</f>
        <v>0</v>
      </c>
      <c r="K87" s="1361">
        <f>'ANF, AF &amp; Passifs détaillés'!K91</f>
        <v>0</v>
      </c>
      <c r="L87" s="1361">
        <f>'ANF, AF &amp; Passifs détaillés'!L91</f>
        <v>0</v>
      </c>
      <c r="M87" s="1361">
        <f>'ANF, AF &amp; Passifs détaillés'!M91</f>
        <v>0</v>
      </c>
      <c r="N87" s="1361">
        <f>'ANF, AF &amp; Passifs détaillés'!N91</f>
        <v>0</v>
      </c>
      <c r="O87" s="1361">
        <f>'ANF, AF &amp; Passifs détaillés'!O91</f>
        <v>0</v>
      </c>
      <c r="P87" s="1361">
        <f>'ANF, AF &amp; Passifs détaillés'!P91</f>
        <v>0</v>
      </c>
      <c r="Q87" s="1361">
        <f t="shared" si="25"/>
        <v>0</v>
      </c>
      <c r="R87" s="1361">
        <f t="shared" si="26"/>
        <v>0</v>
      </c>
      <c r="S87" s="1361">
        <f t="shared" si="27"/>
        <v>0</v>
      </c>
      <c r="T87" s="1361">
        <f t="shared" si="28"/>
        <v>0</v>
      </c>
      <c r="U87" s="1361">
        <f t="shared" si="29"/>
        <v>0</v>
      </c>
    </row>
    <row r="88" spans="1:21" ht="15.75">
      <c r="A88" s="1348">
        <v>3313</v>
      </c>
      <c r="B88" s="1349" t="s">
        <v>2515</v>
      </c>
      <c r="C88" s="1255"/>
      <c r="D88" s="1255"/>
      <c r="E88" s="1361">
        <f>'ANF, AF &amp; Passifs détaillés'!E92</f>
        <v>0</v>
      </c>
      <c r="F88" s="1361">
        <f>'ANF, AF &amp; Passifs détaillés'!F92</f>
        <v>0</v>
      </c>
      <c r="G88" s="1361">
        <f>'ANF, AF &amp; Passifs détaillés'!G92</f>
        <v>0</v>
      </c>
      <c r="H88" s="1361">
        <f>'ANF, AF &amp; Passifs détaillés'!H92</f>
        <v>0</v>
      </c>
      <c r="I88" s="1361">
        <f>'ANF, AF &amp; Passifs détaillés'!I92</f>
        <v>0</v>
      </c>
      <c r="J88" s="1361">
        <f>'ANF, AF &amp; Passifs détaillés'!J92</f>
        <v>0</v>
      </c>
      <c r="K88" s="1361">
        <f>'ANF, AF &amp; Passifs détaillés'!K92</f>
        <v>0</v>
      </c>
      <c r="L88" s="1361">
        <f>'ANF, AF &amp; Passifs détaillés'!L92</f>
        <v>0</v>
      </c>
      <c r="M88" s="1361">
        <f>'ANF, AF &amp; Passifs détaillés'!M92</f>
        <v>0</v>
      </c>
      <c r="N88" s="1361">
        <f>'ANF, AF &amp; Passifs détaillés'!N92</f>
        <v>0</v>
      </c>
      <c r="O88" s="1361">
        <f>'ANF, AF &amp; Passifs détaillés'!O92</f>
        <v>0</v>
      </c>
      <c r="P88" s="1361">
        <f>'ANF, AF &amp; Passifs détaillés'!P92</f>
        <v>0</v>
      </c>
      <c r="Q88" s="1361">
        <f t="shared" si="25"/>
        <v>0</v>
      </c>
      <c r="R88" s="1361">
        <f t="shared" si="26"/>
        <v>0</v>
      </c>
      <c r="S88" s="1361">
        <f t="shared" si="27"/>
        <v>0</v>
      </c>
      <c r="T88" s="1361">
        <f t="shared" si="28"/>
        <v>0</v>
      </c>
      <c r="U88" s="1361">
        <f t="shared" si="29"/>
        <v>0</v>
      </c>
    </row>
    <row r="89" spans="1:21" ht="15.75">
      <c r="A89" s="1348">
        <v>3314</v>
      </c>
      <c r="B89" s="1349" t="s">
        <v>2522</v>
      </c>
      <c r="C89" s="1255"/>
      <c r="D89" s="1255"/>
      <c r="E89" s="1361">
        <f>'ANF, AF &amp; Passifs détaillés'!E93</f>
        <v>-821794.58000001824</v>
      </c>
      <c r="F89" s="1361">
        <f>'ANF, AF &amp; Passifs détaillés'!F93</f>
        <v>3370338.6690000189</v>
      </c>
      <c r="G89" s="1361">
        <f>'ANF, AF &amp; Passifs détaillés'!G93</f>
        <v>9731663.0939999893</v>
      </c>
      <c r="H89" s="1361">
        <f>'ANF, AF &amp; Passifs détaillés'!H93</f>
        <v>4201928.8710000105</v>
      </c>
      <c r="I89" s="1361">
        <f>'ANF, AF &amp; Passifs détaillés'!I93</f>
        <v>-25546676.645</v>
      </c>
      <c r="J89" s="1361">
        <f>'ANF, AF &amp; Passifs détaillés'!J93</f>
        <v>-6498750.1360000027</v>
      </c>
      <c r="K89" s="1361">
        <f>'ANF, AF &amp; Passifs détaillés'!K93</f>
        <v>-879336.69300000474</v>
      </c>
      <c r="L89" s="1361">
        <f>'ANF, AF &amp; Passifs détaillés'!L93</f>
        <v>-682540.86900000402</v>
      </c>
      <c r="M89" s="1361">
        <f>'ANF, AF &amp; Passifs détaillés'!M93</f>
        <v>7138487.4569999957</v>
      </c>
      <c r="N89" s="1361">
        <f>'ANF, AF &amp; Passifs détaillés'!N93</f>
        <v>6314659.1269999919</v>
      </c>
      <c r="O89" s="1361">
        <f>'ANF, AF &amp; Passifs détaillés'!O93</f>
        <v>1064161.3790000118</v>
      </c>
      <c r="P89" s="1361">
        <f>'ANF, AF &amp; Passifs détaillés'!P93</f>
        <v>9842222.8639999963</v>
      </c>
      <c r="Q89" s="1361">
        <f t="shared" si="25"/>
        <v>7234362.5379999829</v>
      </c>
      <c r="R89" s="1361">
        <f t="shared" si="26"/>
        <v>12280207.182999991</v>
      </c>
      <c r="S89" s="1361">
        <f t="shared" si="27"/>
        <v>-15563290.727000002</v>
      </c>
      <c r="T89" s="1361">
        <f t="shared" si="28"/>
        <v>-9986680.8320000172</v>
      </c>
      <c r="U89" s="1361">
        <f t="shared" si="29"/>
        <v>7234362.5379999829</v>
      </c>
    </row>
    <row r="90" spans="1:21" ht="15.75">
      <c r="A90" s="1348">
        <v>3315</v>
      </c>
      <c r="B90" s="1349" t="s">
        <v>2523</v>
      </c>
      <c r="C90" s="1255"/>
      <c r="D90" s="1255"/>
      <c r="E90" s="1361">
        <f>'ANF, AF &amp; Passifs détaillés'!E94</f>
        <v>0</v>
      </c>
      <c r="F90" s="1361">
        <f>'ANF, AF &amp; Passifs détaillés'!F94</f>
        <v>0</v>
      </c>
      <c r="G90" s="1361">
        <f>'ANF, AF &amp; Passifs détaillés'!G94</f>
        <v>0</v>
      </c>
      <c r="H90" s="1361">
        <f>'ANF, AF &amp; Passifs détaillés'!H94</f>
        <v>0</v>
      </c>
      <c r="I90" s="1361">
        <f>'ANF, AF &amp; Passifs détaillés'!I94</f>
        <v>0</v>
      </c>
      <c r="J90" s="1361">
        <f>'ANF, AF &amp; Passifs détaillés'!J94</f>
        <v>0</v>
      </c>
      <c r="K90" s="1361">
        <f>'ANF, AF &amp; Passifs détaillés'!K94</f>
        <v>0</v>
      </c>
      <c r="L90" s="1361">
        <f>'ANF, AF &amp; Passifs détaillés'!L94</f>
        <v>0</v>
      </c>
      <c r="M90" s="1361">
        <f>'ANF, AF &amp; Passifs détaillés'!M94</f>
        <v>0</v>
      </c>
      <c r="N90" s="1361">
        <f>'ANF, AF &amp; Passifs détaillés'!N94</f>
        <v>0</v>
      </c>
      <c r="O90" s="1361">
        <f>'ANF, AF &amp; Passifs détaillés'!O94</f>
        <v>0</v>
      </c>
      <c r="P90" s="1361">
        <f>'ANF, AF &amp; Passifs détaillés'!P94</f>
        <v>0</v>
      </c>
      <c r="Q90" s="1361">
        <f t="shared" si="25"/>
        <v>0</v>
      </c>
      <c r="R90" s="1361">
        <f t="shared" si="26"/>
        <v>0</v>
      </c>
      <c r="S90" s="1361">
        <f t="shared" si="27"/>
        <v>0</v>
      </c>
      <c r="T90" s="1361">
        <f t="shared" si="28"/>
        <v>0</v>
      </c>
      <c r="U90" s="1361">
        <f t="shared" si="29"/>
        <v>0</v>
      </c>
    </row>
    <row r="91" spans="1:21" ht="15.75">
      <c r="A91" s="1348">
        <v>3315</v>
      </c>
      <c r="B91" s="1349" t="s">
        <v>2524</v>
      </c>
      <c r="C91" s="1255"/>
      <c r="D91" s="1255"/>
      <c r="E91" s="1361">
        <f>'ANF, AF &amp; Passifs détaillés'!E95</f>
        <v>0</v>
      </c>
      <c r="F91" s="1361">
        <f>'ANF, AF &amp; Passifs détaillés'!F95</f>
        <v>0</v>
      </c>
      <c r="G91" s="1361">
        <f>'ANF, AF &amp; Passifs détaillés'!G95</f>
        <v>0</v>
      </c>
      <c r="H91" s="1361">
        <f>'ANF, AF &amp; Passifs détaillés'!H95</f>
        <v>0</v>
      </c>
      <c r="I91" s="1361">
        <f>'ANF, AF &amp; Passifs détaillés'!I95</f>
        <v>0</v>
      </c>
      <c r="J91" s="1361">
        <f>'ANF, AF &amp; Passifs détaillés'!J95</f>
        <v>0</v>
      </c>
      <c r="K91" s="1361">
        <f>'ANF, AF &amp; Passifs détaillés'!K95</f>
        <v>0</v>
      </c>
      <c r="L91" s="1361">
        <f>'ANF, AF &amp; Passifs détaillés'!L95</f>
        <v>0</v>
      </c>
      <c r="M91" s="1361">
        <f>'ANF, AF &amp; Passifs détaillés'!M95</f>
        <v>0</v>
      </c>
      <c r="N91" s="1361">
        <f>'ANF, AF &amp; Passifs détaillés'!N95</f>
        <v>0</v>
      </c>
      <c r="O91" s="1361">
        <f>'ANF, AF &amp; Passifs détaillés'!O95</f>
        <v>0</v>
      </c>
      <c r="P91" s="1361">
        <f>'ANF, AF &amp; Passifs détaillés'!P95</f>
        <v>0</v>
      </c>
      <c r="Q91" s="1361">
        <f t="shared" si="25"/>
        <v>0</v>
      </c>
      <c r="R91" s="1361">
        <f t="shared" si="26"/>
        <v>0</v>
      </c>
      <c r="S91" s="1361">
        <f t="shared" si="27"/>
        <v>0</v>
      </c>
      <c r="T91" s="1361">
        <f t="shared" si="28"/>
        <v>0</v>
      </c>
      <c r="U91" s="1361">
        <f t="shared" si="29"/>
        <v>0</v>
      </c>
    </row>
    <row r="92" spans="1:21" ht="15.75">
      <c r="A92" s="1348">
        <v>3317</v>
      </c>
      <c r="B92" s="1349" t="s">
        <v>2525</v>
      </c>
      <c r="C92" s="1255"/>
      <c r="D92" s="1255"/>
      <c r="E92" s="1361">
        <f>'ANF, AF &amp; Passifs détaillés'!E96</f>
        <v>0</v>
      </c>
      <c r="F92" s="1361">
        <f>'ANF, AF &amp; Passifs détaillés'!F96</f>
        <v>0</v>
      </c>
      <c r="G92" s="1361">
        <f>'ANF, AF &amp; Passifs détaillés'!G96</f>
        <v>0</v>
      </c>
      <c r="H92" s="1361">
        <f>'ANF, AF &amp; Passifs détaillés'!H96</f>
        <v>0</v>
      </c>
      <c r="I92" s="1361">
        <f>'ANF, AF &amp; Passifs détaillés'!I96</f>
        <v>0</v>
      </c>
      <c r="J92" s="1361">
        <f>'ANF, AF &amp; Passifs détaillés'!J96</f>
        <v>0</v>
      </c>
      <c r="K92" s="1361">
        <f>'ANF, AF &amp; Passifs détaillés'!K96</f>
        <v>0</v>
      </c>
      <c r="L92" s="1361">
        <f>'ANF, AF &amp; Passifs détaillés'!L96</f>
        <v>0</v>
      </c>
      <c r="M92" s="1361">
        <f>'ANF, AF &amp; Passifs détaillés'!M96</f>
        <v>0</v>
      </c>
      <c r="N92" s="1361">
        <f>'ANF, AF &amp; Passifs détaillés'!N96</f>
        <v>0</v>
      </c>
      <c r="O92" s="1361">
        <f>'ANF, AF &amp; Passifs détaillés'!O96</f>
        <v>0</v>
      </c>
      <c r="P92" s="1361">
        <f>'ANF, AF &amp; Passifs détaillés'!P96</f>
        <v>0</v>
      </c>
      <c r="Q92" s="1361">
        <f t="shared" si="25"/>
        <v>0</v>
      </c>
      <c r="R92" s="1361">
        <f t="shared" si="26"/>
        <v>0</v>
      </c>
      <c r="S92" s="1361">
        <f t="shared" si="27"/>
        <v>0</v>
      </c>
      <c r="T92" s="1361">
        <f t="shared" si="28"/>
        <v>0</v>
      </c>
      <c r="U92" s="1361">
        <f t="shared" si="29"/>
        <v>0</v>
      </c>
    </row>
    <row r="93" spans="1:21" ht="15.75">
      <c r="A93" s="1348">
        <v>3318</v>
      </c>
      <c r="B93" s="1349" t="s">
        <v>2526</v>
      </c>
      <c r="C93" s="1255"/>
      <c r="D93" s="1255"/>
      <c r="E93" s="1361">
        <f>'ANF, AF &amp; Passifs détaillés'!E97</f>
        <v>0</v>
      </c>
      <c r="F93" s="1361">
        <f>'ANF, AF &amp; Passifs détaillés'!F97</f>
        <v>0</v>
      </c>
      <c r="G93" s="1361">
        <f>'ANF, AF &amp; Passifs détaillés'!G97</f>
        <v>0</v>
      </c>
      <c r="H93" s="1361">
        <f>'ANF, AF &amp; Passifs détaillés'!H97</f>
        <v>0</v>
      </c>
      <c r="I93" s="1361">
        <f>'ANF, AF &amp; Passifs détaillés'!I97</f>
        <v>0</v>
      </c>
      <c r="J93" s="1361">
        <f>'ANF, AF &amp; Passifs détaillés'!J97</f>
        <v>0</v>
      </c>
      <c r="K93" s="1361">
        <f>'ANF, AF &amp; Passifs détaillés'!K97</f>
        <v>0</v>
      </c>
      <c r="L93" s="1361">
        <f>'ANF, AF &amp; Passifs détaillés'!L97</f>
        <v>0</v>
      </c>
      <c r="M93" s="1361">
        <f>'ANF, AF &amp; Passifs détaillés'!M97</f>
        <v>0</v>
      </c>
      <c r="N93" s="1361">
        <f>'ANF, AF &amp; Passifs détaillés'!N97</f>
        <v>0</v>
      </c>
      <c r="O93" s="1361">
        <f>'ANF, AF &amp; Passifs détaillés'!O97</f>
        <v>0</v>
      </c>
      <c r="P93" s="1361">
        <f>'ANF, AF &amp; Passifs détaillés'!P97</f>
        <v>11937178.016000001</v>
      </c>
      <c r="Q93" s="1361">
        <f t="shared" si="25"/>
        <v>11937178.016000001</v>
      </c>
      <c r="R93" s="1361">
        <f t="shared" si="26"/>
        <v>0</v>
      </c>
      <c r="S93" s="1361">
        <f t="shared" si="27"/>
        <v>0</v>
      </c>
      <c r="T93" s="1361">
        <f t="shared" si="28"/>
        <v>0</v>
      </c>
      <c r="U93" s="1361">
        <f t="shared" si="29"/>
        <v>11937178.016000001</v>
      </c>
    </row>
    <row r="94" spans="1:21" ht="15.75">
      <c r="A94" s="1351">
        <v>332</v>
      </c>
      <c r="B94" s="1350" t="s">
        <v>2527</v>
      </c>
      <c r="C94" s="1257"/>
      <c r="D94" s="1257"/>
      <c r="E94" s="1363">
        <f t="shared" ref="E94:P94" si="33">SUM(E95:E101)</f>
        <v>-166758.93841249999</v>
      </c>
      <c r="F94" s="1363">
        <f t="shared" si="33"/>
        <v>-161668.26415025</v>
      </c>
      <c r="G94" s="1363">
        <f t="shared" si="33"/>
        <v>3340168.6447964003</v>
      </c>
      <c r="H94" s="1363">
        <f t="shared" si="33"/>
        <v>-341244.28076133004</v>
      </c>
      <c r="I94" s="1363">
        <f t="shared" si="33"/>
        <v>-146734.5</v>
      </c>
      <c r="J94" s="1363">
        <f t="shared" si="33"/>
        <v>2409511.2626744802</v>
      </c>
      <c r="K94" s="1363">
        <f t="shared" si="33"/>
        <v>-446954.85599999997</v>
      </c>
      <c r="L94" s="1363">
        <f t="shared" si="33"/>
        <v>-159878.886</v>
      </c>
      <c r="M94" s="1363">
        <f t="shared" si="33"/>
        <v>8149489.0529999994</v>
      </c>
      <c r="N94" s="1363">
        <f t="shared" si="33"/>
        <v>-509501.68685250002</v>
      </c>
      <c r="O94" s="1363">
        <f t="shared" si="33"/>
        <v>-149487.76217</v>
      </c>
      <c r="P94" s="1363">
        <f t="shared" si="33"/>
        <v>-922675.75</v>
      </c>
      <c r="Q94" s="1361">
        <f t="shared" si="25"/>
        <v>10894264.036124302</v>
      </c>
      <c r="R94" s="1361">
        <f t="shared" si="26"/>
        <v>3011741.4422336505</v>
      </c>
      <c r="S94" s="1361">
        <f t="shared" si="27"/>
        <v>4933273.9241468012</v>
      </c>
      <c r="T94" s="1361">
        <f t="shared" si="28"/>
        <v>12475929.235146802</v>
      </c>
      <c r="U94" s="1361">
        <f t="shared" si="29"/>
        <v>10894264.036124302</v>
      </c>
    </row>
    <row r="95" spans="1:21" ht="15.75">
      <c r="A95" s="1348">
        <v>3322</v>
      </c>
      <c r="B95" s="1349" t="s">
        <v>2528</v>
      </c>
      <c r="C95" s="1255"/>
      <c r="D95" s="1255"/>
      <c r="E95" s="1361">
        <f>'ANF, AF &amp; Passifs détaillés'!E100</f>
        <v>0</v>
      </c>
      <c r="F95" s="1361">
        <f>'ANF, AF &amp; Passifs détaillés'!F100</f>
        <v>0</v>
      </c>
      <c r="G95" s="1361">
        <f>'ANF, AF &amp; Passifs détaillés'!G100</f>
        <v>0</v>
      </c>
      <c r="H95" s="1361">
        <f>'ANF, AF &amp; Passifs détaillés'!H100</f>
        <v>0</v>
      </c>
      <c r="I95" s="1361">
        <f>'ANF, AF &amp; Passifs détaillés'!I100</f>
        <v>0</v>
      </c>
      <c r="J95" s="1361">
        <f>'ANF, AF &amp; Passifs détaillés'!J100</f>
        <v>0</v>
      </c>
      <c r="K95" s="1361">
        <f>'ANF, AF &amp; Passifs détaillés'!K100</f>
        <v>0</v>
      </c>
      <c r="L95" s="1361">
        <f>'ANF, AF &amp; Passifs détaillés'!L100</f>
        <v>0</v>
      </c>
      <c r="M95" s="1361">
        <f>'ANF, AF &amp; Passifs détaillés'!M100</f>
        <v>0</v>
      </c>
      <c r="N95" s="1361">
        <f>'ANF, AF &amp; Passifs détaillés'!N100</f>
        <v>0</v>
      </c>
      <c r="O95" s="1361">
        <f>'ANF, AF &amp; Passifs détaillés'!O100</f>
        <v>0</v>
      </c>
      <c r="P95" s="1361">
        <f>'ANF, AF &amp; Passifs détaillés'!P100</f>
        <v>0</v>
      </c>
      <c r="Q95" s="1361">
        <f t="shared" si="25"/>
        <v>0</v>
      </c>
      <c r="R95" s="1361">
        <f t="shared" si="26"/>
        <v>0</v>
      </c>
      <c r="S95" s="1361">
        <f t="shared" si="27"/>
        <v>0</v>
      </c>
      <c r="T95" s="1361">
        <f t="shared" si="28"/>
        <v>0</v>
      </c>
      <c r="U95" s="1361">
        <f t="shared" si="29"/>
        <v>0</v>
      </c>
    </row>
    <row r="96" spans="1:21" ht="15.75">
      <c r="A96" s="1348">
        <v>3323</v>
      </c>
      <c r="B96" s="1349" t="s">
        <v>2529</v>
      </c>
      <c r="C96" s="1255"/>
      <c r="D96" s="1255"/>
      <c r="E96" s="1361">
        <f>'ANF, AF &amp; Passifs détaillés'!E101</f>
        <v>0</v>
      </c>
      <c r="F96" s="1361">
        <f>'ANF, AF &amp; Passifs détaillés'!F101</f>
        <v>0</v>
      </c>
      <c r="G96" s="1361">
        <f>'ANF, AF &amp; Passifs détaillés'!G101</f>
        <v>0</v>
      </c>
      <c r="H96" s="1361">
        <f>'ANF, AF &amp; Passifs détaillés'!H101</f>
        <v>0</v>
      </c>
      <c r="I96" s="1361">
        <f>'ANF, AF &amp; Passifs détaillés'!I101</f>
        <v>0</v>
      </c>
      <c r="J96" s="1361">
        <f>'ANF, AF &amp; Passifs détaillés'!J101</f>
        <v>0</v>
      </c>
      <c r="K96" s="1361">
        <f>'ANF, AF &amp; Passifs détaillés'!K101</f>
        <v>0</v>
      </c>
      <c r="L96" s="1361">
        <f>'ANF, AF &amp; Passifs détaillés'!L101</f>
        <v>0</v>
      </c>
      <c r="M96" s="1361">
        <f>'ANF, AF &amp; Passifs détaillés'!M101</f>
        <v>0</v>
      </c>
      <c r="N96" s="1361">
        <f>'ANF, AF &amp; Passifs détaillés'!N101</f>
        <v>0</v>
      </c>
      <c r="O96" s="1361">
        <f>'ANF, AF &amp; Passifs détaillés'!O101</f>
        <v>0</v>
      </c>
      <c r="P96" s="1361">
        <f>'ANF, AF &amp; Passifs détaillés'!P101</f>
        <v>0</v>
      </c>
      <c r="Q96" s="1361">
        <f t="shared" si="25"/>
        <v>0</v>
      </c>
      <c r="R96" s="1361">
        <f t="shared" si="26"/>
        <v>0</v>
      </c>
      <c r="S96" s="1361">
        <f t="shared" si="27"/>
        <v>0</v>
      </c>
      <c r="T96" s="1361">
        <f t="shared" si="28"/>
        <v>0</v>
      </c>
      <c r="U96" s="1361">
        <f t="shared" si="29"/>
        <v>0</v>
      </c>
    </row>
    <row r="97" spans="1:21" ht="15.75">
      <c r="A97" s="1348">
        <v>3324</v>
      </c>
      <c r="B97" s="1349" t="s">
        <v>2530</v>
      </c>
      <c r="C97" s="1255"/>
      <c r="D97" s="1255"/>
      <c r="E97" s="1361">
        <f>'ANF, AF &amp; Passifs détaillés'!E102</f>
        <v>-166758.93841249999</v>
      </c>
      <c r="F97" s="1361">
        <f>'ANF, AF &amp; Passifs détaillés'!F102</f>
        <v>-161668.26415025</v>
      </c>
      <c r="G97" s="1361">
        <f>'ANF, AF &amp; Passifs détaillés'!G102</f>
        <v>3340168.6447964003</v>
      </c>
      <c r="H97" s="1361">
        <f>'ANF, AF &amp; Passifs détaillés'!H102</f>
        <v>-341244.28076133004</v>
      </c>
      <c r="I97" s="1361">
        <f>'ANF, AF &amp; Passifs détaillés'!I102</f>
        <v>-146734.5</v>
      </c>
      <c r="J97" s="1361">
        <f>'ANF, AF &amp; Passifs détaillés'!J102</f>
        <v>2409511.2626744802</v>
      </c>
      <c r="K97" s="1361">
        <f>'ANF, AF &amp; Passifs détaillés'!K102</f>
        <v>-446954.85599999997</v>
      </c>
      <c r="L97" s="1361">
        <f>'ANF, AF &amp; Passifs détaillés'!L102</f>
        <v>-159878.886</v>
      </c>
      <c r="M97" s="1361">
        <f>'ANF, AF &amp; Passifs détaillés'!M102</f>
        <v>8149489.0529999994</v>
      </c>
      <c r="N97" s="1361">
        <f>'ANF, AF &amp; Passifs détaillés'!N102</f>
        <v>-509501.68685250002</v>
      </c>
      <c r="O97" s="1361">
        <f>'ANF, AF &amp; Passifs détaillés'!O102</f>
        <v>-149487.76217</v>
      </c>
      <c r="P97" s="1361">
        <f>'ANF, AF &amp; Passifs détaillés'!P102</f>
        <v>-922675.75</v>
      </c>
      <c r="Q97" s="1361">
        <f t="shared" si="25"/>
        <v>10894264.036124302</v>
      </c>
      <c r="R97" s="1361">
        <f t="shared" si="26"/>
        <v>3011741.4422336505</v>
      </c>
      <c r="S97" s="1361">
        <f t="shared" si="27"/>
        <v>4933273.9241468012</v>
      </c>
      <c r="T97" s="1361">
        <f t="shared" si="28"/>
        <v>12475929.235146802</v>
      </c>
      <c r="U97" s="1361">
        <f t="shared" si="29"/>
        <v>10894264.036124302</v>
      </c>
    </row>
    <row r="98" spans="1:21" ht="15.75">
      <c r="A98" s="1348">
        <v>3325</v>
      </c>
      <c r="B98" s="1349" t="s">
        <v>2531</v>
      </c>
      <c r="C98" s="1255"/>
      <c r="D98" s="1255"/>
      <c r="E98" s="1361">
        <f>'ANF, AF &amp; Passifs détaillés'!E103</f>
        <v>0</v>
      </c>
      <c r="F98" s="1361">
        <f>'ANF, AF &amp; Passifs détaillés'!F103</f>
        <v>0</v>
      </c>
      <c r="G98" s="1361">
        <f>'ANF, AF &amp; Passifs détaillés'!G103</f>
        <v>0</v>
      </c>
      <c r="H98" s="1361">
        <f>'ANF, AF &amp; Passifs détaillés'!H103</f>
        <v>0</v>
      </c>
      <c r="I98" s="1361">
        <f>'ANF, AF &amp; Passifs détaillés'!I103</f>
        <v>0</v>
      </c>
      <c r="J98" s="1361">
        <f>'ANF, AF &amp; Passifs détaillés'!J103</f>
        <v>0</v>
      </c>
      <c r="K98" s="1361">
        <f>'ANF, AF &amp; Passifs détaillés'!K103</f>
        <v>0</v>
      </c>
      <c r="L98" s="1361">
        <f>'ANF, AF &amp; Passifs détaillés'!L103</f>
        <v>0</v>
      </c>
      <c r="M98" s="1361">
        <f>'ANF, AF &amp; Passifs détaillés'!M103</f>
        <v>0</v>
      </c>
      <c r="N98" s="1361">
        <f>'ANF, AF &amp; Passifs détaillés'!N103</f>
        <v>0</v>
      </c>
      <c r="O98" s="1361">
        <f>'ANF, AF &amp; Passifs détaillés'!O103</f>
        <v>0</v>
      </c>
      <c r="P98" s="1361">
        <f>'ANF, AF &amp; Passifs détaillés'!P103</f>
        <v>0</v>
      </c>
      <c r="Q98" s="1361">
        <f t="shared" si="25"/>
        <v>0</v>
      </c>
      <c r="R98" s="1361">
        <f t="shared" si="26"/>
        <v>0</v>
      </c>
      <c r="S98" s="1361">
        <f t="shared" si="27"/>
        <v>0</v>
      </c>
      <c r="T98" s="1361">
        <f t="shared" si="28"/>
        <v>0</v>
      </c>
      <c r="U98" s="1361">
        <f t="shared" si="29"/>
        <v>0</v>
      </c>
    </row>
    <row r="99" spans="1:21" ht="15.75">
      <c r="A99" s="1348">
        <v>3326</v>
      </c>
      <c r="B99" s="1349" t="s">
        <v>2532</v>
      </c>
      <c r="C99" s="1255"/>
      <c r="D99" s="1255"/>
      <c r="E99" s="1361">
        <f>'ANF, AF &amp; Passifs détaillés'!E104</f>
        <v>0</v>
      </c>
      <c r="F99" s="1361">
        <f>'ANF, AF &amp; Passifs détaillés'!F104</f>
        <v>0</v>
      </c>
      <c r="G99" s="1361">
        <f>'ANF, AF &amp; Passifs détaillés'!G104</f>
        <v>0</v>
      </c>
      <c r="H99" s="1361">
        <f>'ANF, AF &amp; Passifs détaillés'!H104</f>
        <v>0</v>
      </c>
      <c r="I99" s="1361">
        <f>'ANF, AF &amp; Passifs détaillés'!I104</f>
        <v>0</v>
      </c>
      <c r="J99" s="1361">
        <f>'ANF, AF &amp; Passifs détaillés'!J104</f>
        <v>0</v>
      </c>
      <c r="K99" s="1361">
        <f>'ANF, AF &amp; Passifs détaillés'!K104</f>
        <v>0</v>
      </c>
      <c r="L99" s="1361">
        <f>'ANF, AF &amp; Passifs détaillés'!L104</f>
        <v>0</v>
      </c>
      <c r="M99" s="1361">
        <f>'ANF, AF &amp; Passifs détaillés'!M104</f>
        <v>0</v>
      </c>
      <c r="N99" s="1361">
        <f>'ANF, AF &amp; Passifs détaillés'!N104</f>
        <v>0</v>
      </c>
      <c r="O99" s="1361">
        <f>'ANF, AF &amp; Passifs détaillés'!O104</f>
        <v>0</v>
      </c>
      <c r="P99" s="1361">
        <f>'ANF, AF &amp; Passifs détaillés'!P104</f>
        <v>0</v>
      </c>
      <c r="Q99" s="1361">
        <f t="shared" si="25"/>
        <v>0</v>
      </c>
      <c r="R99" s="1361">
        <f t="shared" si="26"/>
        <v>0</v>
      </c>
      <c r="S99" s="1361">
        <f t="shared" si="27"/>
        <v>0</v>
      </c>
      <c r="T99" s="1361">
        <f t="shared" si="28"/>
        <v>0</v>
      </c>
      <c r="U99" s="1361">
        <f t="shared" si="29"/>
        <v>0</v>
      </c>
    </row>
    <row r="100" spans="1:21" ht="15.75">
      <c r="A100" s="1348">
        <v>3327</v>
      </c>
      <c r="B100" s="1349" t="s">
        <v>2533</v>
      </c>
      <c r="C100" s="1255"/>
      <c r="D100" s="1255"/>
      <c r="E100" s="1361">
        <f>'ANF, AF &amp; Passifs détaillés'!E105</f>
        <v>0</v>
      </c>
      <c r="F100" s="1361">
        <f>'ANF, AF &amp; Passifs détaillés'!F105</f>
        <v>0</v>
      </c>
      <c r="G100" s="1361">
        <f>'ANF, AF &amp; Passifs détaillés'!G105</f>
        <v>0</v>
      </c>
      <c r="H100" s="1361">
        <f>'ANF, AF &amp; Passifs détaillés'!H105</f>
        <v>0</v>
      </c>
      <c r="I100" s="1361">
        <f>'ANF, AF &amp; Passifs détaillés'!I105</f>
        <v>0</v>
      </c>
      <c r="J100" s="1361">
        <f>'ANF, AF &amp; Passifs détaillés'!J105</f>
        <v>0</v>
      </c>
      <c r="K100" s="1361">
        <f>'ANF, AF &amp; Passifs détaillés'!K105</f>
        <v>0</v>
      </c>
      <c r="L100" s="1361">
        <f>'ANF, AF &amp; Passifs détaillés'!L105</f>
        <v>0</v>
      </c>
      <c r="M100" s="1361">
        <f>'ANF, AF &amp; Passifs détaillés'!M105</f>
        <v>0</v>
      </c>
      <c r="N100" s="1361">
        <f>'ANF, AF &amp; Passifs détaillés'!N105</f>
        <v>0</v>
      </c>
      <c r="O100" s="1361">
        <f>'ANF, AF &amp; Passifs détaillés'!O105</f>
        <v>0</v>
      </c>
      <c r="P100" s="1361">
        <f>'ANF, AF &amp; Passifs détaillés'!P105</f>
        <v>0</v>
      </c>
      <c r="Q100" s="1361">
        <f t="shared" si="25"/>
        <v>0</v>
      </c>
      <c r="R100" s="1361">
        <f t="shared" si="26"/>
        <v>0</v>
      </c>
      <c r="S100" s="1361">
        <f t="shared" si="27"/>
        <v>0</v>
      </c>
      <c r="T100" s="1361">
        <f t="shared" si="28"/>
        <v>0</v>
      </c>
      <c r="U100" s="1361">
        <f t="shared" si="29"/>
        <v>0</v>
      </c>
    </row>
    <row r="101" spans="1:21" ht="16.5" thickBot="1">
      <c r="A101" s="1356">
        <v>3328</v>
      </c>
      <c r="B101" s="1357" t="s">
        <v>2534</v>
      </c>
      <c r="C101" s="1264"/>
      <c r="D101" s="1264"/>
      <c r="E101" s="1361">
        <f>'ANF, AF &amp; Passifs détaillés'!E106</f>
        <v>0</v>
      </c>
      <c r="F101" s="1361">
        <f>'ANF, AF &amp; Passifs détaillés'!F106</f>
        <v>0</v>
      </c>
      <c r="G101" s="1361">
        <f>'ANF, AF &amp; Passifs détaillés'!G106</f>
        <v>0</v>
      </c>
      <c r="H101" s="1361">
        <f>'ANF, AF &amp; Passifs détaillés'!H106</f>
        <v>0</v>
      </c>
      <c r="I101" s="1361">
        <f>'ANF, AF &amp; Passifs détaillés'!I106</f>
        <v>0</v>
      </c>
      <c r="J101" s="1361">
        <f>'ANF, AF &amp; Passifs détaillés'!J106</f>
        <v>0</v>
      </c>
      <c r="K101" s="1361">
        <f>'ANF, AF &amp; Passifs détaillés'!K106</f>
        <v>0</v>
      </c>
      <c r="L101" s="1361">
        <f>'ANF, AF &amp; Passifs détaillés'!L106</f>
        <v>0</v>
      </c>
      <c r="M101" s="1361">
        <f>'ANF, AF &amp; Passifs détaillés'!M106</f>
        <v>0</v>
      </c>
      <c r="N101" s="1361">
        <f>'ANF, AF &amp; Passifs détaillés'!N106</f>
        <v>0</v>
      </c>
      <c r="O101" s="1361">
        <f>'ANF, AF &amp; Passifs détaillés'!O106</f>
        <v>0</v>
      </c>
      <c r="P101" s="1361">
        <f>'ANF, AF &amp; Passifs détaillés'!P106</f>
        <v>0</v>
      </c>
      <c r="Q101" s="1361">
        <f t="shared" si="25"/>
        <v>0</v>
      </c>
      <c r="R101" s="1361">
        <f t="shared" si="26"/>
        <v>0</v>
      </c>
      <c r="S101" s="1361">
        <f t="shared" si="27"/>
        <v>0</v>
      </c>
      <c r="T101" s="1361">
        <f t="shared" si="28"/>
        <v>0</v>
      </c>
      <c r="U101" s="1361">
        <f t="shared" si="29"/>
        <v>0</v>
      </c>
    </row>
    <row r="102" spans="1:21" ht="15.75">
      <c r="A102" s="1358"/>
      <c r="B102" s="1359" t="s">
        <v>2551</v>
      </c>
      <c r="C102" s="1265"/>
      <c r="D102" s="1265"/>
      <c r="E102" s="1266">
        <f>E64-E65</f>
        <v>3110452.2425678009</v>
      </c>
      <c r="F102" s="1266">
        <f t="shared" ref="F102:P102" si="34">F64-F65</f>
        <v>-1042986.3744628802</v>
      </c>
      <c r="G102" s="1266">
        <f t="shared" si="34"/>
        <v>-1732914.4911600985</v>
      </c>
      <c r="H102" s="1266">
        <f t="shared" si="34"/>
        <v>-1374856.3608852038</v>
      </c>
      <c r="I102" s="1266">
        <f t="shared" si="34"/>
        <v>-23684017.802164998</v>
      </c>
      <c r="J102" s="1266">
        <f t="shared" si="34"/>
        <v>337645.99603005731</v>
      </c>
      <c r="K102" s="1266">
        <f t="shared" si="34"/>
        <v>2162878.6359519954</v>
      </c>
      <c r="L102" s="1266">
        <f t="shared" si="34"/>
        <v>-3085834.5249600047</v>
      </c>
      <c r="M102" s="1266">
        <f t="shared" si="34"/>
        <v>-706685.9220851101</v>
      </c>
      <c r="N102" s="1266">
        <f t="shared" si="34"/>
        <v>6358189.0555324908</v>
      </c>
      <c r="O102" s="1266">
        <f t="shared" si="34"/>
        <v>-1254021.8166951868</v>
      </c>
      <c r="P102" s="1266">
        <f t="shared" si="34"/>
        <v>17809014.740048058</v>
      </c>
      <c r="Q102" s="1266">
        <f t="shared" si="25"/>
        <v>-3103136.622283075</v>
      </c>
      <c r="R102" s="1266">
        <f t="shared" si="26"/>
        <v>334551.37694482226</v>
      </c>
      <c r="S102" s="1266">
        <f t="shared" si="27"/>
        <v>-24386676.790075321</v>
      </c>
      <c r="T102" s="1266">
        <f t="shared" si="28"/>
        <v>-26016318.601168439</v>
      </c>
      <c r="U102" s="1266">
        <f t="shared" si="29"/>
        <v>-3103136.622283075</v>
      </c>
    </row>
  </sheetData>
  <mergeCells count="2">
    <mergeCell ref="A2:B2"/>
    <mergeCell ref="A3:B3"/>
  </mergeCells>
  <pageMargins left="0.27559055118110237" right="0.23622047244094491" top="0.62992125984251968" bottom="0.47244094488188981" header="0.31496062992125984" footer="0.31496062992125984"/>
  <pageSetup paperSize="9" scale="55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6"/>
  <dimension ref="A1"/>
  <sheetViews>
    <sheetView workbookViewId="0"/>
  </sheetViews>
  <sheetFormatPr defaultRowHeight="12.75"/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"/>
  <dimension ref="A5:N148"/>
  <sheetViews>
    <sheetView zoomScaleSheetLayoutView="80" workbookViewId="0"/>
  </sheetViews>
  <sheetFormatPr defaultColWidth="8" defaultRowHeight="12.75"/>
  <cols>
    <col min="1" max="1" width="9" style="173" customWidth="1"/>
    <col min="2" max="2" width="46.5703125" style="173" customWidth="1"/>
    <col min="3" max="3" width="26.42578125" style="173" hidden="1" customWidth="1"/>
    <col min="4" max="4" width="4.5703125" style="173" customWidth="1"/>
    <col min="5" max="5" width="13" style="173" customWidth="1"/>
    <col min="6" max="6" width="9.5703125" style="173" customWidth="1"/>
    <col min="7" max="7" width="13.140625" style="173" customWidth="1"/>
    <col min="8" max="8" width="9.5703125" style="173" customWidth="1"/>
    <col min="9" max="9" width="0" style="173" hidden="1" customWidth="1"/>
    <col min="10" max="10" width="8" style="173" customWidth="1"/>
    <col min="11" max="11" width="11.85546875" style="173" customWidth="1"/>
    <col min="12" max="12" width="13.5703125" style="173" customWidth="1"/>
    <col min="13" max="16384" width="8" style="173"/>
  </cols>
  <sheetData>
    <row r="5" spans="1:11" ht="15.75">
      <c r="A5" s="2227" t="s">
        <v>392</v>
      </c>
      <c r="B5" s="2227"/>
      <c r="C5" s="2227"/>
      <c r="D5" s="2227"/>
      <c r="E5" s="2227"/>
      <c r="F5" s="2227"/>
      <c r="G5" s="2227"/>
      <c r="H5" s="2227"/>
    </row>
    <row r="6" spans="1:11" ht="14.25">
      <c r="A6" s="2228" t="s">
        <v>393</v>
      </c>
      <c r="B6" s="2228"/>
      <c r="C6" s="2228"/>
      <c r="D6" s="2228"/>
      <c r="E6" s="2228"/>
      <c r="F6" s="2228"/>
      <c r="G6" s="2228"/>
      <c r="H6" s="2228"/>
    </row>
    <row r="8" spans="1:11" ht="15.75">
      <c r="A8" s="2229" t="s">
        <v>287</v>
      </c>
      <c r="B8" s="2229"/>
      <c r="C8" s="2229"/>
      <c r="D8" s="2229"/>
      <c r="E8" s="2229"/>
      <c r="F8" s="2229"/>
      <c r="G8" s="2229"/>
      <c r="H8" s="2229"/>
    </row>
    <row r="9" spans="1:11" ht="9.9499999999999993" customHeight="1">
      <c r="A9" s="174"/>
      <c r="B9" s="174"/>
      <c r="C9" s="174"/>
      <c r="D9" s="174"/>
      <c r="E9" s="174"/>
      <c r="F9" s="174"/>
      <c r="G9" s="174"/>
      <c r="H9" s="174"/>
    </row>
    <row r="10" spans="1:11" ht="15.75">
      <c r="A10" s="2229" t="s">
        <v>1453</v>
      </c>
      <c r="B10" s="2229"/>
      <c r="C10" s="2229"/>
      <c r="D10" s="2229"/>
      <c r="E10" s="2229"/>
      <c r="F10" s="2229"/>
      <c r="G10" s="2229"/>
      <c r="H10" s="2229"/>
    </row>
    <row r="11" spans="1:11" ht="6" customHeight="1" thickBot="1"/>
    <row r="12" spans="1:11" ht="15.75">
      <c r="A12" s="2250"/>
      <c r="B12" s="2248" t="s">
        <v>394</v>
      </c>
      <c r="C12" s="175"/>
      <c r="D12" s="2246"/>
      <c r="E12" s="2232">
        <v>2016</v>
      </c>
      <c r="F12" s="2233"/>
      <c r="G12" s="2232">
        <v>2017</v>
      </c>
      <c r="H12" s="2234"/>
      <c r="I12" s="176"/>
    </row>
    <row r="13" spans="1:11" ht="16.5" thickBot="1">
      <c r="A13" s="2251"/>
      <c r="B13" s="2249"/>
      <c r="C13" s="177" t="s">
        <v>394</v>
      </c>
      <c r="D13" s="2247"/>
      <c r="E13" s="2235">
        <v>205012</v>
      </c>
      <c r="F13" s="2237"/>
      <c r="G13" s="2235">
        <v>418800</v>
      </c>
      <c r="H13" s="2236"/>
      <c r="I13" s="178"/>
      <c r="K13" s="224"/>
    </row>
    <row r="14" spans="1:11" ht="12" customHeight="1" thickBot="1">
      <c r="A14" s="2241"/>
      <c r="B14" s="2241"/>
      <c r="C14" s="2241"/>
      <c r="D14" s="2241"/>
      <c r="E14" s="2241"/>
      <c r="F14" s="2241"/>
      <c r="G14" s="2241"/>
      <c r="H14" s="2241"/>
      <c r="I14" s="180"/>
    </row>
    <row r="15" spans="1:11">
      <c r="A15" s="2242" t="s">
        <v>395</v>
      </c>
      <c r="B15" s="2244" t="s">
        <v>396</v>
      </c>
      <c r="C15" s="181" t="s">
        <v>397</v>
      </c>
      <c r="D15" s="182"/>
      <c r="E15" s="2238" t="s">
        <v>398</v>
      </c>
      <c r="F15" s="2239"/>
      <c r="G15" s="2238" t="s">
        <v>398</v>
      </c>
      <c r="H15" s="2240"/>
      <c r="I15" s="2230" t="s">
        <v>399</v>
      </c>
    </row>
    <row r="16" spans="1:11" ht="30" customHeight="1" thickBot="1">
      <c r="A16" s="2243"/>
      <c r="B16" s="2245"/>
      <c r="C16" s="183"/>
      <c r="D16" s="184"/>
      <c r="E16" s="185" t="s">
        <v>401</v>
      </c>
      <c r="F16" s="186" t="s">
        <v>400</v>
      </c>
      <c r="G16" s="185" t="s">
        <v>401</v>
      </c>
      <c r="H16" s="187" t="s">
        <v>400</v>
      </c>
      <c r="I16" s="2231"/>
    </row>
    <row r="17" spans="1:12" ht="12" customHeight="1" thickBot="1">
      <c r="A17" s="179"/>
      <c r="B17" s="188"/>
      <c r="C17" s="188"/>
      <c r="D17" s="179"/>
      <c r="E17" s="189"/>
      <c r="F17" s="190"/>
      <c r="G17" s="190"/>
      <c r="H17" s="190"/>
      <c r="I17" s="191"/>
    </row>
    <row r="18" spans="1:12" ht="15.75">
      <c r="A18" s="192" t="s">
        <v>402</v>
      </c>
      <c r="B18" s="193" t="s">
        <v>186</v>
      </c>
      <c r="C18" s="194" t="s">
        <v>403</v>
      </c>
      <c r="D18" s="195"/>
      <c r="E18" s="196">
        <f>E19+E41+E43</f>
        <v>145709.34</v>
      </c>
      <c r="F18" s="197">
        <f>E18/$G$13*100</f>
        <v>34.792106017191976</v>
      </c>
      <c r="G18" s="196">
        <f>G19+G41+G43</f>
        <v>103397.983633</v>
      </c>
      <c r="H18" s="198">
        <f>G18/$G$13*100</f>
        <v>24.689107839780323</v>
      </c>
      <c r="I18" s="199">
        <f t="shared" ref="I18:I25" si="0">+G18/E18*100</f>
        <v>70.961809059734946</v>
      </c>
    </row>
    <row r="19" spans="1:12" ht="14.25">
      <c r="A19" s="200" t="s">
        <v>404</v>
      </c>
      <c r="B19" s="201" t="s">
        <v>405</v>
      </c>
      <c r="C19" s="202" t="s">
        <v>406</v>
      </c>
      <c r="D19" s="203"/>
      <c r="E19" s="204">
        <f>E20+E27+SUM(E37:E40)</f>
        <v>29887.34</v>
      </c>
      <c r="F19" s="205">
        <f>E19/E13*100</f>
        <v>14.578336877841297</v>
      </c>
      <c r="G19" s="204">
        <f>G20+G27+SUM(G38:G41)</f>
        <v>44994.764422999993</v>
      </c>
      <c r="H19" s="206">
        <f>G19/G13*100</f>
        <v>10.743735535577841</v>
      </c>
      <c r="I19" s="205">
        <f t="shared" si="0"/>
        <v>150.54790564499882</v>
      </c>
      <c r="K19" s="207"/>
    </row>
    <row r="20" spans="1:12" ht="13.5">
      <c r="A20" s="208" t="s">
        <v>407</v>
      </c>
      <c r="B20" s="209" t="s">
        <v>408</v>
      </c>
      <c r="C20" s="210" t="s">
        <v>409</v>
      </c>
      <c r="D20" s="211"/>
      <c r="E20" s="212">
        <f>SUM(E21:E25)</f>
        <v>18965.977999999999</v>
      </c>
      <c r="F20" s="213">
        <f t="shared" ref="F20:F25" si="1">E20/$G$13*100</f>
        <v>4.528648042024833</v>
      </c>
      <c r="G20" s="212">
        <f>SUM(G21:G25)</f>
        <v>32102.473679999996</v>
      </c>
      <c r="H20" s="215">
        <f t="shared" ref="H20:H25" si="2">G20/$G$13*100</f>
        <v>7.6653471060171912</v>
      </c>
      <c r="I20" s="213">
        <f t="shared" si="0"/>
        <v>169.2634763153263</v>
      </c>
    </row>
    <row r="21" spans="1:12">
      <c r="A21" s="216" t="s">
        <v>410</v>
      </c>
      <c r="B21" s="217" t="s">
        <v>411</v>
      </c>
      <c r="C21" s="218" t="s">
        <v>412</v>
      </c>
      <c r="D21" s="219" t="s">
        <v>413</v>
      </c>
      <c r="E21" s="220">
        <v>5643.2839999999997</v>
      </c>
      <c r="F21" s="221">
        <f t="shared" si="1"/>
        <v>1.3474890162368671</v>
      </c>
      <c r="G21" s="220">
        <v>9509.4757699999991</v>
      </c>
      <c r="H21" s="222">
        <f t="shared" si="2"/>
        <v>2.270648464660936</v>
      </c>
      <c r="I21" s="221">
        <f t="shared" si="0"/>
        <v>168.50960841240666</v>
      </c>
    </row>
    <row r="22" spans="1:12">
      <c r="A22" s="216" t="s">
        <v>414</v>
      </c>
      <c r="B22" s="217" t="s">
        <v>415</v>
      </c>
      <c r="C22" s="218" t="s">
        <v>416</v>
      </c>
      <c r="D22" s="219" t="s">
        <v>413</v>
      </c>
      <c r="E22" s="220">
        <v>0</v>
      </c>
      <c r="F22" s="221">
        <f t="shared" si="1"/>
        <v>0</v>
      </c>
      <c r="G22" s="220">
        <v>0</v>
      </c>
      <c r="H22" s="222">
        <f t="shared" si="2"/>
        <v>0</v>
      </c>
      <c r="I22" s="221" t="e">
        <f t="shared" si="0"/>
        <v>#DIV/0!</v>
      </c>
    </row>
    <row r="23" spans="1:12">
      <c r="A23" s="216" t="s">
        <v>417</v>
      </c>
      <c r="B23" s="217" t="s">
        <v>418</v>
      </c>
      <c r="C23" s="218" t="s">
        <v>419</v>
      </c>
      <c r="D23" s="219" t="s">
        <v>413</v>
      </c>
      <c r="E23" s="220">
        <v>6207</v>
      </c>
      <c r="F23" s="221">
        <f t="shared" si="1"/>
        <v>1.4820916905444126</v>
      </c>
      <c r="G23" s="835">
        <f>2250+9272.519238</f>
        <v>11522.519238000001</v>
      </c>
      <c r="H23" s="222">
        <f t="shared" si="2"/>
        <v>2.7513178696275076</v>
      </c>
      <c r="I23" s="221">
        <f t="shared" si="0"/>
        <v>185.63749376510393</v>
      </c>
    </row>
    <row r="24" spans="1:12">
      <c r="A24" s="216" t="s">
        <v>420</v>
      </c>
      <c r="B24" s="217" t="s">
        <v>421</v>
      </c>
      <c r="C24" s="218" t="s">
        <v>422</v>
      </c>
      <c r="D24" s="219" t="s">
        <v>413</v>
      </c>
      <c r="E24" s="220">
        <v>6775.6940000000004</v>
      </c>
      <c r="F24" s="221">
        <f t="shared" si="1"/>
        <v>1.6178829990448902</v>
      </c>
      <c r="G24" s="220">
        <v>10495.504671999999</v>
      </c>
      <c r="H24" s="222">
        <f t="shared" si="2"/>
        <v>2.5060899407831898</v>
      </c>
      <c r="I24" s="221">
        <f t="shared" si="0"/>
        <v>154.89933093200489</v>
      </c>
    </row>
    <row r="25" spans="1:12">
      <c r="A25" s="216" t="s">
        <v>423</v>
      </c>
      <c r="B25" s="217" t="s">
        <v>424</v>
      </c>
      <c r="C25" s="218" t="s">
        <v>425</v>
      </c>
      <c r="D25" s="219" t="s">
        <v>413</v>
      </c>
      <c r="E25" s="220">
        <v>340</v>
      </c>
      <c r="F25" s="221">
        <f t="shared" si="1"/>
        <v>8.1184336198662846E-2</v>
      </c>
      <c r="G25" s="835">
        <f>74.974+500</f>
        <v>574.97400000000005</v>
      </c>
      <c r="H25" s="222">
        <f t="shared" si="2"/>
        <v>0.13729083094555875</v>
      </c>
      <c r="I25" s="221">
        <f t="shared" si="0"/>
        <v>169.11</v>
      </c>
      <c r="K25" s="224"/>
    </row>
    <row r="26" spans="1:12" ht="12" customHeight="1">
      <c r="A26" s="216"/>
      <c r="B26" s="217"/>
      <c r="C26" s="218"/>
      <c r="D26" s="223"/>
      <c r="E26" s="220"/>
      <c r="F26" s="221"/>
      <c r="G26" s="220"/>
      <c r="H26" s="222"/>
      <c r="I26" s="221"/>
      <c r="L26" s="224"/>
    </row>
    <row r="27" spans="1:12" ht="13.5">
      <c r="A27" s="208" t="s">
        <v>426</v>
      </c>
      <c r="B27" s="209" t="s">
        <v>427</v>
      </c>
      <c r="C27" s="210" t="s">
        <v>428</v>
      </c>
      <c r="D27" s="211"/>
      <c r="E27" s="212">
        <f>E28+E29+E32+E34+E36</f>
        <v>10921.362000000001</v>
      </c>
      <c r="F27" s="213">
        <f t="shared" ref="F27:F33" si="3">E27/$G$13*100</f>
        <v>2.6077750716332377</v>
      </c>
      <c r="G27" s="212">
        <f>G28+G29+G32+G34+G36</f>
        <v>12892.290743</v>
      </c>
      <c r="H27" s="215">
        <f t="shared" ref="H27:H36" si="4">G27/$G$13*100</f>
        <v>3.0783884295606496</v>
      </c>
      <c r="I27" s="213">
        <f t="shared" ref="I27:I36" si="5">+G27/E27*100</f>
        <v>118.0465471522691</v>
      </c>
      <c r="L27" s="224"/>
    </row>
    <row r="28" spans="1:12">
      <c r="A28" s="216" t="s">
        <v>429</v>
      </c>
      <c r="B28" s="217" t="s">
        <v>430</v>
      </c>
      <c r="C28" s="218" t="s">
        <v>431</v>
      </c>
      <c r="D28" s="219" t="s">
        <v>413</v>
      </c>
      <c r="E28" s="220">
        <v>0</v>
      </c>
      <c r="F28" s="221">
        <f t="shared" si="3"/>
        <v>0</v>
      </c>
      <c r="G28" s="220"/>
      <c r="H28" s="222">
        <f t="shared" si="4"/>
        <v>0</v>
      </c>
      <c r="I28" s="221" t="e">
        <f t="shared" si="5"/>
        <v>#DIV/0!</v>
      </c>
    </row>
    <row r="29" spans="1:12">
      <c r="A29" s="216" t="s">
        <v>432</v>
      </c>
      <c r="B29" s="217" t="s">
        <v>433</v>
      </c>
      <c r="C29" s="218" t="s">
        <v>434</v>
      </c>
      <c r="D29" s="223"/>
      <c r="E29" s="220">
        <f>E30+E31</f>
        <v>3324</v>
      </c>
      <c r="F29" s="221">
        <f t="shared" si="3"/>
        <v>0.79369627507163321</v>
      </c>
      <c r="G29" s="220">
        <v>2960</v>
      </c>
      <c r="H29" s="222">
        <f t="shared" si="4"/>
        <v>0.70678127984718242</v>
      </c>
      <c r="I29" s="221">
        <f t="shared" si="5"/>
        <v>89.049338146811081</v>
      </c>
    </row>
    <row r="30" spans="1:12">
      <c r="A30" s="225"/>
      <c r="B30" s="226" t="s">
        <v>435</v>
      </c>
      <c r="C30" s="227" t="s">
        <v>436</v>
      </c>
      <c r="D30" s="219" t="s">
        <v>413</v>
      </c>
      <c r="E30" s="228">
        <v>3016</v>
      </c>
      <c r="F30" s="229">
        <f t="shared" si="3"/>
        <v>0.72015281757402105</v>
      </c>
      <c r="G30" s="837">
        <f>2060+900</f>
        <v>2960</v>
      </c>
      <c r="H30" s="230">
        <f t="shared" si="4"/>
        <v>0.70678127984718242</v>
      </c>
      <c r="I30" s="229">
        <f t="shared" si="5"/>
        <v>98.143236074270561</v>
      </c>
    </row>
    <row r="31" spans="1:12">
      <c r="A31" s="225"/>
      <c r="B31" s="226" t="s">
        <v>437</v>
      </c>
      <c r="C31" s="227" t="s">
        <v>438</v>
      </c>
      <c r="D31" s="219" t="s">
        <v>413</v>
      </c>
      <c r="E31" s="228">
        <v>308</v>
      </c>
      <c r="F31" s="229">
        <f t="shared" si="3"/>
        <v>7.3543457497612222E-2</v>
      </c>
      <c r="G31" s="228"/>
      <c r="H31" s="230">
        <f t="shared" si="4"/>
        <v>0</v>
      </c>
      <c r="I31" s="229">
        <f t="shared" si="5"/>
        <v>0</v>
      </c>
    </row>
    <row r="32" spans="1:12">
      <c r="A32" s="216" t="s">
        <v>439</v>
      </c>
      <c r="B32" s="217" t="s">
        <v>440</v>
      </c>
      <c r="C32" s="218" t="s">
        <v>441</v>
      </c>
      <c r="D32" s="219" t="s">
        <v>413</v>
      </c>
      <c r="E32" s="220">
        <v>6576.808</v>
      </c>
      <c r="F32" s="221">
        <f t="shared" si="3"/>
        <v>1.5703935052531042</v>
      </c>
      <c r="G32" s="220">
        <v>8155.7407430000003</v>
      </c>
      <c r="H32" s="222">
        <f t="shared" si="4"/>
        <v>1.9474070542024835</v>
      </c>
      <c r="I32" s="221">
        <f t="shared" si="5"/>
        <v>124.00758457598275</v>
      </c>
    </row>
    <row r="33" spans="1:9">
      <c r="A33" s="216"/>
      <c r="B33" s="226" t="s">
        <v>435</v>
      </c>
      <c r="C33" s="218"/>
      <c r="D33" s="219"/>
      <c r="E33" s="220">
        <v>4920</v>
      </c>
      <c r="F33" s="221">
        <f t="shared" si="3"/>
        <v>1.174785100286533</v>
      </c>
      <c r="G33" s="832">
        <v>6524.4279999999999</v>
      </c>
      <c r="H33" s="222">
        <f t="shared" si="4"/>
        <v>1.5578863419293218</v>
      </c>
      <c r="I33" s="221">
        <f t="shared" si="5"/>
        <v>132.61032520325202</v>
      </c>
    </row>
    <row r="34" spans="1:9">
      <c r="A34" s="216" t="s">
        <v>442</v>
      </c>
      <c r="B34" s="217" t="s">
        <v>443</v>
      </c>
      <c r="C34" s="218" t="s">
        <v>444</v>
      </c>
      <c r="D34" s="219" t="s">
        <v>413</v>
      </c>
      <c r="E34" s="228">
        <v>1020.554</v>
      </c>
      <c r="F34" s="221">
        <f>E34/$G$13*100</f>
        <v>0.24368529130850045</v>
      </c>
      <c r="G34" s="836">
        <v>1233.55</v>
      </c>
      <c r="H34" s="222">
        <f t="shared" si="4"/>
        <v>0.29454393505253101</v>
      </c>
      <c r="I34" s="221">
        <f t="shared" si="5"/>
        <v>120.87062517025066</v>
      </c>
    </row>
    <row r="35" spans="1:9">
      <c r="A35" s="216"/>
      <c r="B35" s="226" t="s">
        <v>435</v>
      </c>
      <c r="C35" s="218"/>
      <c r="D35" s="219"/>
      <c r="E35" s="228"/>
      <c r="F35" s="221">
        <f>E35/$G$13*100</f>
        <v>0</v>
      </c>
      <c r="G35" s="838">
        <v>200</v>
      </c>
      <c r="H35" s="222">
        <f t="shared" si="4"/>
        <v>4.775549188156638E-2</v>
      </c>
      <c r="I35" s="221"/>
    </row>
    <row r="36" spans="1:9">
      <c r="A36" s="216" t="s">
        <v>445</v>
      </c>
      <c r="B36" s="217" t="s">
        <v>447</v>
      </c>
      <c r="C36" s="218" t="s">
        <v>448</v>
      </c>
      <c r="D36" s="219" t="s">
        <v>413</v>
      </c>
      <c r="E36" s="228">
        <v>0</v>
      </c>
      <c r="F36" s="221">
        <f>E36/$G$13*100</f>
        <v>0</v>
      </c>
      <c r="G36" s="220">
        <v>543</v>
      </c>
      <c r="H36" s="222">
        <f t="shared" si="4"/>
        <v>0.12965616045845274</v>
      </c>
      <c r="I36" s="221" t="e">
        <f t="shared" si="5"/>
        <v>#DIV/0!</v>
      </c>
    </row>
    <row r="37" spans="1:9" ht="12" customHeight="1">
      <c r="A37" s="231"/>
      <c r="B37" s="232"/>
      <c r="C37" s="233"/>
      <c r="D37" s="234"/>
      <c r="E37" s="212"/>
      <c r="F37" s="213"/>
      <c r="G37" s="212"/>
      <c r="H37" s="215"/>
      <c r="I37" s="213"/>
    </row>
    <row r="38" spans="1:9" ht="13.5">
      <c r="A38" s="208" t="s">
        <v>449</v>
      </c>
      <c r="B38" s="209" t="s">
        <v>450</v>
      </c>
      <c r="C38" s="210" t="s">
        <v>451</v>
      </c>
      <c r="D38" s="219" t="s">
        <v>413</v>
      </c>
      <c r="E38" s="212"/>
      <c r="F38" s="235"/>
      <c r="G38" s="212"/>
      <c r="H38" s="236"/>
      <c r="I38" s="237"/>
    </row>
    <row r="39" spans="1:9" ht="13.5">
      <c r="A39" s="208" t="s">
        <v>452</v>
      </c>
      <c r="B39" s="209" t="s">
        <v>453</v>
      </c>
      <c r="C39" s="210" t="s">
        <v>454</v>
      </c>
      <c r="D39" s="219" t="s">
        <v>413</v>
      </c>
      <c r="E39" s="212">
        <v>0</v>
      </c>
      <c r="F39" s="213">
        <f>E38/$G$13*100</f>
        <v>0</v>
      </c>
      <c r="G39" s="212"/>
      <c r="H39" s="215">
        <f>G38/$G$13*100</f>
        <v>0</v>
      </c>
      <c r="I39" s="213"/>
    </row>
    <row r="40" spans="1:9" ht="13.5">
      <c r="A40" s="208" t="s">
        <v>455</v>
      </c>
      <c r="B40" s="209" t="s">
        <v>456</v>
      </c>
      <c r="C40" s="210" t="s">
        <v>457</v>
      </c>
      <c r="D40" s="219" t="s">
        <v>413</v>
      </c>
      <c r="E40" s="825">
        <v>0</v>
      </c>
      <c r="F40" s="213">
        <f>E39/$G$13*100</f>
        <v>0</v>
      </c>
      <c r="G40" s="833"/>
      <c r="H40" s="215">
        <f>G39/$G$13*100</f>
        <v>0</v>
      </c>
      <c r="I40" s="213"/>
    </row>
    <row r="41" spans="1:9" ht="13.5">
      <c r="A41" s="208" t="s">
        <v>458</v>
      </c>
      <c r="B41" s="209" t="s">
        <v>459</v>
      </c>
      <c r="C41" s="210" t="s">
        <v>460</v>
      </c>
      <c r="D41" s="219" t="s">
        <v>413</v>
      </c>
      <c r="E41" s="212">
        <v>0</v>
      </c>
      <c r="F41" s="213">
        <f>E41/$G$13*100</f>
        <v>0</v>
      </c>
      <c r="G41" s="214"/>
      <c r="H41" s="215">
        <f>G41/$G$13*100</f>
        <v>0</v>
      </c>
      <c r="I41" s="213" t="e">
        <f>+G41/E41*100</f>
        <v>#DIV/0!</v>
      </c>
    </row>
    <row r="42" spans="1:9" ht="12" customHeight="1">
      <c r="A42" s="216"/>
      <c r="B42" s="217"/>
      <c r="C42" s="218"/>
      <c r="D42" s="223"/>
      <c r="E42" s="238"/>
      <c r="F42" s="235"/>
      <c r="G42" s="834"/>
      <c r="H42" s="236"/>
      <c r="I42" s="237"/>
    </row>
    <row r="43" spans="1:9" ht="14.25">
      <c r="A43" s="239" t="s">
        <v>461</v>
      </c>
      <c r="B43" s="201" t="s">
        <v>187</v>
      </c>
      <c r="C43" s="202" t="s">
        <v>64</v>
      </c>
      <c r="D43" s="203"/>
      <c r="E43" s="204">
        <f>E44+E47</f>
        <v>115822</v>
      </c>
      <c r="F43" s="205">
        <f>E43/$G$13*100</f>
        <v>27.655682903533908</v>
      </c>
      <c r="G43" s="204">
        <f>G44+G47</f>
        <v>58403.219209999996</v>
      </c>
      <c r="H43" s="206">
        <f>G43/$G$13*100</f>
        <v>13.945372304202483</v>
      </c>
      <c r="I43" s="205">
        <f>+G43/E43*100</f>
        <v>50.424979028163911</v>
      </c>
    </row>
    <row r="44" spans="1:9" ht="13.5">
      <c r="A44" s="208" t="s">
        <v>462</v>
      </c>
      <c r="B44" s="209" t="s">
        <v>463</v>
      </c>
      <c r="C44" s="210"/>
      <c r="D44" s="211"/>
      <c r="E44" s="212">
        <f>SUMIF(E45:E46,"&lt;&gt;0")</f>
        <v>0</v>
      </c>
      <c r="F44" s="213">
        <f>E44/$G$13*100</f>
        <v>0</v>
      </c>
      <c r="G44" s="212">
        <f>SUMIF(G45:G46,"&lt;&gt;0")</f>
        <v>0</v>
      </c>
      <c r="H44" s="215">
        <f>G44/$G$13*100</f>
        <v>0</v>
      </c>
      <c r="I44" s="213"/>
    </row>
    <row r="45" spans="1:9">
      <c r="A45" s="216" t="s">
        <v>464</v>
      </c>
      <c r="B45" s="217" t="s">
        <v>465</v>
      </c>
      <c r="C45" s="218"/>
      <c r="D45" s="223"/>
      <c r="E45" s="220">
        <v>0</v>
      </c>
      <c r="F45" s="221"/>
      <c r="G45" s="220"/>
      <c r="H45" s="222"/>
      <c r="I45" s="221"/>
    </row>
    <row r="46" spans="1:9">
      <c r="A46" s="216" t="s">
        <v>466</v>
      </c>
      <c r="B46" s="217" t="s">
        <v>467</v>
      </c>
      <c r="C46" s="218"/>
      <c r="D46" s="223"/>
      <c r="E46" s="220"/>
      <c r="F46" s="221"/>
      <c r="G46" s="220"/>
      <c r="H46" s="222"/>
      <c r="I46" s="221"/>
    </row>
    <row r="47" spans="1:9" ht="13.5">
      <c r="A47" s="208" t="s">
        <v>468</v>
      </c>
      <c r="B47" s="240" t="s">
        <v>469</v>
      </c>
      <c r="C47" s="241"/>
      <c r="D47" s="242"/>
      <c r="E47" s="243">
        <f>SUMIF(E48:E50,"&lt;&gt;0")</f>
        <v>115822</v>
      </c>
      <c r="F47" s="244">
        <f>E47/$G$13*100</f>
        <v>27.655682903533908</v>
      </c>
      <c r="G47" s="243">
        <f>SUMIF(G48:G50,"&lt;&gt;0")</f>
        <v>58403.219209999996</v>
      </c>
      <c r="H47" s="245">
        <f>G47/$G$13*100</f>
        <v>13.945372304202483</v>
      </c>
      <c r="I47" s="244">
        <f>+G47/E47*100</f>
        <v>50.424979028163911</v>
      </c>
    </row>
    <row r="48" spans="1:9">
      <c r="A48" s="216" t="s">
        <v>470</v>
      </c>
      <c r="B48" s="217" t="s">
        <v>465</v>
      </c>
      <c r="C48" s="218" t="s">
        <v>471</v>
      </c>
      <c r="D48" s="219" t="s">
        <v>413</v>
      </c>
      <c r="E48" s="220">
        <v>59031</v>
      </c>
      <c r="F48" s="221">
        <f>E48/$G$13*100</f>
        <v>14.095272206303724</v>
      </c>
      <c r="G48" s="220">
        <v>30635.737209999999</v>
      </c>
      <c r="H48" s="222">
        <f>G48/$G$13*100</f>
        <v>7.3151234980897799</v>
      </c>
      <c r="I48" s="221">
        <f>+G48/E48*100</f>
        <v>51.8977100337111</v>
      </c>
    </row>
    <row r="49" spans="1:12">
      <c r="A49" s="216" t="s">
        <v>472</v>
      </c>
      <c r="B49" s="217" t="s">
        <v>473</v>
      </c>
      <c r="C49" s="218" t="s">
        <v>474</v>
      </c>
      <c r="D49" s="219" t="s">
        <v>413</v>
      </c>
      <c r="E49" s="220">
        <v>56791</v>
      </c>
      <c r="F49" s="221">
        <f>E49/$G$13*100</f>
        <v>13.560410697230182</v>
      </c>
      <c r="G49" s="220">
        <v>27767.482</v>
      </c>
      <c r="H49" s="222">
        <f>G49/$G$13*100</f>
        <v>6.6302488061127027</v>
      </c>
      <c r="I49" s="221">
        <f>+G49/E49*100</f>
        <v>48.894159285802331</v>
      </c>
    </row>
    <row r="50" spans="1:12">
      <c r="A50" s="216" t="s">
        <v>475</v>
      </c>
      <c r="B50" s="217" t="s">
        <v>476</v>
      </c>
      <c r="C50" s="218" t="s">
        <v>477</v>
      </c>
      <c r="D50" s="219" t="s">
        <v>413</v>
      </c>
      <c r="E50" s="220"/>
      <c r="F50" s="221"/>
      <c r="G50" s="220">
        <f>+$G$345/1000</f>
        <v>0</v>
      </c>
      <c r="H50" s="222">
        <f>G50/$G$13*100</f>
        <v>0</v>
      </c>
      <c r="I50" s="221"/>
    </row>
    <row r="51" spans="1:12" ht="12" customHeight="1">
      <c r="A51" s="216"/>
      <c r="B51" s="246"/>
      <c r="C51" s="247"/>
      <c r="D51" s="248"/>
      <c r="E51" s="249"/>
      <c r="F51" s="250"/>
      <c r="G51" s="249"/>
      <c r="H51" s="252"/>
      <c r="I51" s="250"/>
    </row>
    <row r="52" spans="1:12" ht="15.75">
      <c r="A52" s="253" t="s">
        <v>478</v>
      </c>
      <c r="B52" s="254" t="s">
        <v>479</v>
      </c>
      <c r="C52" s="255" t="s">
        <v>480</v>
      </c>
      <c r="D52" s="256"/>
      <c r="E52" s="257">
        <f>E53+E71</f>
        <v>116541.59299999999</v>
      </c>
      <c r="F52" s="258">
        <f t="shared" ref="F52:F62" si="6">E52/$G$13*100</f>
        <v>27.827505491881567</v>
      </c>
      <c r="G52" s="257">
        <f>G53+G71</f>
        <v>99519.309865999996</v>
      </c>
      <c r="H52" s="259">
        <f t="shared" ref="H52:H62" si="7">G52/$G$13*100</f>
        <v>23.76296797182426</v>
      </c>
      <c r="I52" s="199">
        <f t="shared" ref="I52:I58" si="8">+G52/E52*100</f>
        <v>85.393812890475942</v>
      </c>
    </row>
    <row r="53" spans="1:12" ht="14.25">
      <c r="A53" s="200" t="s">
        <v>481</v>
      </c>
      <c r="B53" s="201" t="s">
        <v>482</v>
      </c>
      <c r="C53" s="202" t="s">
        <v>486</v>
      </c>
      <c r="D53" s="203"/>
      <c r="E53" s="204">
        <f>E54+E64+SUM(E67:E69)</f>
        <v>116541.59299999999</v>
      </c>
      <c r="F53" s="205">
        <f t="shared" si="6"/>
        <v>27.827505491881567</v>
      </c>
      <c r="G53" s="204">
        <f>G54+G64+SUM(G67:G69)</f>
        <v>99519.309865999996</v>
      </c>
      <c r="H53" s="206">
        <f t="shared" si="7"/>
        <v>23.76296797182426</v>
      </c>
      <c r="I53" s="205">
        <f t="shared" si="8"/>
        <v>85.393812890475942</v>
      </c>
      <c r="K53" s="224"/>
    </row>
    <row r="54" spans="1:12" ht="13.5">
      <c r="A54" s="208" t="s">
        <v>487</v>
      </c>
      <c r="B54" s="209" t="s">
        <v>189</v>
      </c>
      <c r="C54" s="210" t="s">
        <v>488</v>
      </c>
      <c r="D54" s="211"/>
      <c r="E54" s="212">
        <f>SUM(E55:E60)</f>
        <v>49816.843000000001</v>
      </c>
      <c r="F54" s="213">
        <f t="shared" si="6"/>
        <v>11.895139207258836</v>
      </c>
      <c r="G54" s="212">
        <f>SUM(G55:G60)</f>
        <v>53058.560859999998</v>
      </c>
      <c r="H54" s="260">
        <f t="shared" si="7"/>
        <v>12.669188361986627</v>
      </c>
      <c r="I54" s="213">
        <f t="shared" si="8"/>
        <v>106.50727277117902</v>
      </c>
    </row>
    <row r="55" spans="1:12">
      <c r="A55" s="216" t="s">
        <v>489</v>
      </c>
      <c r="B55" s="217" t="s">
        <v>492</v>
      </c>
      <c r="C55" s="218" t="s">
        <v>493</v>
      </c>
      <c r="D55" s="219" t="s">
        <v>413</v>
      </c>
      <c r="E55" s="220">
        <v>24889.79</v>
      </c>
      <c r="F55" s="221">
        <f t="shared" si="6"/>
        <v>5.9431208213944604</v>
      </c>
      <c r="G55" s="220">
        <v>20378.245300999999</v>
      </c>
      <c r="H55" s="261">
        <f t="shared" si="7"/>
        <v>4.8658656401623688</v>
      </c>
      <c r="I55" s="221">
        <f t="shared" si="8"/>
        <v>81.87391416721475</v>
      </c>
    </row>
    <row r="56" spans="1:12">
      <c r="A56" s="216" t="s">
        <v>494</v>
      </c>
      <c r="B56" s="217" t="s">
        <v>495</v>
      </c>
      <c r="C56" s="218" t="s">
        <v>496</v>
      </c>
      <c r="D56" s="219" t="s">
        <v>413</v>
      </c>
      <c r="E56" s="220">
        <v>9941</v>
      </c>
      <c r="F56" s="221">
        <f t="shared" si="6"/>
        <v>2.3736867239732571</v>
      </c>
      <c r="G56" s="220">
        <v>10530.711093</v>
      </c>
      <c r="H56" s="261">
        <f t="shared" si="7"/>
        <v>2.5144964405444123</v>
      </c>
      <c r="I56" s="221">
        <f t="shared" si="8"/>
        <v>105.93211038124937</v>
      </c>
    </row>
    <row r="57" spans="1:12">
      <c r="A57" s="216" t="s">
        <v>497</v>
      </c>
      <c r="B57" s="217" t="s">
        <v>498</v>
      </c>
      <c r="C57" s="218" t="s">
        <v>499</v>
      </c>
      <c r="D57" s="219" t="s">
        <v>413</v>
      </c>
      <c r="E57" s="220">
        <v>7439.848</v>
      </c>
      <c r="F57" s="221">
        <f t="shared" si="6"/>
        <v>1.7764680038204392</v>
      </c>
      <c r="G57" s="220">
        <v>12726.471317</v>
      </c>
      <c r="H57" s="261">
        <f t="shared" si="7"/>
        <v>3.0387944882999047</v>
      </c>
      <c r="I57" s="221">
        <f t="shared" si="8"/>
        <v>171.05821674044952</v>
      </c>
    </row>
    <row r="58" spans="1:12">
      <c r="A58" s="216"/>
      <c r="B58" s="226" t="s">
        <v>500</v>
      </c>
      <c r="C58" s="227" t="s">
        <v>501</v>
      </c>
      <c r="D58" s="219" t="s">
        <v>413</v>
      </c>
      <c r="E58" s="228">
        <v>0</v>
      </c>
      <c r="F58" s="229">
        <f t="shared" si="6"/>
        <v>0</v>
      </c>
      <c r="G58" s="228">
        <v>0</v>
      </c>
      <c r="H58" s="262">
        <f t="shared" si="7"/>
        <v>0</v>
      </c>
      <c r="I58" s="229" t="e">
        <f t="shared" si="8"/>
        <v>#DIV/0!</v>
      </c>
    </row>
    <row r="59" spans="1:12">
      <c r="A59" s="216" t="s">
        <v>502</v>
      </c>
      <c r="B59" s="217" t="s">
        <v>503</v>
      </c>
      <c r="C59" s="218" t="s">
        <v>504</v>
      </c>
      <c r="D59" s="219" t="s">
        <v>413</v>
      </c>
      <c r="E59" s="220">
        <v>2695.2049999999999</v>
      </c>
      <c r="F59" s="221">
        <f t="shared" si="6"/>
        <v>0.64355420248328554</v>
      </c>
      <c r="G59" s="220">
        <v>4600</v>
      </c>
      <c r="H59" s="261">
        <f t="shared" si="7"/>
        <v>1.0983763132760267</v>
      </c>
      <c r="I59" s="221">
        <f>+G59/E59*100</f>
        <v>170.67347381739052</v>
      </c>
    </row>
    <row r="60" spans="1:12">
      <c r="A60" s="216" t="s">
        <v>505</v>
      </c>
      <c r="B60" s="217" t="s">
        <v>506</v>
      </c>
      <c r="C60" s="218" t="s">
        <v>507</v>
      </c>
      <c r="D60" s="223"/>
      <c r="E60" s="220">
        <f>E61+E62</f>
        <v>4851</v>
      </c>
      <c r="F60" s="221">
        <f t="shared" si="6"/>
        <v>1.1583094555873925</v>
      </c>
      <c r="G60" s="220">
        <f>SUM(G61:G62)</f>
        <v>4823.1331490000002</v>
      </c>
      <c r="H60" s="261">
        <f t="shared" si="7"/>
        <v>1.151655479703916</v>
      </c>
      <c r="I60" s="221">
        <f>+G60/E60*100</f>
        <v>99.425544197072767</v>
      </c>
    </row>
    <row r="61" spans="1:12">
      <c r="A61" s="216"/>
      <c r="B61" s="226" t="s">
        <v>508</v>
      </c>
      <c r="C61" s="227" t="s">
        <v>510</v>
      </c>
      <c r="D61" s="219" t="s">
        <v>413</v>
      </c>
      <c r="E61" s="228">
        <v>4393</v>
      </c>
      <c r="F61" s="229">
        <f t="shared" si="6"/>
        <v>1.0489493791786055</v>
      </c>
      <c r="G61" s="228">
        <v>4552.1331490000002</v>
      </c>
      <c r="H61" s="262">
        <f t="shared" si="7"/>
        <v>1.0869467882043935</v>
      </c>
      <c r="I61" s="229">
        <f>+G61/E61*100</f>
        <v>103.6224254268154</v>
      </c>
      <c r="L61" s="224"/>
    </row>
    <row r="62" spans="1:12">
      <c r="A62" s="216"/>
      <c r="B62" s="226" t="s">
        <v>511</v>
      </c>
      <c r="C62" s="227" t="s">
        <v>512</v>
      </c>
      <c r="D62" s="219" t="s">
        <v>413</v>
      </c>
      <c r="E62" s="228">
        <v>458</v>
      </c>
      <c r="F62" s="229">
        <f t="shared" si="6"/>
        <v>0.10936007640878702</v>
      </c>
      <c r="G62" s="228">
        <v>271</v>
      </c>
      <c r="H62" s="262">
        <f t="shared" si="7"/>
        <v>6.470869149952245E-2</v>
      </c>
      <c r="I62" s="229">
        <f>+G62/E62*100</f>
        <v>59.170305676855897</v>
      </c>
    </row>
    <row r="63" spans="1:12" ht="12" customHeight="1">
      <c r="A63" s="216"/>
      <c r="B63" s="217"/>
      <c r="C63" s="218"/>
      <c r="D63" s="223"/>
      <c r="E63" s="220"/>
      <c r="F63" s="221"/>
      <c r="G63" s="220"/>
      <c r="H63" s="261"/>
      <c r="I63" s="221"/>
    </row>
    <row r="64" spans="1:12" ht="13.5">
      <c r="A64" s="208" t="s">
        <v>513</v>
      </c>
      <c r="B64" s="209" t="s">
        <v>190</v>
      </c>
      <c r="C64" s="210" t="s">
        <v>514</v>
      </c>
      <c r="D64" s="211"/>
      <c r="E64" s="212">
        <f>E65+E66</f>
        <v>65120</v>
      </c>
      <c r="F64" s="213">
        <f t="shared" ref="F64:F69" si="9">E64/$G$13*100</f>
        <v>15.549188156638014</v>
      </c>
      <c r="G64" s="212">
        <f>SUM(G65:G66)</f>
        <v>43252.749005999998</v>
      </c>
      <c r="H64" s="260">
        <f t="shared" ref="H64:H69" si="10">G64/$G$13*100</f>
        <v>10.327781520057307</v>
      </c>
      <c r="I64" s="213">
        <f>+G64/E64*100</f>
        <v>66.420069112407859</v>
      </c>
    </row>
    <row r="65" spans="1:11">
      <c r="A65" s="216" t="s">
        <v>515</v>
      </c>
      <c r="B65" s="217" t="s">
        <v>516</v>
      </c>
      <c r="C65" s="218" t="s">
        <v>517</v>
      </c>
      <c r="D65" s="219" t="s">
        <v>413</v>
      </c>
      <c r="E65" s="220">
        <v>64120</v>
      </c>
      <c r="F65" s="221">
        <f t="shared" si="9"/>
        <v>15.310410697230182</v>
      </c>
      <c r="G65" s="220">
        <v>35369.356436000002</v>
      </c>
      <c r="H65" s="261">
        <f t="shared" si="10"/>
        <v>8.4454050706781292</v>
      </c>
      <c r="I65" s="221">
        <f>+G65/E65*100</f>
        <v>55.161192195882727</v>
      </c>
    </row>
    <row r="66" spans="1:11">
      <c r="A66" s="216" t="s">
        <v>518</v>
      </c>
      <c r="B66" s="217" t="s">
        <v>519</v>
      </c>
      <c r="C66" s="218" t="s">
        <v>520</v>
      </c>
      <c r="D66" s="219" t="s">
        <v>413</v>
      </c>
      <c r="E66" s="220">
        <v>1000</v>
      </c>
      <c r="F66" s="221">
        <f t="shared" si="9"/>
        <v>0.2387774594078319</v>
      </c>
      <c r="G66" s="220">
        <f>6636.14067+1247.2519</f>
        <v>7883.39257</v>
      </c>
      <c r="H66" s="261">
        <f t="shared" si="10"/>
        <v>1.8823764493791786</v>
      </c>
      <c r="I66" s="221">
        <f>+G66/E66*100</f>
        <v>788.33925699999998</v>
      </c>
    </row>
    <row r="67" spans="1:11" ht="13.5">
      <c r="A67" s="208" t="s">
        <v>521</v>
      </c>
      <c r="B67" s="209" t="s">
        <v>522</v>
      </c>
      <c r="C67" s="210" t="s">
        <v>523</v>
      </c>
      <c r="D67" s="219" t="s">
        <v>413</v>
      </c>
      <c r="E67" s="263">
        <v>1604.75</v>
      </c>
      <c r="F67" s="213">
        <f t="shared" si="9"/>
        <v>0.38317812798471823</v>
      </c>
      <c r="G67" s="263">
        <v>3208</v>
      </c>
      <c r="H67" s="260">
        <f t="shared" si="10"/>
        <v>0.7659980897803248</v>
      </c>
      <c r="I67" s="213">
        <f>+G67/E67*100</f>
        <v>199.90652749649479</v>
      </c>
    </row>
    <row r="68" spans="1:11" ht="13.5">
      <c r="A68" s="208" t="s">
        <v>524</v>
      </c>
      <c r="B68" s="209" t="s">
        <v>525</v>
      </c>
      <c r="C68" s="210" t="s">
        <v>526</v>
      </c>
      <c r="D68" s="219" t="s">
        <v>413</v>
      </c>
      <c r="E68" s="264"/>
      <c r="F68" s="213">
        <f t="shared" si="9"/>
        <v>0</v>
      </c>
      <c r="G68" s="264">
        <f>+(E337)/1000000</f>
        <v>0</v>
      </c>
      <c r="H68" s="260">
        <f t="shared" si="10"/>
        <v>0</v>
      </c>
      <c r="I68" s="213" t="e">
        <f>+G68/E68*100</f>
        <v>#DIV/0!</v>
      </c>
    </row>
    <row r="69" spans="1:11" ht="13.5">
      <c r="A69" s="208" t="s">
        <v>527</v>
      </c>
      <c r="B69" s="209" t="s">
        <v>528</v>
      </c>
      <c r="C69" s="210" t="s">
        <v>529</v>
      </c>
      <c r="D69" s="219" t="s">
        <v>413</v>
      </c>
      <c r="E69" s="212"/>
      <c r="F69" s="213">
        <f t="shared" si="9"/>
        <v>0</v>
      </c>
      <c r="G69" s="212">
        <f>P57/1000</f>
        <v>0</v>
      </c>
      <c r="H69" s="260">
        <f t="shared" si="10"/>
        <v>0</v>
      </c>
      <c r="I69" s="213"/>
    </row>
    <row r="70" spans="1:11" ht="12" customHeight="1">
      <c r="A70" s="265"/>
      <c r="B70" s="266"/>
      <c r="C70" s="267"/>
      <c r="D70" s="268"/>
      <c r="E70" s="269"/>
      <c r="F70" s="270"/>
      <c r="G70" s="831"/>
      <c r="H70" s="271"/>
      <c r="I70" s="270"/>
    </row>
    <row r="71" spans="1:11" ht="14.25">
      <c r="A71" s="200" t="s">
        <v>530</v>
      </c>
      <c r="B71" s="201" t="s">
        <v>531</v>
      </c>
      <c r="C71" s="202" t="s">
        <v>532</v>
      </c>
      <c r="D71" s="203"/>
      <c r="E71" s="204">
        <f>E72+E73+E74+E75+E76</f>
        <v>0</v>
      </c>
      <c r="F71" s="205">
        <f>E71/$G$13*100</f>
        <v>0</v>
      </c>
      <c r="G71" s="204">
        <f>SUM(G72:G76)</f>
        <v>0</v>
      </c>
      <c r="H71" s="272">
        <f>G71/$G$13*100</f>
        <v>0</v>
      </c>
      <c r="I71" s="205" t="e">
        <f>+G71/E71*100</f>
        <v>#DIV/0!</v>
      </c>
    </row>
    <row r="72" spans="1:11" ht="13.5">
      <c r="A72" s="273" t="s">
        <v>533</v>
      </c>
      <c r="B72" s="274" t="s">
        <v>534</v>
      </c>
      <c r="C72" s="275" t="s">
        <v>535</v>
      </c>
      <c r="D72" s="219" t="s">
        <v>413</v>
      </c>
      <c r="E72" s="276">
        <v>0</v>
      </c>
      <c r="F72" s="277">
        <f>E72/$G$13*100</f>
        <v>0</v>
      </c>
      <c r="G72" s="276"/>
      <c r="H72" s="278">
        <f>G72/$G$13*100</f>
        <v>0</v>
      </c>
      <c r="I72" s="277"/>
    </row>
    <row r="73" spans="1:11" ht="13.5">
      <c r="A73" s="208" t="s">
        <v>536</v>
      </c>
      <c r="B73" s="209" t="s">
        <v>540</v>
      </c>
      <c r="C73" s="210" t="s">
        <v>541</v>
      </c>
      <c r="D73" s="279" t="s">
        <v>542</v>
      </c>
      <c r="E73" s="212"/>
      <c r="F73" s="213">
        <f>E73/$G$13*100</f>
        <v>0</v>
      </c>
      <c r="G73" s="212"/>
      <c r="H73" s="260">
        <f>G73/$G$13*100</f>
        <v>0</v>
      </c>
      <c r="I73" s="213" t="e">
        <f>+G73/E73*100</f>
        <v>#DIV/0!</v>
      </c>
    </row>
    <row r="74" spans="1:11" ht="13.5">
      <c r="A74" s="208" t="s">
        <v>543</v>
      </c>
      <c r="B74" s="209" t="s">
        <v>544</v>
      </c>
      <c r="C74" s="210" t="s">
        <v>545</v>
      </c>
      <c r="D74" s="279" t="s">
        <v>542</v>
      </c>
      <c r="E74" s="212"/>
      <c r="F74" s="213">
        <f>E74/$G$13*100</f>
        <v>0</v>
      </c>
      <c r="G74" s="212"/>
      <c r="H74" s="260">
        <f>G74/$G$13*100</f>
        <v>0</v>
      </c>
      <c r="I74" s="213"/>
    </row>
    <row r="75" spans="1:11" ht="13.5">
      <c r="A75" s="208" t="s">
        <v>546</v>
      </c>
      <c r="B75" s="209" t="s">
        <v>547</v>
      </c>
      <c r="C75" s="210" t="s">
        <v>548</v>
      </c>
      <c r="D75" s="280" t="s">
        <v>542</v>
      </c>
      <c r="E75" s="212"/>
      <c r="F75" s="213">
        <f>E75/$G$13*100</f>
        <v>0</v>
      </c>
      <c r="G75" s="212"/>
      <c r="H75" s="260">
        <f>G75/$G$13*100</f>
        <v>0</v>
      </c>
      <c r="I75" s="213"/>
    </row>
    <row r="76" spans="1:11" ht="13.5">
      <c r="A76" s="208" t="s">
        <v>549</v>
      </c>
      <c r="B76" s="209" t="s">
        <v>550</v>
      </c>
      <c r="C76" s="210" t="s">
        <v>551</v>
      </c>
      <c r="D76" s="280" t="s">
        <v>413</v>
      </c>
      <c r="E76" s="212"/>
      <c r="F76" s="213"/>
      <c r="G76" s="214"/>
      <c r="H76" s="260"/>
      <c r="I76" s="213"/>
    </row>
    <row r="77" spans="1:11" ht="12" customHeight="1">
      <c r="A77" s="281"/>
      <c r="B77" s="282"/>
      <c r="C77" s="283"/>
      <c r="D77" s="284"/>
      <c r="E77" s="285"/>
      <c r="F77" s="286"/>
      <c r="G77" s="285"/>
      <c r="H77" s="287"/>
      <c r="I77" s="286"/>
    </row>
    <row r="78" spans="1:11" ht="15.75">
      <c r="A78" s="288" t="s">
        <v>552</v>
      </c>
      <c r="B78" s="289" t="s">
        <v>553</v>
      </c>
      <c r="C78" s="290" t="s">
        <v>554</v>
      </c>
      <c r="D78" s="291"/>
      <c r="E78" s="292">
        <f>E18-E52</f>
        <v>29167.747000000003</v>
      </c>
      <c r="F78" s="293">
        <f>E78/$G$13*100</f>
        <v>6.964600525310412</v>
      </c>
      <c r="G78" s="292">
        <f>G18-G52</f>
        <v>3878.6737670000002</v>
      </c>
      <c r="H78" s="294">
        <f t="shared" ref="H78:H91" si="11">G78/$G$13*100</f>
        <v>0.92613986795606495</v>
      </c>
      <c r="I78" s="295">
        <f>+G78/E78*100</f>
        <v>13.29781750712525</v>
      </c>
      <c r="K78" s="224"/>
    </row>
    <row r="79" spans="1:11" ht="13.5" thickBot="1">
      <c r="A79" s="296"/>
      <c r="B79" s="297" t="s">
        <v>1679</v>
      </c>
      <c r="C79" s="298" t="s">
        <v>556</v>
      </c>
      <c r="D79" s="299"/>
      <c r="E79" s="839">
        <f>E78-E30-E33-E35</f>
        <v>21231.747000000003</v>
      </c>
      <c r="F79" s="300">
        <f>E79/$G$13*100</f>
        <v>5.0696626074498576</v>
      </c>
      <c r="G79" s="839">
        <f>G78-G30-G33-G35</f>
        <v>-5805.7542329999997</v>
      </c>
      <c r="H79" s="301">
        <f t="shared" si="11"/>
        <v>-1.3862832457020056</v>
      </c>
      <c r="I79" s="302">
        <f>+G79/E79*100</f>
        <v>-27.344684509475357</v>
      </c>
    </row>
    <row r="80" spans="1:11" ht="15.75">
      <c r="A80" s="303" t="s">
        <v>557</v>
      </c>
      <c r="B80" s="304" t="s">
        <v>182</v>
      </c>
      <c r="C80" s="305" t="s">
        <v>558</v>
      </c>
      <c r="D80" s="306"/>
      <c r="E80" s="307">
        <f>E81</f>
        <v>2702</v>
      </c>
      <c r="F80" s="308">
        <f t="shared" ref="F80:F91" si="12">E80/$E$13*100</f>
        <v>1.3179716309289211</v>
      </c>
      <c r="G80" s="307">
        <f>G81</f>
        <v>0</v>
      </c>
      <c r="H80" s="309">
        <f t="shared" si="11"/>
        <v>0</v>
      </c>
    </row>
    <row r="81" spans="1:12" ht="14.25">
      <c r="A81" s="310" t="s">
        <v>559</v>
      </c>
      <c r="B81" s="311" t="s">
        <v>560</v>
      </c>
      <c r="C81" s="312" t="s">
        <v>561</v>
      </c>
      <c r="D81" s="313"/>
      <c r="E81" s="314">
        <f>E82+E89</f>
        <v>2702</v>
      </c>
      <c r="F81" s="315">
        <f t="shared" si="12"/>
        <v>1.3179716309289211</v>
      </c>
      <c r="G81" s="314">
        <f>G82+G89</f>
        <v>0</v>
      </c>
      <c r="H81" s="316">
        <f t="shared" si="11"/>
        <v>0</v>
      </c>
    </row>
    <row r="82" spans="1:12" ht="13.5">
      <c r="A82" s="317" t="s">
        <v>562</v>
      </c>
      <c r="B82" s="209" t="s">
        <v>563</v>
      </c>
      <c r="C82" s="210" t="s">
        <v>564</v>
      </c>
      <c r="D82" s="211"/>
      <c r="E82" s="212">
        <f>E83+E86</f>
        <v>2702</v>
      </c>
      <c r="F82" s="318">
        <f t="shared" si="12"/>
        <v>1.3179716309289211</v>
      </c>
      <c r="G82" s="212">
        <f>G83+G86</f>
        <v>0</v>
      </c>
      <c r="H82" s="319">
        <f t="shared" si="11"/>
        <v>0</v>
      </c>
    </row>
    <row r="83" spans="1:12">
      <c r="A83" s="320" t="s">
        <v>565</v>
      </c>
      <c r="B83" s="217" t="s">
        <v>566</v>
      </c>
      <c r="C83" s="218" t="s">
        <v>567</v>
      </c>
      <c r="D83" s="223"/>
      <c r="E83" s="220">
        <f>SUM(E84:E85)</f>
        <v>2702</v>
      </c>
      <c r="F83" s="321">
        <f t="shared" si="12"/>
        <v>1.3179716309289211</v>
      </c>
      <c r="G83" s="220">
        <f>SUM(G84:G85)</f>
        <v>0</v>
      </c>
      <c r="H83" s="322">
        <f t="shared" si="11"/>
        <v>0</v>
      </c>
    </row>
    <row r="84" spans="1:12">
      <c r="A84" s="323"/>
      <c r="B84" s="226" t="s">
        <v>568</v>
      </c>
      <c r="C84" s="227" t="s">
        <v>569</v>
      </c>
      <c r="D84" s="223"/>
      <c r="E84" s="220">
        <v>2702</v>
      </c>
      <c r="F84" s="321">
        <f t="shared" si="12"/>
        <v>1.3179716309289211</v>
      </c>
      <c r="G84" s="220">
        <v>0</v>
      </c>
      <c r="H84" s="322">
        <f t="shared" si="11"/>
        <v>0</v>
      </c>
    </row>
    <row r="85" spans="1:12">
      <c r="A85" s="320"/>
      <c r="B85" s="217" t="s">
        <v>570</v>
      </c>
      <c r="C85" s="218" t="s">
        <v>571</v>
      </c>
      <c r="D85" s="223"/>
      <c r="E85" s="220"/>
      <c r="F85" s="321">
        <f t="shared" si="12"/>
        <v>0</v>
      </c>
      <c r="G85" s="220">
        <v>0</v>
      </c>
      <c r="H85" s="322">
        <f t="shared" si="11"/>
        <v>0</v>
      </c>
    </row>
    <row r="86" spans="1:12">
      <c r="A86" s="320" t="s">
        <v>572</v>
      </c>
      <c r="B86" s="217" t="s">
        <v>573</v>
      </c>
      <c r="C86" s="218" t="s">
        <v>574</v>
      </c>
      <c r="D86" s="223"/>
      <c r="E86" s="220">
        <f>SUM(E87:E88)</f>
        <v>0</v>
      </c>
      <c r="F86" s="321">
        <f t="shared" si="12"/>
        <v>0</v>
      </c>
      <c r="G86" s="220">
        <f>SUM(G87:G88)</f>
        <v>0</v>
      </c>
      <c r="H86" s="322">
        <f t="shared" si="11"/>
        <v>0</v>
      </c>
    </row>
    <row r="87" spans="1:12">
      <c r="A87" s="324"/>
      <c r="B87" s="226" t="s">
        <v>577</v>
      </c>
      <c r="C87" s="227" t="s">
        <v>578</v>
      </c>
      <c r="D87" s="219" t="s">
        <v>413</v>
      </c>
      <c r="E87" s="228">
        <v>0</v>
      </c>
      <c r="F87" s="325">
        <f t="shared" si="12"/>
        <v>0</v>
      </c>
      <c r="G87" s="228"/>
      <c r="H87" s="326">
        <f t="shared" si="11"/>
        <v>0</v>
      </c>
    </row>
    <row r="88" spans="1:12">
      <c r="A88" s="324"/>
      <c r="B88" s="327" t="s">
        <v>579</v>
      </c>
      <c r="C88" s="227" t="s">
        <v>580</v>
      </c>
      <c r="D88" s="219" t="s">
        <v>413</v>
      </c>
      <c r="E88" s="228"/>
      <c r="F88" s="325">
        <f t="shared" si="12"/>
        <v>0</v>
      </c>
      <c r="G88" s="228">
        <v>0</v>
      </c>
      <c r="H88" s="326">
        <f t="shared" si="11"/>
        <v>0</v>
      </c>
    </row>
    <row r="89" spans="1:12" ht="13.5">
      <c r="A89" s="317" t="s">
        <v>581</v>
      </c>
      <c r="B89" s="209" t="s">
        <v>582</v>
      </c>
      <c r="C89" s="210" t="s">
        <v>583</v>
      </c>
      <c r="D89" s="211"/>
      <c r="E89" s="212">
        <f>E90+E91</f>
        <v>0</v>
      </c>
      <c r="F89" s="318">
        <f t="shared" si="12"/>
        <v>0</v>
      </c>
      <c r="G89" s="212">
        <f>G90+G91</f>
        <v>0</v>
      </c>
      <c r="H89" s="319">
        <f t="shared" si="11"/>
        <v>0</v>
      </c>
    </row>
    <row r="90" spans="1:12">
      <c r="A90" s="324"/>
      <c r="B90" s="226" t="s">
        <v>584</v>
      </c>
      <c r="C90" s="227" t="s">
        <v>569</v>
      </c>
      <c r="D90" s="219" t="s">
        <v>413</v>
      </c>
      <c r="E90" s="228"/>
      <c r="F90" s="325">
        <f t="shared" si="12"/>
        <v>0</v>
      </c>
      <c r="G90" s="228"/>
      <c r="H90" s="326">
        <f t="shared" si="11"/>
        <v>0</v>
      </c>
    </row>
    <row r="91" spans="1:12" ht="13.5">
      <c r="A91" s="324"/>
      <c r="B91" s="226" t="s">
        <v>585</v>
      </c>
      <c r="C91" s="227" t="s">
        <v>571</v>
      </c>
      <c r="D91" s="279" t="s">
        <v>542</v>
      </c>
      <c r="E91" s="228"/>
      <c r="F91" s="325">
        <f t="shared" si="12"/>
        <v>0</v>
      </c>
      <c r="G91" s="228">
        <v>0</v>
      </c>
      <c r="H91" s="326">
        <f t="shared" si="11"/>
        <v>0</v>
      </c>
    </row>
    <row r="92" spans="1:12" ht="13.5">
      <c r="A92" s="328"/>
      <c r="B92" s="209"/>
      <c r="C92" s="210"/>
      <c r="D92" s="211"/>
      <c r="E92" s="212"/>
      <c r="F92" s="318"/>
      <c r="G92" s="212"/>
      <c r="H92" s="319"/>
      <c r="L92" s="420"/>
    </row>
    <row r="93" spans="1:12" ht="15.75">
      <c r="A93" s="329" t="s">
        <v>586</v>
      </c>
      <c r="B93" s="330" t="s">
        <v>183</v>
      </c>
      <c r="C93" s="331" t="s">
        <v>587</v>
      </c>
      <c r="D93" s="291"/>
      <c r="E93" s="292">
        <f>E78+E80</f>
        <v>31869.747000000003</v>
      </c>
      <c r="F93" s="332">
        <f>E93/$E$13*100</f>
        <v>15.545308079527054</v>
      </c>
      <c r="G93" s="292">
        <f>G78+G80</f>
        <v>3878.6737670000002</v>
      </c>
      <c r="H93" s="333">
        <f>G93/$G$13*100</f>
        <v>0.92613986795606495</v>
      </c>
      <c r="K93" s="224"/>
      <c r="L93" s="420"/>
    </row>
    <row r="94" spans="1:12" ht="15.75">
      <c r="A94" s="334"/>
      <c r="B94" s="335"/>
      <c r="C94" s="336"/>
      <c r="D94" s="337"/>
      <c r="E94" s="336"/>
      <c r="F94" s="336"/>
      <c r="G94" s="830"/>
      <c r="H94" s="338"/>
    </row>
    <row r="95" spans="1:12" ht="15.75">
      <c r="A95" s="339" t="s">
        <v>588</v>
      </c>
      <c r="B95" s="340" t="s">
        <v>184</v>
      </c>
      <c r="C95" s="341" t="s">
        <v>589</v>
      </c>
      <c r="D95" s="342"/>
      <c r="E95" s="343">
        <f>-E93</f>
        <v>-31869.747000000003</v>
      </c>
      <c r="F95" s="343"/>
      <c r="G95" s="343">
        <f>-G93</f>
        <v>-3878.6737670000002</v>
      </c>
      <c r="H95" s="344">
        <f>+G95/G13*100</f>
        <v>-0.92613986795606495</v>
      </c>
    </row>
    <row r="96" spans="1:12" ht="15">
      <c r="A96" s="345"/>
      <c r="B96" s="346"/>
      <c r="C96" s="347"/>
      <c r="D96" s="348"/>
      <c r="E96" s="349"/>
      <c r="F96" s="350"/>
      <c r="G96" s="349"/>
      <c r="H96" s="351"/>
    </row>
    <row r="97" spans="1:14" ht="14.25">
      <c r="A97" s="352" t="s">
        <v>590</v>
      </c>
      <c r="B97" s="353" t="s">
        <v>591</v>
      </c>
      <c r="C97" s="354" t="s">
        <v>592</v>
      </c>
      <c r="D97" s="355"/>
      <c r="E97" s="356" t="e">
        <f>E98+E113+E121+E122</f>
        <v>#REF!</v>
      </c>
      <c r="F97" s="357" t="e">
        <f t="shared" ref="F97:F116" si="13">E97/$E$13*100</f>
        <v>#REF!</v>
      </c>
      <c r="G97" s="356">
        <f>G98+G113+G122</f>
        <v>-12212</v>
      </c>
      <c r="H97" s="359">
        <f t="shared" ref="H97:H118" si="14">G97/$G$13*100</f>
        <v>-2.9159503342884432</v>
      </c>
    </row>
    <row r="98" spans="1:14" ht="15">
      <c r="A98" s="360" t="s">
        <v>593</v>
      </c>
      <c r="B98" s="361" t="s">
        <v>594</v>
      </c>
      <c r="C98" s="362" t="s">
        <v>605</v>
      </c>
      <c r="D98" s="363"/>
      <c r="E98" s="364">
        <f>E99+E106</f>
        <v>2489</v>
      </c>
      <c r="F98" s="365">
        <f t="shared" si="13"/>
        <v>1.2140752736425184</v>
      </c>
      <c r="G98" s="364">
        <f>G99+G106</f>
        <v>-12212</v>
      </c>
      <c r="H98" s="366">
        <f t="shared" si="14"/>
        <v>-2.9159503342884432</v>
      </c>
    </row>
    <row r="99" spans="1:14">
      <c r="A99" s="367" t="s">
        <v>606</v>
      </c>
      <c r="B99" s="232" t="s">
        <v>607</v>
      </c>
      <c r="C99" s="233" t="s">
        <v>608</v>
      </c>
      <c r="D99" s="368"/>
      <c r="E99" s="827">
        <f>SUM(E100:E105)</f>
        <v>1261</v>
      </c>
      <c r="F99" s="370">
        <f t="shared" si="13"/>
        <v>0.61508594618851575</v>
      </c>
      <c r="G99" s="827">
        <f>SUM(G100:G105)</f>
        <v>0</v>
      </c>
      <c r="H99" s="371">
        <f t="shared" si="14"/>
        <v>0</v>
      </c>
    </row>
    <row r="100" spans="1:14" ht="13.5">
      <c r="A100" s="372"/>
      <c r="B100" s="217" t="s">
        <v>610</v>
      </c>
      <c r="C100" s="218" t="s">
        <v>611</v>
      </c>
      <c r="D100" s="279" t="s">
        <v>612</v>
      </c>
      <c r="E100" s="220"/>
      <c r="F100" s="321">
        <f t="shared" si="13"/>
        <v>0</v>
      </c>
      <c r="G100" s="220"/>
      <c r="H100" s="322">
        <f t="shared" si="14"/>
        <v>0</v>
      </c>
      <c r="N100" s="420"/>
    </row>
    <row r="101" spans="1:14" ht="13.5">
      <c r="A101" s="372"/>
      <c r="B101" s="217" t="s">
        <v>613</v>
      </c>
      <c r="C101" s="218" t="s">
        <v>614</v>
      </c>
      <c r="D101" s="279" t="s">
        <v>542</v>
      </c>
      <c r="E101" s="220">
        <v>-200</v>
      </c>
      <c r="F101" s="321">
        <f t="shared" si="13"/>
        <v>-9.7555265057655161E-2</v>
      </c>
      <c r="G101" s="220">
        <f>+-(AG302+AG304)/1000000</f>
        <v>0</v>
      </c>
      <c r="H101" s="322">
        <f t="shared" si="14"/>
        <v>0</v>
      </c>
    </row>
    <row r="102" spans="1:14" ht="13.5">
      <c r="A102" s="372"/>
      <c r="B102" s="217" t="s">
        <v>615</v>
      </c>
      <c r="C102" s="218" t="s">
        <v>616</v>
      </c>
      <c r="D102" s="279" t="s">
        <v>542</v>
      </c>
      <c r="E102" s="220">
        <v>-200</v>
      </c>
      <c r="F102" s="321">
        <f t="shared" si="13"/>
        <v>-9.7555265057655161E-2</v>
      </c>
      <c r="G102" s="220"/>
      <c r="H102" s="322">
        <f t="shared" si="14"/>
        <v>0</v>
      </c>
    </row>
    <row r="103" spans="1:14">
      <c r="A103" s="372"/>
      <c r="B103" s="217" t="s">
        <v>617</v>
      </c>
      <c r="C103" s="218" t="s">
        <v>618</v>
      </c>
      <c r="D103" s="219" t="s">
        <v>413</v>
      </c>
      <c r="E103" s="220"/>
      <c r="F103" s="321">
        <f t="shared" si="13"/>
        <v>0</v>
      </c>
      <c r="G103" s="220"/>
      <c r="H103" s="322">
        <f t="shared" si="14"/>
        <v>0</v>
      </c>
    </row>
    <row r="104" spans="1:14">
      <c r="A104" s="372"/>
      <c r="B104" s="217" t="s">
        <v>619</v>
      </c>
      <c r="C104" s="218" t="s">
        <v>620</v>
      </c>
      <c r="D104" s="219" t="s">
        <v>413</v>
      </c>
      <c r="E104" s="220"/>
      <c r="F104" s="321">
        <f t="shared" si="13"/>
        <v>0</v>
      </c>
      <c r="G104" s="220"/>
      <c r="H104" s="322">
        <f t="shared" si="14"/>
        <v>0</v>
      </c>
      <c r="K104" s="224"/>
    </row>
    <row r="105" spans="1:14">
      <c r="A105" s="372"/>
      <c r="B105" s="217" t="s">
        <v>621</v>
      </c>
      <c r="C105" s="218" t="s">
        <v>622</v>
      </c>
      <c r="D105" s="219" t="s">
        <v>413</v>
      </c>
      <c r="E105" s="220">
        <v>1661</v>
      </c>
      <c r="F105" s="321">
        <f t="shared" si="13"/>
        <v>0.81019647630382607</v>
      </c>
      <c r="G105" s="220"/>
      <c r="H105" s="322">
        <f t="shared" si="14"/>
        <v>0</v>
      </c>
    </row>
    <row r="106" spans="1:14">
      <c r="A106" s="367" t="s">
        <v>623</v>
      </c>
      <c r="B106" s="232" t="s">
        <v>624</v>
      </c>
      <c r="C106" s="233" t="s">
        <v>625</v>
      </c>
      <c r="D106" s="368"/>
      <c r="E106" s="369">
        <f>SUM(E108:E112)</f>
        <v>1228</v>
      </c>
      <c r="F106" s="370">
        <f t="shared" si="13"/>
        <v>0.59898932745400268</v>
      </c>
      <c r="G106" s="827">
        <f>+G107+G112</f>
        <v>-12212</v>
      </c>
      <c r="H106" s="371">
        <f t="shared" si="14"/>
        <v>-2.9159503342884432</v>
      </c>
    </row>
    <row r="107" spans="1:14" ht="13.5">
      <c r="A107" s="320"/>
      <c r="B107" s="217" t="s">
        <v>626</v>
      </c>
      <c r="C107" s="218" t="s">
        <v>627</v>
      </c>
      <c r="D107" s="279"/>
      <c r="E107" s="220">
        <f>SUM(E108:E111)</f>
        <v>0</v>
      </c>
      <c r="F107" s="321">
        <f t="shared" si="13"/>
        <v>0</v>
      </c>
      <c r="G107" s="220">
        <f>+G108+G109+G110+G111</f>
        <v>-12212</v>
      </c>
      <c r="H107" s="322">
        <f t="shared" si="14"/>
        <v>-2.9159503342884432</v>
      </c>
    </row>
    <row r="108" spans="1:14" ht="13.5">
      <c r="A108" s="320"/>
      <c r="B108" s="217" t="s">
        <v>628</v>
      </c>
      <c r="C108" s="218" t="s">
        <v>629</v>
      </c>
      <c r="D108" s="279" t="s">
        <v>542</v>
      </c>
      <c r="E108" s="220"/>
      <c r="F108" s="321">
        <f t="shared" si="13"/>
        <v>0</v>
      </c>
      <c r="G108" s="220"/>
      <c r="H108" s="322">
        <f t="shared" si="14"/>
        <v>0</v>
      </c>
    </row>
    <row r="109" spans="1:14">
      <c r="A109" s="320"/>
      <c r="B109" s="217" t="s">
        <v>630</v>
      </c>
      <c r="C109" s="218" t="s">
        <v>631</v>
      </c>
      <c r="D109" s="219" t="s">
        <v>413</v>
      </c>
      <c r="E109" s="220"/>
      <c r="F109" s="321">
        <f t="shared" si="13"/>
        <v>0</v>
      </c>
      <c r="G109" s="220">
        <v>0</v>
      </c>
      <c r="H109" s="322">
        <f t="shared" si="14"/>
        <v>0</v>
      </c>
    </row>
    <row r="110" spans="1:14" ht="13.5">
      <c r="A110" s="320"/>
      <c r="B110" s="217" t="s">
        <v>632</v>
      </c>
      <c r="C110" s="218" t="s">
        <v>633</v>
      </c>
      <c r="D110" s="279" t="s">
        <v>542</v>
      </c>
      <c r="E110" s="220"/>
      <c r="F110" s="321">
        <f t="shared" si="13"/>
        <v>0</v>
      </c>
      <c r="G110" s="220">
        <v>-12212</v>
      </c>
      <c r="H110" s="322">
        <f t="shared" si="14"/>
        <v>-2.9159503342884432</v>
      </c>
    </row>
    <row r="111" spans="1:14" ht="13.5">
      <c r="A111" s="320"/>
      <c r="B111" s="217" t="s">
        <v>634</v>
      </c>
      <c r="C111" s="218" t="s">
        <v>635</v>
      </c>
      <c r="D111" s="279" t="s">
        <v>612</v>
      </c>
      <c r="E111" s="220"/>
      <c r="F111" s="321">
        <f t="shared" si="13"/>
        <v>0</v>
      </c>
      <c r="G111" s="220">
        <v>0</v>
      </c>
      <c r="H111" s="322">
        <f t="shared" si="14"/>
        <v>0</v>
      </c>
    </row>
    <row r="112" spans="1:14">
      <c r="A112" s="320"/>
      <c r="B112" s="217" t="s">
        <v>621</v>
      </c>
      <c r="C112" s="218" t="s">
        <v>636</v>
      </c>
      <c r="D112" s="219" t="s">
        <v>413</v>
      </c>
      <c r="E112" s="220">
        <v>1228</v>
      </c>
      <c r="F112" s="321">
        <f t="shared" si="13"/>
        <v>0.59898932745400268</v>
      </c>
      <c r="G112" s="220"/>
      <c r="H112" s="322">
        <f t="shared" si="14"/>
        <v>0</v>
      </c>
    </row>
    <row r="113" spans="1:12" ht="15">
      <c r="A113" s="360" t="s">
        <v>637</v>
      </c>
      <c r="B113" s="361" t="s">
        <v>638</v>
      </c>
      <c r="C113" s="362" t="s">
        <v>639</v>
      </c>
      <c r="D113" s="363"/>
      <c r="E113" s="364">
        <f>E114+E116+E117+E119+E120</f>
        <v>-26994</v>
      </c>
      <c r="F113" s="365">
        <f t="shared" si="13"/>
        <v>-13.167034124831718</v>
      </c>
      <c r="G113" s="364">
        <f>G114+G116+G117+G118+G120</f>
        <v>0</v>
      </c>
      <c r="H113" s="366">
        <f t="shared" si="14"/>
        <v>0</v>
      </c>
    </row>
    <row r="114" spans="1:12">
      <c r="A114" s="367" t="s">
        <v>640</v>
      </c>
      <c r="B114" s="232" t="s">
        <v>641</v>
      </c>
      <c r="C114" s="233" t="s">
        <v>642</v>
      </c>
      <c r="D114" s="234"/>
      <c r="E114" s="373"/>
      <c r="F114" s="370">
        <f t="shared" si="13"/>
        <v>0</v>
      </c>
      <c r="G114" s="828"/>
      <c r="H114" s="371">
        <f t="shared" si="14"/>
        <v>0</v>
      </c>
    </row>
    <row r="115" spans="1:12" ht="13.5">
      <c r="A115" s="374"/>
      <c r="B115" s="217" t="s">
        <v>628</v>
      </c>
      <c r="C115" s="218" t="s">
        <v>643</v>
      </c>
      <c r="D115" s="279" t="s">
        <v>542</v>
      </c>
      <c r="E115" s="375"/>
      <c r="F115" s="376">
        <f t="shared" si="13"/>
        <v>0</v>
      </c>
      <c r="G115" s="829"/>
      <c r="H115" s="377">
        <f t="shared" si="14"/>
        <v>0</v>
      </c>
    </row>
    <row r="116" spans="1:12">
      <c r="A116" s="367" t="s">
        <v>644</v>
      </c>
      <c r="B116" s="232" t="s">
        <v>645</v>
      </c>
      <c r="C116" s="233" t="s">
        <v>646</v>
      </c>
      <c r="D116" s="219" t="s">
        <v>413</v>
      </c>
      <c r="E116" s="373">
        <v>-26994</v>
      </c>
      <c r="F116" s="370">
        <f t="shared" si="13"/>
        <v>-13.167034124831718</v>
      </c>
      <c r="G116" s="828"/>
      <c r="H116" s="371">
        <f t="shared" si="14"/>
        <v>0</v>
      </c>
    </row>
    <row r="117" spans="1:12" ht="13.5">
      <c r="A117" s="367" t="s">
        <v>647</v>
      </c>
      <c r="B117" s="232" t="s">
        <v>648</v>
      </c>
      <c r="C117" s="233" t="s">
        <v>655</v>
      </c>
      <c r="D117" s="279"/>
      <c r="E117" s="378">
        <f>SUM(E118:E118)</f>
        <v>0</v>
      </c>
      <c r="F117" s="370">
        <f>E118/$E$13*100</f>
        <v>0</v>
      </c>
      <c r="G117" s="828"/>
      <c r="H117" s="371">
        <f t="shared" si="14"/>
        <v>0</v>
      </c>
    </row>
    <row r="118" spans="1:12">
      <c r="A118" s="367" t="s">
        <v>732</v>
      </c>
      <c r="B118" s="232" t="s">
        <v>733</v>
      </c>
      <c r="C118" s="218" t="s">
        <v>734</v>
      </c>
      <c r="D118" s="379" t="s">
        <v>542</v>
      </c>
      <c r="E118" s="375"/>
      <c r="F118" s="380"/>
      <c r="G118" s="829">
        <f>+G119</f>
        <v>0</v>
      </c>
      <c r="H118" s="371">
        <f t="shared" si="14"/>
        <v>0</v>
      </c>
    </row>
    <row r="119" spans="1:12" ht="13.5">
      <c r="A119" s="367"/>
      <c r="B119" s="217" t="s">
        <v>735</v>
      </c>
      <c r="C119" s="233" t="s">
        <v>736</v>
      </c>
      <c r="D119" s="279"/>
      <c r="E119" s="378"/>
      <c r="F119" s="370">
        <f>E119/$E$13*100</f>
        <v>0</v>
      </c>
      <c r="G119" s="828"/>
      <c r="H119" s="371"/>
    </row>
    <row r="120" spans="1:12" ht="13.5">
      <c r="A120" s="367" t="s">
        <v>737</v>
      </c>
      <c r="B120" s="232" t="s">
        <v>738</v>
      </c>
      <c r="C120" s="218" t="s">
        <v>734</v>
      </c>
      <c r="D120" s="279" t="s">
        <v>612</v>
      </c>
      <c r="E120" s="375"/>
      <c r="F120" s="370"/>
      <c r="G120" s="828"/>
      <c r="H120" s="371"/>
      <c r="L120" s="224"/>
    </row>
    <row r="121" spans="1:12" ht="15">
      <c r="A121" s="360" t="s">
        <v>739</v>
      </c>
      <c r="B121" s="361" t="s">
        <v>740</v>
      </c>
      <c r="C121" s="362" t="s">
        <v>741</v>
      </c>
      <c r="D121" s="279" t="s">
        <v>612</v>
      </c>
      <c r="E121" s="364"/>
      <c r="F121" s="365">
        <f>E121/$E$13*100</f>
        <v>0</v>
      </c>
      <c r="G121" s="364"/>
      <c r="H121" s="366">
        <f>G121/$G$13*100</f>
        <v>0</v>
      </c>
    </row>
    <row r="122" spans="1:12" ht="15">
      <c r="A122" s="360" t="s">
        <v>742</v>
      </c>
      <c r="B122" s="361" t="s">
        <v>743</v>
      </c>
      <c r="C122" s="362" t="s">
        <v>744</v>
      </c>
      <c r="D122" s="219" t="s">
        <v>413</v>
      </c>
      <c r="E122" s="212" t="e">
        <f>#REF!/1000000</f>
        <v>#REF!</v>
      </c>
      <c r="F122" s="365" t="e">
        <f>E122/$E$13*100</f>
        <v>#REF!</v>
      </c>
      <c r="G122" s="212">
        <f>$Q$335/1000</f>
        <v>0</v>
      </c>
      <c r="H122" s="366">
        <f>G122/$G$13*100</f>
        <v>0</v>
      </c>
      <c r="L122" s="224"/>
    </row>
    <row r="123" spans="1:12" ht="15">
      <c r="A123" s="381"/>
      <c r="B123" s="382"/>
      <c r="C123" s="383"/>
      <c r="D123" s="384"/>
      <c r="E123" s="385"/>
      <c r="F123" s="386"/>
      <c r="G123" s="385"/>
      <c r="H123" s="387"/>
    </row>
    <row r="124" spans="1:12" ht="14.25">
      <c r="A124" s="352" t="s">
        <v>745</v>
      </c>
      <c r="B124" s="353" t="s">
        <v>746</v>
      </c>
      <c r="C124" s="354" t="s">
        <v>747</v>
      </c>
      <c r="D124" s="355"/>
      <c r="E124" s="356">
        <f>E125+E131+E132+E133+E136</f>
        <v>-4955</v>
      </c>
      <c r="F124" s="357">
        <f>E124/$E$13*100</f>
        <v>-2.4169316918034065</v>
      </c>
      <c r="G124" s="356">
        <f>G125+G131+G132+G133+G136</f>
        <v>16282.621780000001</v>
      </c>
      <c r="H124" s="359">
        <f>G124/$G$13*100</f>
        <v>3.8879230611270299</v>
      </c>
    </row>
    <row r="125" spans="1:12" ht="15">
      <c r="A125" s="360" t="s">
        <v>748</v>
      </c>
      <c r="B125" s="361" t="s">
        <v>749</v>
      </c>
      <c r="C125" s="362" t="s">
        <v>750</v>
      </c>
      <c r="D125" s="363"/>
      <c r="E125" s="364">
        <f>SUM(E126:E127)</f>
        <v>5089</v>
      </c>
      <c r="F125" s="365">
        <f>E125/$E$13*100</f>
        <v>2.4822937193920356</v>
      </c>
      <c r="G125" s="364">
        <f>SUM(G126:G129)</f>
        <v>4733.6217800000004</v>
      </c>
      <c r="H125" s="366">
        <f>G125/$G$13*100</f>
        <v>1.130282182425979</v>
      </c>
    </row>
    <row r="126" spans="1:12">
      <c r="A126" s="388" t="s">
        <v>751</v>
      </c>
      <c r="B126" s="232" t="s">
        <v>752</v>
      </c>
      <c r="C126" s="233" t="s">
        <v>753</v>
      </c>
      <c r="D126" s="219" t="s">
        <v>413</v>
      </c>
      <c r="E126" s="389">
        <v>5089</v>
      </c>
      <c r="F126" s="390"/>
      <c r="G126" s="389">
        <v>4733.6217800000004</v>
      </c>
      <c r="H126" s="392">
        <f>G126/$G$13*100</f>
        <v>1.130282182425979</v>
      </c>
    </row>
    <row r="127" spans="1:12">
      <c r="A127" s="388" t="s">
        <v>754</v>
      </c>
      <c r="B127" s="232" t="s">
        <v>755</v>
      </c>
      <c r="C127" s="233" t="s">
        <v>756</v>
      </c>
      <c r="D127" s="219" t="s">
        <v>413</v>
      </c>
      <c r="E127" s="389"/>
      <c r="F127" s="390"/>
      <c r="G127" s="389"/>
      <c r="H127" s="392">
        <f>G127/$G$13*100</f>
        <v>0</v>
      </c>
    </row>
    <row r="128" spans="1:12" ht="13.5">
      <c r="A128" s="388" t="s">
        <v>757</v>
      </c>
      <c r="B128" s="232" t="s">
        <v>758</v>
      </c>
      <c r="C128" s="233" t="s">
        <v>759</v>
      </c>
      <c r="D128" s="279" t="s">
        <v>542</v>
      </c>
      <c r="E128" s="389"/>
      <c r="F128" s="390"/>
      <c r="G128" s="391"/>
      <c r="H128" s="392">
        <f>G128/$G$13*100</f>
        <v>0</v>
      </c>
    </row>
    <row r="129" spans="1:8">
      <c r="A129" s="388" t="s">
        <v>760</v>
      </c>
      <c r="B129" s="232" t="s">
        <v>761</v>
      </c>
      <c r="C129" s="233" t="s">
        <v>762</v>
      </c>
      <c r="D129" s="219" t="s">
        <v>413</v>
      </c>
      <c r="E129" s="389"/>
      <c r="F129" s="390"/>
      <c r="G129" s="391"/>
      <c r="H129" s="392"/>
    </row>
    <row r="130" spans="1:8">
      <c r="A130" s="388" t="s">
        <v>763</v>
      </c>
      <c r="B130" s="232" t="s">
        <v>764</v>
      </c>
      <c r="C130" s="233" t="s">
        <v>765</v>
      </c>
      <c r="D130" s="219" t="s">
        <v>413</v>
      </c>
      <c r="E130" s="389"/>
      <c r="F130" s="390"/>
      <c r="G130" s="391"/>
      <c r="H130" s="392"/>
    </row>
    <row r="131" spans="1:8" ht="15">
      <c r="A131" s="360" t="s">
        <v>766</v>
      </c>
      <c r="B131" s="361" t="s">
        <v>767</v>
      </c>
      <c r="C131" s="362" t="s">
        <v>768</v>
      </c>
      <c r="D131" s="279" t="s">
        <v>542</v>
      </c>
      <c r="E131" s="364">
        <f>-L129/1000000</f>
        <v>0</v>
      </c>
      <c r="F131" s="365">
        <f>E131/$E$13*100</f>
        <v>0</v>
      </c>
      <c r="G131" s="364">
        <v>-9383</v>
      </c>
      <c r="H131" s="366">
        <f>G131/$G$13*100</f>
        <v>-2.2404489016236866</v>
      </c>
    </row>
    <row r="132" spans="1:8" ht="15">
      <c r="A132" s="360" t="s">
        <v>769</v>
      </c>
      <c r="B132" s="361" t="s">
        <v>770</v>
      </c>
      <c r="C132" s="362" t="s">
        <v>771</v>
      </c>
      <c r="D132" s="219" t="s">
        <v>413</v>
      </c>
      <c r="E132" s="364"/>
      <c r="F132" s="365"/>
      <c r="G132" s="364">
        <v>2565</v>
      </c>
      <c r="H132" s="366">
        <f>G132/$G$13*100</f>
        <v>0.61246418338108888</v>
      </c>
    </row>
    <row r="133" spans="1:8" ht="15">
      <c r="A133" s="360" t="s">
        <v>772</v>
      </c>
      <c r="B133" s="361" t="s">
        <v>1653</v>
      </c>
      <c r="C133" s="362" t="s">
        <v>1654</v>
      </c>
      <c r="D133" s="363"/>
      <c r="E133" s="364">
        <f>E134+E135</f>
        <v>-10044</v>
      </c>
      <c r="F133" s="365">
        <f>E133/$E$13*100</f>
        <v>-4.8992254111954425</v>
      </c>
      <c r="G133" s="364">
        <f>SUM(G134:G135)</f>
        <v>0</v>
      </c>
      <c r="H133" s="366">
        <f>G133/$G$13*100</f>
        <v>0</v>
      </c>
    </row>
    <row r="134" spans="1:8">
      <c r="A134" s="320" t="s">
        <v>1658</v>
      </c>
      <c r="B134" s="217" t="s">
        <v>1659</v>
      </c>
      <c r="C134" s="218" t="s">
        <v>1660</v>
      </c>
      <c r="D134" s="219" t="s">
        <v>413</v>
      </c>
      <c r="E134" s="220">
        <f>L131/1000000</f>
        <v>0</v>
      </c>
      <c r="F134" s="321">
        <f>E134/$E$13*100</f>
        <v>0</v>
      </c>
      <c r="G134" s="220">
        <v>0</v>
      </c>
      <c r="H134" s="322">
        <f>G134/$G$13*100</f>
        <v>0</v>
      </c>
    </row>
    <row r="135" spans="1:8" ht="13.5">
      <c r="A135" s="320" t="s">
        <v>1661</v>
      </c>
      <c r="B135" s="217" t="s">
        <v>1662</v>
      </c>
      <c r="C135" s="218" t="s">
        <v>1663</v>
      </c>
      <c r="D135" s="279" t="s">
        <v>542</v>
      </c>
      <c r="E135" s="220">
        <v>-10044</v>
      </c>
      <c r="F135" s="321">
        <f>E135/$E$13*100</f>
        <v>-4.8992254111954425</v>
      </c>
      <c r="G135" s="220"/>
      <c r="H135" s="322">
        <f>G135/$G$13*100</f>
        <v>0</v>
      </c>
    </row>
    <row r="136" spans="1:8">
      <c r="A136" s="320"/>
      <c r="B136" s="217" t="s">
        <v>1673</v>
      </c>
      <c r="C136" s="218"/>
      <c r="D136" s="223"/>
      <c r="E136" s="220"/>
      <c r="F136" s="321"/>
      <c r="G136" s="220">
        <v>18367</v>
      </c>
      <c r="H136" s="322"/>
    </row>
    <row r="137" spans="1:8" ht="15.75">
      <c r="A137" s="339" t="s">
        <v>1664</v>
      </c>
      <c r="B137" s="340" t="s">
        <v>1665</v>
      </c>
      <c r="C137" s="341" t="s">
        <v>1666</v>
      </c>
      <c r="D137" s="342"/>
      <c r="E137" s="343">
        <f>E138</f>
        <v>0</v>
      </c>
      <c r="F137" s="393"/>
      <c r="G137" s="343">
        <f>+G138</f>
        <v>0</v>
      </c>
      <c r="H137" s="344">
        <f>G137/$G$13*100</f>
        <v>0</v>
      </c>
    </row>
    <row r="138" spans="1:8" ht="15">
      <c r="A138" s="352"/>
      <c r="B138" s="353" t="s">
        <v>1667</v>
      </c>
      <c r="C138" s="354" t="s">
        <v>1668</v>
      </c>
      <c r="D138" s="279" t="s">
        <v>612</v>
      </c>
      <c r="E138" s="356"/>
      <c r="F138" s="357"/>
      <c r="G138" s="358"/>
      <c r="H138" s="359">
        <f>G138/$G$13*100</f>
        <v>0</v>
      </c>
    </row>
    <row r="139" spans="1:8">
      <c r="A139" s="394"/>
      <c r="B139" s="246"/>
      <c r="C139" s="247"/>
      <c r="D139" s="248"/>
      <c r="E139" s="249"/>
      <c r="F139" s="395"/>
      <c r="G139" s="251"/>
      <c r="H139" s="396"/>
    </row>
    <row r="140" spans="1:8" ht="15.75">
      <c r="A140" s="397" t="s">
        <v>1669</v>
      </c>
      <c r="B140" s="398" t="s">
        <v>1670</v>
      </c>
      <c r="C140" s="399" t="s">
        <v>1671</v>
      </c>
      <c r="D140" s="400"/>
      <c r="E140" s="401">
        <f>E93+E95-E137</f>
        <v>0</v>
      </c>
      <c r="F140" s="402"/>
      <c r="G140" s="401">
        <f>G93+G95-G137</f>
        <v>0</v>
      </c>
      <c r="H140" s="403">
        <f>+G140/G13*100</f>
        <v>0</v>
      </c>
    </row>
    <row r="141" spans="1:8" ht="15">
      <c r="A141" s="404"/>
      <c r="B141" s="405" t="s">
        <v>1673</v>
      </c>
      <c r="C141" s="405" t="s">
        <v>1674</v>
      </c>
      <c r="D141" s="406"/>
      <c r="E141" s="407"/>
      <c r="F141" s="408"/>
      <c r="G141" s="826"/>
      <c r="H141" s="409"/>
    </row>
    <row r="142" spans="1:8" ht="15">
      <c r="A142" s="410"/>
      <c r="B142" s="411" t="s">
        <v>1675</v>
      </c>
      <c r="C142" s="411" t="s">
        <v>1676</v>
      </c>
      <c r="D142" s="384"/>
      <c r="E142" s="412"/>
      <c r="F142" s="413"/>
      <c r="G142" s="412"/>
      <c r="H142" s="387"/>
    </row>
    <row r="143" spans="1:8" ht="15">
      <c r="A143" s="414"/>
      <c r="B143" s="415" t="s">
        <v>1677</v>
      </c>
      <c r="C143" s="415" t="s">
        <v>1678</v>
      </c>
      <c r="D143" s="416"/>
      <c r="E143" s="417"/>
      <c r="F143" s="418"/>
      <c r="G143" s="417"/>
      <c r="H143" s="419"/>
    </row>
    <row r="145" spans="1:7">
      <c r="G145" s="224"/>
    </row>
    <row r="146" spans="1:7">
      <c r="G146" s="224"/>
    </row>
    <row r="148" spans="1:7">
      <c r="A148" s="420"/>
    </row>
  </sheetData>
  <mergeCells count="17">
    <mergeCell ref="A12:A13"/>
    <mergeCell ref="A5:H5"/>
    <mergeCell ref="A6:H6"/>
    <mergeCell ref="A8:H8"/>
    <mergeCell ref="A10:H10"/>
    <mergeCell ref="I15:I16"/>
    <mergeCell ref="E12:F12"/>
    <mergeCell ref="G12:H12"/>
    <mergeCell ref="G13:H13"/>
    <mergeCell ref="E13:F13"/>
    <mergeCell ref="E15:F15"/>
    <mergeCell ref="G15:H15"/>
    <mergeCell ref="A14:H14"/>
    <mergeCell ref="A15:A16"/>
    <mergeCell ref="B15:B16"/>
    <mergeCell ref="D12:D13"/>
    <mergeCell ref="B12:B13"/>
  </mergeCells>
  <phoneticPr fontId="3" type="noConversion"/>
  <printOptions horizontalCentered="1"/>
  <pageMargins left="0.51181102362204722" right="0.31496062992125984" top="0.39370078740157483" bottom="0.51181102362204722" header="0.31496062992125984" footer="0.27559055118110237"/>
  <pageSetup paperSize="9" scale="90" orientation="portrait" useFirstPageNumber="1" r:id="rId1"/>
  <headerFooter alignWithMargins="0">
    <oddHeader>&amp;L&amp;C&amp;R</oddHeader>
    <oddFooter>&amp;R&amp;"Times New Roman,Negrito"&amp;14&amp;P</oddFoot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7"/>
  <dimension ref="A1"/>
  <sheetViews>
    <sheetView workbookViewId="0">
      <selection activeCell="N16" sqref="N16"/>
    </sheetView>
  </sheetViews>
  <sheetFormatPr defaultRowHeight="12.7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28"/>
  <dimension ref="A1"/>
  <sheetViews>
    <sheetView workbookViewId="0"/>
  </sheetViews>
  <sheetFormatPr defaultRowHeight="12.75"/>
  <sheetData/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3"/>
  <dimension ref="A2:AC399"/>
  <sheetViews>
    <sheetView showGridLines="0" zoomScale="120" zoomScaleNormal="120" workbookViewId="0">
      <pane xSplit="3" ySplit="7" topLeftCell="J13" activePane="bottomRight" state="frozen"/>
      <selection pane="topRight" activeCell="D1" sqref="D1"/>
      <selection pane="bottomLeft" activeCell="A8" sqref="A8"/>
      <selection pane="bottomRight"/>
    </sheetView>
  </sheetViews>
  <sheetFormatPr defaultColWidth="8" defaultRowHeight="12.75"/>
  <cols>
    <col min="1" max="1" width="7.28515625" style="919" customWidth="1"/>
    <col min="2" max="2" width="42.5703125" style="893" customWidth="1"/>
    <col min="3" max="3" width="12.28515625" style="892" customWidth="1"/>
    <col min="4" max="4" width="11.85546875" style="892" customWidth="1"/>
    <col min="5" max="5" width="10.7109375" style="892" customWidth="1"/>
    <col min="6" max="6" width="10.5703125" style="892" customWidth="1"/>
    <col min="7" max="7" width="10.85546875" style="892" customWidth="1"/>
    <col min="8" max="8" width="11.85546875" style="892" customWidth="1"/>
    <col min="9" max="10" width="10.7109375" style="892" customWidth="1"/>
    <col min="11" max="11" width="11.140625" style="892" customWidth="1"/>
    <col min="12" max="14" width="10.7109375" style="892" customWidth="1"/>
    <col min="15" max="16" width="11.85546875" style="892" customWidth="1"/>
    <col min="17" max="17" width="14.140625" style="920" customWidth="1"/>
    <col min="18" max="18" width="11.85546875" style="892" hidden="1" customWidth="1"/>
    <col min="19" max="21" width="10.5703125" style="892" hidden="1" customWidth="1"/>
    <col min="22" max="24" width="10.5703125" style="893" hidden="1" customWidth="1"/>
    <col min="25" max="25" width="11.5703125" style="893" hidden="1" customWidth="1"/>
    <col min="26" max="26" width="11.85546875" style="893" hidden="1" customWidth="1"/>
    <col min="27" max="28" width="11.85546875" style="893" bestFit="1" customWidth="1"/>
    <col min="29" max="16384" width="8" style="893"/>
  </cols>
  <sheetData>
    <row r="2" spans="1:29" ht="14.25">
      <c r="A2" s="2213" t="s">
        <v>1736</v>
      </c>
      <c r="B2" s="2213"/>
      <c r="C2" s="2213"/>
      <c r="D2" s="2213"/>
      <c r="E2" s="2213"/>
      <c r="F2" s="2213"/>
      <c r="G2" s="2213"/>
      <c r="H2" s="2213"/>
      <c r="I2" s="2213"/>
      <c r="J2" s="2213"/>
      <c r="K2" s="2213"/>
      <c r="L2" s="2213"/>
      <c r="M2" s="2213"/>
      <c r="N2" s="2213"/>
      <c r="O2" s="2213"/>
      <c r="P2" s="2213"/>
      <c r="Q2" s="2213"/>
    </row>
    <row r="3" spans="1:29" ht="14.25">
      <c r="A3" s="2213" t="s">
        <v>1737</v>
      </c>
      <c r="B3" s="2213"/>
      <c r="C3" s="2213"/>
      <c r="D3" s="2213"/>
      <c r="E3" s="2213"/>
      <c r="F3" s="2213"/>
      <c r="G3" s="2213"/>
      <c r="H3" s="2213"/>
      <c r="I3" s="2213"/>
      <c r="J3" s="2213"/>
      <c r="K3" s="2213"/>
      <c r="L3" s="2213"/>
      <c r="M3" s="2213"/>
      <c r="N3" s="2213"/>
      <c r="O3" s="2213"/>
      <c r="P3" s="2213"/>
      <c r="Q3" s="2213"/>
    </row>
    <row r="4" spans="1:29" ht="14.25">
      <c r="A4" s="2213" t="s">
        <v>1738</v>
      </c>
      <c r="B4" s="2213"/>
      <c r="C4" s="2213"/>
      <c r="D4" s="2213"/>
      <c r="E4" s="2213"/>
      <c r="F4" s="2213"/>
      <c r="G4" s="2213"/>
      <c r="H4" s="2213"/>
      <c r="I4" s="2213"/>
      <c r="J4" s="2213"/>
      <c r="K4" s="2213"/>
      <c r="L4" s="2213"/>
      <c r="M4" s="2213"/>
      <c r="N4" s="2213"/>
      <c r="O4" s="2213"/>
      <c r="P4" s="2213"/>
      <c r="Q4" s="2213"/>
    </row>
    <row r="5" spans="1:29" ht="15.75">
      <c r="A5" s="2252" t="s">
        <v>1739</v>
      </c>
      <c r="B5" s="2252"/>
      <c r="C5" s="2252"/>
      <c r="D5" s="2252"/>
      <c r="E5" s="2252"/>
      <c r="F5" s="2252"/>
      <c r="G5" s="2252"/>
      <c r="H5" s="2252"/>
      <c r="I5" s="2252"/>
      <c r="J5" s="2252"/>
      <c r="K5" s="2252"/>
      <c r="L5" s="2252"/>
      <c r="M5" s="2252"/>
      <c r="N5" s="2252"/>
      <c r="O5" s="2252"/>
      <c r="P5" s="2252"/>
      <c r="Q5" s="2252"/>
    </row>
    <row r="6" spans="1:29" ht="13.5" customHeight="1">
      <c r="A6" s="2258" t="s">
        <v>1740</v>
      </c>
      <c r="B6" s="2259" t="s">
        <v>1741</v>
      </c>
      <c r="C6" s="2260" t="s">
        <v>2776</v>
      </c>
      <c r="D6" s="2253" t="s">
        <v>2921</v>
      </c>
      <c r="E6" s="2254"/>
      <c r="F6" s="2254"/>
      <c r="G6" s="2253" t="s">
        <v>2922</v>
      </c>
      <c r="H6" s="2254"/>
      <c r="I6" s="2255"/>
      <c r="J6" s="2253" t="s">
        <v>2923</v>
      </c>
      <c r="K6" s="2254"/>
      <c r="L6" s="2255"/>
      <c r="M6" s="2253" t="s">
        <v>2777</v>
      </c>
      <c r="N6" s="2254"/>
      <c r="O6" s="2255"/>
      <c r="P6" s="1305"/>
      <c r="Q6" s="1304" t="s">
        <v>2697</v>
      </c>
      <c r="R6" s="1303"/>
      <c r="S6" s="2215" t="s">
        <v>1742</v>
      </c>
      <c r="T6" s="2216"/>
      <c r="U6" s="2217"/>
      <c r="V6" s="2215" t="s">
        <v>1743</v>
      </c>
      <c r="W6" s="2216"/>
      <c r="X6" s="2217"/>
    </row>
    <row r="7" spans="1:29" ht="25.5">
      <c r="A7" s="2219"/>
      <c r="B7" s="2221"/>
      <c r="C7" s="2223"/>
      <c r="D7" s="1074" t="s">
        <v>1744</v>
      </c>
      <c r="E7" s="1069" t="s">
        <v>1745</v>
      </c>
      <c r="F7" s="1069" t="s">
        <v>1746</v>
      </c>
      <c r="G7" s="1069" t="s">
        <v>1091</v>
      </c>
      <c r="H7" s="1074" t="s">
        <v>1747</v>
      </c>
      <c r="I7" s="1075" t="s">
        <v>1749</v>
      </c>
      <c r="J7" s="1076" t="s">
        <v>1750</v>
      </c>
      <c r="K7" s="1076" t="s">
        <v>1751</v>
      </c>
      <c r="L7" s="1076" t="s">
        <v>1752</v>
      </c>
      <c r="M7" s="1076" t="s">
        <v>1753</v>
      </c>
      <c r="N7" s="1076" t="s">
        <v>1754</v>
      </c>
      <c r="O7" s="1076" t="s">
        <v>1755</v>
      </c>
      <c r="P7" s="1069" t="s">
        <v>2201</v>
      </c>
      <c r="Q7" s="1068" t="s">
        <v>1748</v>
      </c>
      <c r="R7" s="1033" t="s">
        <v>1749</v>
      </c>
      <c r="S7" s="1032" t="s">
        <v>1750</v>
      </c>
      <c r="T7" s="1032" t="s">
        <v>1751</v>
      </c>
      <c r="U7" s="1031" t="s">
        <v>1752</v>
      </c>
      <c r="V7" s="1031" t="s">
        <v>1753</v>
      </c>
      <c r="W7" s="1031" t="s">
        <v>1754</v>
      </c>
      <c r="X7" s="1031" t="s">
        <v>1755</v>
      </c>
      <c r="Y7" s="1067" t="s">
        <v>1756</v>
      </c>
      <c r="Z7" s="1066" t="s">
        <v>1757</v>
      </c>
    </row>
    <row r="8" spans="1:29">
      <c r="A8" s="1278"/>
      <c r="B8" s="1279"/>
      <c r="C8" s="1280"/>
      <c r="D8" s="1302" t="s">
        <v>1758</v>
      </c>
      <c r="E8" s="1302" t="s">
        <v>1758</v>
      </c>
      <c r="F8" s="1302" t="s">
        <v>1758</v>
      </c>
      <c r="G8" s="1302" t="s">
        <v>1758</v>
      </c>
      <c r="H8" s="1302" t="s">
        <v>1758</v>
      </c>
      <c r="I8" s="1302" t="s">
        <v>1758</v>
      </c>
      <c r="J8" s="1302" t="s">
        <v>1758</v>
      </c>
      <c r="K8" s="1302" t="s">
        <v>1758</v>
      </c>
      <c r="L8" s="1302" t="s">
        <v>1758</v>
      </c>
      <c r="M8" s="1301"/>
      <c r="N8" s="1301"/>
      <c r="O8" s="1301"/>
      <c r="P8" s="1301"/>
      <c r="Q8" s="1300"/>
      <c r="R8" s="937"/>
      <c r="S8" s="937"/>
      <c r="T8" s="937"/>
      <c r="U8" s="1043"/>
      <c r="V8" s="1043"/>
      <c r="W8" s="1043"/>
      <c r="X8" s="1043"/>
      <c r="Y8" s="1065"/>
      <c r="Z8" s="1064"/>
    </row>
    <row r="9" spans="1:29">
      <c r="A9" s="949"/>
      <c r="B9" s="948" t="s">
        <v>1759</v>
      </c>
      <c r="C9" s="894">
        <f t="shared" ref="C9:J9" si="0">+C10+C22</f>
        <v>0</v>
      </c>
      <c r="D9" s="947">
        <f>+D10+D22</f>
        <v>5590621.3829999994</v>
      </c>
      <c r="E9" s="894">
        <f>+E10+E22</f>
        <v>7783747.5520000001</v>
      </c>
      <c r="F9" s="894">
        <f>+F10+F22</f>
        <v>18210475.594000001</v>
      </c>
      <c r="G9" s="894">
        <f t="shared" si="0"/>
        <v>5427765.0270000007</v>
      </c>
      <c r="H9" s="894">
        <f>+H10+H22</f>
        <v>8350971.6290000007</v>
      </c>
      <c r="I9" s="894">
        <f t="shared" si="0"/>
        <v>20598376.410999998</v>
      </c>
      <c r="J9" s="894">
        <f t="shared" si="0"/>
        <v>12145274.793</v>
      </c>
      <c r="K9" s="894">
        <f t="shared" ref="K9:P9" si="1">+K10+K22</f>
        <v>7367686.6000399999</v>
      </c>
      <c r="L9" s="894">
        <f t="shared" si="1"/>
        <v>12061412.563999999</v>
      </c>
      <c r="M9" s="894">
        <f t="shared" si="1"/>
        <v>14013526.866999999</v>
      </c>
      <c r="N9" s="894">
        <f t="shared" si="1"/>
        <v>6669756.8939999994</v>
      </c>
      <c r="O9" s="894">
        <f t="shared" si="1"/>
        <v>11841544.390000001</v>
      </c>
      <c r="P9" s="894">
        <f t="shared" si="1"/>
        <v>130061159.70404001</v>
      </c>
      <c r="Q9" s="895">
        <f>C9-P9</f>
        <v>-130061159.70404001</v>
      </c>
      <c r="R9" s="1063">
        <f t="shared" ref="R9:X9" si="2">R10</f>
        <v>6070.4540344500201</v>
      </c>
      <c r="S9" s="1062">
        <f t="shared" si="2"/>
        <v>8588.4031334662795</v>
      </c>
      <c r="T9" s="1062">
        <f t="shared" si="2"/>
        <v>6053.788788864339</v>
      </c>
      <c r="U9" s="1062">
        <f t="shared" si="2"/>
        <v>4632.3494077950436</v>
      </c>
      <c r="V9" s="1062">
        <f t="shared" si="2"/>
        <v>4014.8875416175647</v>
      </c>
      <c r="W9" s="1062">
        <f t="shared" si="2"/>
        <v>5000.6945620887227</v>
      </c>
      <c r="X9" s="1062">
        <f t="shared" si="2"/>
        <v>3684.8716244537659</v>
      </c>
      <c r="Y9" s="1061">
        <f>SUM(R9:X9)</f>
        <v>38045.449092735733</v>
      </c>
      <c r="Z9" s="1061">
        <f>Q9-Y9</f>
        <v>-130099205.15313274</v>
      </c>
      <c r="AB9" s="892"/>
      <c r="AC9" s="892"/>
    </row>
    <row r="10" spans="1:29">
      <c r="A10" s="1052"/>
      <c r="B10" s="1060" t="s">
        <v>1760</v>
      </c>
      <c r="C10" s="896">
        <f t="shared" ref="C10:J10" si="3">+C11+C12</f>
        <v>0</v>
      </c>
      <c r="D10" s="1059">
        <f>+D11+D12</f>
        <v>5590621.3829999994</v>
      </c>
      <c r="E10" s="896">
        <f>+E11+E12</f>
        <v>6074760.9160000002</v>
      </c>
      <c r="F10" s="896">
        <f>+F11+F12</f>
        <v>11858807.959000001</v>
      </c>
      <c r="G10" s="896">
        <f t="shared" si="3"/>
        <v>5427765.0270000007</v>
      </c>
      <c r="H10" s="896">
        <f>+H11+H12</f>
        <v>8350971.6290000007</v>
      </c>
      <c r="I10" s="896">
        <f t="shared" si="3"/>
        <v>14481393.691999998</v>
      </c>
      <c r="J10" s="896">
        <f t="shared" si="3"/>
        <v>12145274.793</v>
      </c>
      <c r="K10" s="896">
        <f>+K11+K12</f>
        <v>7367686.6000399999</v>
      </c>
      <c r="L10" s="896">
        <f>+L11+L12</f>
        <v>6228798.1839999994</v>
      </c>
      <c r="M10" s="896">
        <f>+M11+M12</f>
        <v>14013526.866999999</v>
      </c>
      <c r="N10" s="896">
        <f>+N11+N12</f>
        <v>6504756.8939999994</v>
      </c>
      <c r="O10" s="896">
        <f>+O11+O12</f>
        <v>7652218.8700000001</v>
      </c>
      <c r="P10" s="896">
        <f>+D10+E10+F10+G10+H10+I10+J10+K10+L10+M10+N10+O10</f>
        <v>105696582.81404001</v>
      </c>
      <c r="Q10" s="1058">
        <f>C10-P10</f>
        <v>-105696582.81404001</v>
      </c>
      <c r="R10" s="1043">
        <f t="shared" ref="R10:X10" si="4">R14+R17</f>
        <v>6070.4540344500201</v>
      </c>
      <c r="S10" s="897">
        <f t="shared" si="4"/>
        <v>8588.4031334662795</v>
      </c>
      <c r="T10" s="897">
        <f t="shared" si="4"/>
        <v>6053.788788864339</v>
      </c>
      <c r="U10" s="897">
        <f t="shared" si="4"/>
        <v>4632.3494077950436</v>
      </c>
      <c r="V10" s="897">
        <f t="shared" si="4"/>
        <v>4014.8875416175647</v>
      </c>
      <c r="W10" s="897">
        <f t="shared" si="4"/>
        <v>5000.6945620887227</v>
      </c>
      <c r="X10" s="897">
        <f t="shared" si="4"/>
        <v>3684.8716244537659</v>
      </c>
      <c r="Y10" s="897">
        <f>SUM(R10:X10)</f>
        <v>38045.449092735733</v>
      </c>
      <c r="Z10" s="897">
        <f>Q10-Y10</f>
        <v>-105734628.26313274</v>
      </c>
      <c r="AB10" s="892"/>
    </row>
    <row r="11" spans="1:29">
      <c r="A11" s="1052">
        <v>71</v>
      </c>
      <c r="B11" s="1051" t="s">
        <v>1761</v>
      </c>
      <c r="C11" s="897">
        <f>+C14+C17</f>
        <v>0</v>
      </c>
      <c r="D11" s="937">
        <f>+D14+D17</f>
        <v>4703236.5889999997</v>
      </c>
      <c r="E11" s="897">
        <f>+E14+E17</f>
        <v>5310034.0120000001</v>
      </c>
      <c r="F11" s="897">
        <f>+F14+F17</f>
        <v>5789015.3990000002</v>
      </c>
      <c r="G11" s="897">
        <f>+G14+G17</f>
        <v>4886952.5250000004</v>
      </c>
      <c r="H11" s="897">
        <f t="shared" ref="H11:P11" si="5">+H14+H17</f>
        <v>7444374.3550000004</v>
      </c>
      <c r="I11" s="897">
        <f t="shared" si="5"/>
        <v>12840067.868999999</v>
      </c>
      <c r="J11" s="897">
        <f t="shared" si="5"/>
        <v>10528724.684</v>
      </c>
      <c r="K11" s="897">
        <f t="shared" si="5"/>
        <v>6543415.28804</v>
      </c>
      <c r="L11" s="897">
        <f t="shared" si="5"/>
        <v>5516094.5749999993</v>
      </c>
      <c r="M11" s="897">
        <f t="shared" si="5"/>
        <v>5919596.7799999993</v>
      </c>
      <c r="N11" s="897">
        <f t="shared" si="5"/>
        <v>4299482.4109999994</v>
      </c>
      <c r="O11" s="897">
        <f t="shared" si="5"/>
        <v>5335644.8870000001</v>
      </c>
      <c r="P11" s="897">
        <f t="shared" si="5"/>
        <v>79116639.374040008</v>
      </c>
      <c r="Q11" s="898">
        <f>C11-P11</f>
        <v>-79116639.374040008</v>
      </c>
      <c r="R11" s="1043"/>
      <c r="S11" s="897"/>
      <c r="T11" s="897"/>
      <c r="U11" s="897"/>
      <c r="V11" s="897"/>
      <c r="W11" s="897"/>
      <c r="X11" s="897"/>
      <c r="Y11" s="897"/>
      <c r="Z11" s="897"/>
    </row>
    <row r="12" spans="1:29">
      <c r="A12" s="1052">
        <v>72</v>
      </c>
      <c r="B12" s="1051" t="s">
        <v>1762</v>
      </c>
      <c r="C12" s="897">
        <f t="shared" ref="C12:K12" si="6">+C15+C18+C19</f>
        <v>0</v>
      </c>
      <c r="D12" s="937">
        <f t="shared" si="6"/>
        <v>887384.79399999999</v>
      </c>
      <c r="E12" s="897">
        <f t="shared" si="6"/>
        <v>764726.90399999998</v>
      </c>
      <c r="F12" s="897">
        <f t="shared" si="6"/>
        <v>6069792.5600000005</v>
      </c>
      <c r="G12" s="897">
        <f t="shared" si="6"/>
        <v>540812.50199999998</v>
      </c>
      <c r="H12" s="897">
        <f t="shared" si="6"/>
        <v>906597.27399999998</v>
      </c>
      <c r="I12" s="897">
        <f t="shared" si="6"/>
        <v>1641325.8229999999</v>
      </c>
      <c r="J12" s="897">
        <f t="shared" si="6"/>
        <v>1616550.1089999999</v>
      </c>
      <c r="K12" s="897">
        <f t="shared" si="6"/>
        <v>824271.31200000003</v>
      </c>
      <c r="L12" s="897">
        <f>L15+L18+L20</f>
        <v>712703.60899999994</v>
      </c>
      <c r="M12" s="897">
        <f>M15+M18+M20</f>
        <v>8093930.0870000003</v>
      </c>
      <c r="N12" s="897">
        <f>+N15+N18+N19</f>
        <v>2205274.483</v>
      </c>
      <c r="O12" s="897">
        <f>+O15+O18+O19</f>
        <v>2316573.983</v>
      </c>
      <c r="P12" s="897">
        <f>+D12+E12+F12+G12+H12+I12+J12+K12+L12+M12+N12+O12</f>
        <v>26579943.439999998</v>
      </c>
      <c r="Q12" s="898">
        <f>C12-P12</f>
        <v>-26579943.439999998</v>
      </c>
      <c r="R12" s="1043"/>
      <c r="S12" s="897"/>
      <c r="T12" s="897"/>
      <c r="U12" s="897"/>
      <c r="V12" s="897"/>
      <c r="W12" s="897"/>
      <c r="X12" s="897"/>
      <c r="Y12" s="897"/>
      <c r="Z12" s="897"/>
      <c r="AB12" s="892"/>
    </row>
    <row r="13" spans="1:29">
      <c r="A13" s="949"/>
      <c r="B13" s="948" t="s">
        <v>1727</v>
      </c>
      <c r="C13" s="894">
        <f t="shared" ref="C13:M13" si="7">+C14+C15</f>
        <v>0</v>
      </c>
      <c r="D13" s="947">
        <f>+D14+D15</f>
        <v>2560982.9130000002</v>
      </c>
      <c r="E13" s="894">
        <f t="shared" si="7"/>
        <v>3040300.2949999999</v>
      </c>
      <c r="F13" s="894">
        <f>+F14+F15</f>
        <v>2967542.5</v>
      </c>
      <c r="G13" s="894">
        <f t="shared" si="7"/>
        <v>2488066.574</v>
      </c>
      <c r="H13" s="894">
        <f t="shared" si="7"/>
        <v>4449690.2850000001</v>
      </c>
      <c r="I13" s="894">
        <f t="shared" si="7"/>
        <v>5783786.46</v>
      </c>
      <c r="J13" s="894">
        <f t="shared" si="7"/>
        <v>5338171.3909999998</v>
      </c>
      <c r="K13" s="894">
        <f t="shared" si="7"/>
        <v>3629186.835</v>
      </c>
      <c r="L13" s="894">
        <f t="shared" si="7"/>
        <v>3058297.7829999998</v>
      </c>
      <c r="M13" s="894">
        <f t="shared" si="7"/>
        <v>3299627.145</v>
      </c>
      <c r="N13" s="894">
        <f>+N14+N15</f>
        <v>2198254.4929999998</v>
      </c>
      <c r="O13" s="894">
        <f>+O14+O15</f>
        <v>2846963.6359999999</v>
      </c>
      <c r="P13" s="894">
        <f>+P14+P15</f>
        <v>41660870.310000002</v>
      </c>
      <c r="Q13" s="899">
        <f>+Q14+Q15</f>
        <v>-41660870.310000002</v>
      </c>
      <c r="R13" s="1043"/>
      <c r="S13" s="897"/>
      <c r="T13" s="897"/>
      <c r="U13" s="897"/>
      <c r="V13" s="897"/>
      <c r="W13" s="897"/>
      <c r="X13" s="897"/>
      <c r="Y13" s="897"/>
      <c r="Z13" s="897"/>
      <c r="AB13" s="892"/>
    </row>
    <row r="14" spans="1:29">
      <c r="A14" s="1052"/>
      <c r="B14" s="1056" t="s">
        <v>1763</v>
      </c>
      <c r="C14" s="900"/>
      <c r="D14" s="1299">
        <f>Tofe!F242</f>
        <v>2420886.0220000003</v>
      </c>
      <c r="E14" s="1299">
        <f>Tofe!G242</f>
        <v>2877639.8279999997</v>
      </c>
      <c r="F14" s="1299">
        <f>Tofe!H242</f>
        <v>2778321.5920000002</v>
      </c>
      <c r="G14" s="1299">
        <f>Tofe!I242</f>
        <v>2366510.1120000002</v>
      </c>
      <c r="H14" s="1299">
        <f>Tofe!J242</f>
        <v>4106421.7140000002</v>
      </c>
      <c r="I14" s="1299">
        <f>Tofe!K242</f>
        <v>5179128.0429999996</v>
      </c>
      <c r="J14" s="1299">
        <f>Tofe!L242</f>
        <v>4839994.5559999999</v>
      </c>
      <c r="K14" s="1299">
        <f>Tofe!M242</f>
        <v>3340233.0219999999</v>
      </c>
      <c r="L14" s="1299">
        <f>Tofe!N242</f>
        <v>2833490.7779999999</v>
      </c>
      <c r="M14" s="1299">
        <f>Tofe!O242</f>
        <v>3125497.1209999998</v>
      </c>
      <c r="N14" s="1299">
        <f>Tofe!P242</f>
        <v>2088643.3949999998</v>
      </c>
      <c r="O14" s="1299">
        <f>Tofe!Q242</f>
        <v>2694093.8930000002</v>
      </c>
      <c r="P14" s="901">
        <f>+D14+E14+F14+G14+H14+I14+J14+K14+L14+M14+N14+O14</f>
        <v>38650860.076000005</v>
      </c>
      <c r="Q14" s="898">
        <f>C14-P14</f>
        <v>-38650860.076000005</v>
      </c>
      <c r="R14" s="1054">
        <v>5130.3633629696533</v>
      </c>
      <c r="S14" s="902">
        <v>6653.3299834662785</v>
      </c>
      <c r="T14" s="902">
        <v>5113.6981173839722</v>
      </c>
      <c r="U14" s="902">
        <v>3692.2587363146763</v>
      </c>
      <c r="V14" s="902">
        <v>3074.7968701371974</v>
      </c>
      <c r="W14" s="902">
        <v>3065.621412088723</v>
      </c>
      <c r="X14" s="902">
        <v>2744.7809529733986</v>
      </c>
      <c r="Y14" s="897">
        <f>SUM(R14:X14)</f>
        <v>29474.849435333905</v>
      </c>
      <c r="Z14" s="897">
        <f>Q14-Y14</f>
        <v>-38680334.925435342</v>
      </c>
      <c r="AA14" s="892"/>
      <c r="AB14" s="892"/>
    </row>
    <row r="15" spans="1:29">
      <c r="A15" s="1052"/>
      <c r="B15" s="1056" t="s">
        <v>1764</v>
      </c>
      <c r="C15" s="900"/>
      <c r="D15" s="1299">
        <f>Tofe!F241</f>
        <v>140096.891</v>
      </c>
      <c r="E15" s="1299">
        <f>Tofe!G241</f>
        <v>162660.467</v>
      </c>
      <c r="F15" s="1299">
        <f>Tofe!H241</f>
        <v>189220.908</v>
      </c>
      <c r="G15" s="1299">
        <f>Tofe!I241</f>
        <v>121556.462</v>
      </c>
      <c r="H15" s="1299">
        <f>Tofe!J241</f>
        <v>343268.571</v>
      </c>
      <c r="I15" s="1299">
        <f>Tofe!K241</f>
        <v>604658.41700000002</v>
      </c>
      <c r="J15" s="1299">
        <f>Tofe!L241</f>
        <v>498176.83500000002</v>
      </c>
      <c r="K15" s="1299">
        <f>Tofe!M241</f>
        <v>288953.81300000002</v>
      </c>
      <c r="L15" s="1299">
        <f>Tofe!N241</f>
        <v>224807.005</v>
      </c>
      <c r="M15" s="1299">
        <f>Tofe!O241</f>
        <v>174130.024</v>
      </c>
      <c r="N15" s="1299">
        <f>Tofe!P241</f>
        <v>109611.098</v>
      </c>
      <c r="O15" s="1299">
        <f>Tofe!Q241</f>
        <v>152869.74299999999</v>
      </c>
      <c r="P15" s="901">
        <f>+D15+E15+F15+G15+H15+I15+J15+K15+L15+M15+N15+O15</f>
        <v>3010010.2340000002</v>
      </c>
      <c r="Q15" s="898">
        <f>C15-P15</f>
        <v>-3010010.2340000002</v>
      </c>
      <c r="R15" s="1054"/>
      <c r="S15" s="902"/>
      <c r="T15" s="902"/>
      <c r="U15" s="902"/>
      <c r="V15" s="902"/>
      <c r="W15" s="902"/>
      <c r="X15" s="902"/>
      <c r="Y15" s="897"/>
      <c r="Z15" s="897"/>
    </row>
    <row r="16" spans="1:29">
      <c r="A16" s="949"/>
      <c r="B16" s="948" t="s">
        <v>1726</v>
      </c>
      <c r="C16" s="894">
        <f t="shared" ref="C16:Z16" si="8">+C17+C18</f>
        <v>0</v>
      </c>
      <c r="D16" s="947">
        <f t="shared" si="8"/>
        <v>2450862.7989999996</v>
      </c>
      <c r="E16" s="894">
        <f t="shared" si="8"/>
        <v>2735687.6799999997</v>
      </c>
      <c r="F16" s="894">
        <f t="shared" si="8"/>
        <v>3151825.7559999996</v>
      </c>
      <c r="G16" s="894">
        <f t="shared" si="8"/>
        <v>2689911.5830000001</v>
      </c>
      <c r="H16" s="894">
        <f t="shared" si="8"/>
        <v>3678053.0559999999</v>
      </c>
      <c r="I16" s="894">
        <f t="shared" si="8"/>
        <v>7853235.7119999984</v>
      </c>
      <c r="J16" s="894">
        <f t="shared" si="8"/>
        <v>5933700.7090000017</v>
      </c>
      <c r="K16" s="894">
        <f t="shared" si="8"/>
        <v>3366366.6220400003</v>
      </c>
      <c r="L16" s="894">
        <f t="shared" ref="L16:Q16" si="9">+L17+L18</f>
        <v>2844148.2389999996</v>
      </c>
      <c r="M16" s="894">
        <f t="shared" si="9"/>
        <v>2998443.591</v>
      </c>
      <c r="N16" s="894">
        <f t="shared" si="9"/>
        <v>2366802.0269999998</v>
      </c>
      <c r="O16" s="894">
        <f t="shared" si="9"/>
        <v>2826555.861</v>
      </c>
      <c r="P16" s="894">
        <f t="shared" si="9"/>
        <v>42895593.63504</v>
      </c>
      <c r="Q16" s="899">
        <f t="shared" si="9"/>
        <v>38035964.961040005</v>
      </c>
      <c r="R16" s="947">
        <f t="shared" si="8"/>
        <v>940.09067148036718</v>
      </c>
      <c r="S16" s="1057">
        <f t="shared" si="8"/>
        <v>1935.0731500000002</v>
      </c>
      <c r="T16" s="1057">
        <f t="shared" si="8"/>
        <v>940.09067148036718</v>
      </c>
      <c r="U16" s="1057">
        <f t="shared" si="8"/>
        <v>940.09067148036718</v>
      </c>
      <c r="V16" s="1057">
        <f t="shared" si="8"/>
        <v>940.09067148036718</v>
      </c>
      <c r="W16" s="1057">
        <f t="shared" si="8"/>
        <v>1935.0731499999997</v>
      </c>
      <c r="X16" s="1057">
        <f t="shared" si="8"/>
        <v>940.09067148036718</v>
      </c>
      <c r="Y16" s="1057">
        <f t="shared" si="8"/>
        <v>8570.5996574018354</v>
      </c>
      <c r="Z16" s="1057">
        <f t="shared" si="8"/>
        <v>40457208.698382601</v>
      </c>
      <c r="AB16" s="892"/>
    </row>
    <row r="17" spans="1:28">
      <c r="A17" s="1052"/>
      <c r="B17" s="1056" t="s">
        <v>1763</v>
      </c>
      <c r="C17" s="900"/>
      <c r="D17" s="1299">
        <f>'DGCI '!C58</f>
        <v>2282350.5669999998</v>
      </c>
      <c r="E17" s="1299">
        <f>'DGCI '!D58</f>
        <v>2432394.1839999999</v>
      </c>
      <c r="F17" s="1299">
        <f>'DGCI '!E58</f>
        <v>3010693.8069999996</v>
      </c>
      <c r="G17" s="1299">
        <f>'DGCI '!F58</f>
        <v>2520442.4130000002</v>
      </c>
      <c r="H17" s="1299">
        <f>'DGCI '!G58</f>
        <v>3337952.6409999998</v>
      </c>
      <c r="I17" s="1299">
        <f>'DGCI '!H58</f>
        <v>7660939.8259999985</v>
      </c>
      <c r="J17" s="901">
        <f>'DGCI '!J58</f>
        <v>5688730.1280000014</v>
      </c>
      <c r="K17" s="901">
        <f>'DGCI '!K58</f>
        <v>3203182.2660400001</v>
      </c>
      <c r="L17" s="901">
        <f>'DGCI '!L58</f>
        <v>2682603.7969999998</v>
      </c>
      <c r="M17" s="901">
        <f>'DGCI '!M58</f>
        <v>2794099.659</v>
      </c>
      <c r="N17" s="901">
        <f>'DGCI '!N58</f>
        <v>2210839.0159999998</v>
      </c>
      <c r="O17" s="901">
        <f>'DGCI '!O58</f>
        <v>2641550.9939999999</v>
      </c>
      <c r="P17" s="901">
        <f>SUM(D17:O17)</f>
        <v>40465779.298040003</v>
      </c>
      <c r="Q17" s="1364">
        <f>SUM(D17:O17)</f>
        <v>40465779.298040003</v>
      </c>
      <c r="R17" s="1054">
        <v>940.09067148036718</v>
      </c>
      <c r="S17" s="902">
        <v>1935.0731500000002</v>
      </c>
      <c r="T17" s="902">
        <v>940.09067148036718</v>
      </c>
      <c r="U17" s="902">
        <v>940.09067148036718</v>
      </c>
      <c r="V17" s="902">
        <v>940.09067148036718</v>
      </c>
      <c r="W17" s="902">
        <v>1935.0731499999997</v>
      </c>
      <c r="X17" s="902">
        <v>940.09067148036718</v>
      </c>
      <c r="Y17" s="897">
        <f>SUM(R17:X17)</f>
        <v>8570.5996574018354</v>
      </c>
      <c r="Z17" s="897">
        <f>Q17-Y17</f>
        <v>40457208.698382601</v>
      </c>
    </row>
    <row r="18" spans="1:28">
      <c r="A18" s="1052"/>
      <c r="B18" s="1056" t="s">
        <v>1764</v>
      </c>
      <c r="C18" s="900"/>
      <c r="D18" s="1299">
        <f>'DGCI '!C109</f>
        <v>168512.23199999999</v>
      </c>
      <c r="E18" s="1299">
        <f>'DGCI '!D109</f>
        <v>303293.49599999998</v>
      </c>
      <c r="F18" s="1299">
        <f>'DGCI '!E109</f>
        <v>141131.94900000002</v>
      </c>
      <c r="G18" s="1299">
        <f>'DGCI '!F109</f>
        <v>169469.16999999998</v>
      </c>
      <c r="H18" s="1299">
        <f>'DGCI '!G109</f>
        <v>340100.41500000004</v>
      </c>
      <c r="I18" s="1299">
        <f>'DGCI '!H109</f>
        <v>192295.88599999997</v>
      </c>
      <c r="J18" s="901">
        <f>'DGCI '!J109</f>
        <v>244970.58100000001</v>
      </c>
      <c r="K18" s="901">
        <f>'DGCI '!K109</f>
        <v>163184.35600000003</v>
      </c>
      <c r="L18" s="901">
        <f>'DGCI '!L109</f>
        <v>161544.44199999998</v>
      </c>
      <c r="M18" s="901">
        <f>'DGCI '!M109</f>
        <v>204343.932</v>
      </c>
      <c r="N18" s="901">
        <f>'DGCI '!N109</f>
        <v>155963.011</v>
      </c>
      <c r="O18" s="901">
        <f>'DGCI '!O109</f>
        <v>185004.867</v>
      </c>
      <c r="P18" s="901">
        <f>SUM(D18:O18)</f>
        <v>2429814.3370000003</v>
      </c>
      <c r="Q18" s="898">
        <f>C18-P18</f>
        <v>-2429814.3370000003</v>
      </c>
      <c r="R18" s="1054"/>
      <c r="S18" s="902"/>
      <c r="T18" s="902"/>
      <c r="U18" s="902"/>
      <c r="V18" s="902"/>
      <c r="W18" s="902"/>
      <c r="X18" s="902"/>
      <c r="Y18" s="897"/>
      <c r="Z18" s="897"/>
      <c r="AA18" s="892"/>
    </row>
    <row r="19" spans="1:28">
      <c r="A19" s="1052"/>
      <c r="B19" s="948" t="s">
        <v>1765</v>
      </c>
      <c r="C19" s="894">
        <f t="shared" ref="C19:M19" si="10">+C20+C21</f>
        <v>0</v>
      </c>
      <c r="D19" s="947">
        <f t="shared" si="10"/>
        <v>578775.67099999997</v>
      </c>
      <c r="E19" s="894">
        <f t="shared" si="10"/>
        <v>298772.94099999999</v>
      </c>
      <c r="F19" s="894">
        <f t="shared" si="10"/>
        <v>5739439.7030000007</v>
      </c>
      <c r="G19" s="894">
        <f t="shared" si="10"/>
        <v>249786.87</v>
      </c>
      <c r="H19" s="894">
        <f t="shared" si="10"/>
        <v>223228.288</v>
      </c>
      <c r="I19" s="894">
        <f t="shared" si="10"/>
        <v>844371.52</v>
      </c>
      <c r="J19" s="894">
        <f t="shared" si="10"/>
        <v>873402.69299999997</v>
      </c>
      <c r="K19" s="894">
        <f t="shared" si="10"/>
        <v>372133.14299999998</v>
      </c>
      <c r="L19" s="894">
        <f t="shared" si="10"/>
        <v>326352.16200000001</v>
      </c>
      <c r="M19" s="894">
        <f t="shared" si="10"/>
        <v>7715456.1310000001</v>
      </c>
      <c r="N19" s="894">
        <f>+N20+N21</f>
        <v>1939700.3740000001</v>
      </c>
      <c r="O19" s="894">
        <f>+O20+O21</f>
        <v>1978699.3729999999</v>
      </c>
      <c r="P19" s="894">
        <f>+P20+P21</f>
        <v>21140118.868999999</v>
      </c>
      <c r="Q19" s="894">
        <f t="shared" ref="Q19:Q80" si="11">C19-P19</f>
        <v>-21140118.868999999</v>
      </c>
      <c r="R19" s="1054"/>
      <c r="S19" s="902"/>
      <c r="T19" s="902"/>
      <c r="U19" s="902"/>
      <c r="V19" s="902"/>
      <c r="W19" s="902"/>
      <c r="X19" s="902"/>
      <c r="Y19" s="897"/>
      <c r="Z19" s="897"/>
    </row>
    <row r="20" spans="1:28">
      <c r="A20" s="1052"/>
      <c r="B20" s="1051" t="s">
        <v>2200</v>
      </c>
      <c r="C20" s="900"/>
      <c r="D20" s="956">
        <f>'LICENCA PESCA'!D5/1000</f>
        <v>578775.67099999997</v>
      </c>
      <c r="E20" s="956">
        <f>'LICENCA PESCA'!E5/1000</f>
        <v>298772.94099999999</v>
      </c>
      <c r="F20" s="956">
        <f>'LICENCA PESCA'!F5/1000</f>
        <v>100326.673</v>
      </c>
      <c r="G20" s="956">
        <f>'LICENCA PESCA'!G5/1000</f>
        <v>249786.87</v>
      </c>
      <c r="H20" s="956">
        <f>'LICENCA PESCA'!H5/1000</f>
        <v>223228.288</v>
      </c>
      <c r="I20" s="956">
        <f>'LICENCA PESCA'!I5/1000</f>
        <v>744371.52</v>
      </c>
      <c r="J20" s="956">
        <f>'LICENCA PESCA'!J5/1000</f>
        <v>873402.69299999997</v>
      </c>
      <c r="K20" s="956">
        <f>'LICENCA PESCA'!K5/1000</f>
        <v>372133.14299999998</v>
      </c>
      <c r="L20" s="956">
        <f>'LICENCA PESCA'!L5/1000</f>
        <v>326352.16200000001</v>
      </c>
      <c r="M20" s="956">
        <f>'LICENCA PESCA'!M5/1000</f>
        <v>7715456.1310000001</v>
      </c>
      <c r="N20" s="956">
        <f>'LICENCA PESCA'!N5/1000</f>
        <v>1939700.3740000001</v>
      </c>
      <c r="O20" s="956">
        <f>'LICENCA PESCA'!O5/1000</f>
        <v>1978699.3729999999</v>
      </c>
      <c r="P20" s="901">
        <f>SUM(D20:O20)</f>
        <v>15401005.839</v>
      </c>
      <c r="Q20" s="898">
        <f t="shared" ref="Q20:V20" si="12">C20-P20</f>
        <v>-15401005.839</v>
      </c>
      <c r="R20" s="1055">
        <f t="shared" si="12"/>
        <v>15979781.51</v>
      </c>
      <c r="S20" s="903">
        <f t="shared" si="12"/>
        <v>-15681008.569</v>
      </c>
      <c r="T20" s="903">
        <f t="shared" si="12"/>
        <v>15781335.242000001</v>
      </c>
      <c r="U20" s="903">
        <f t="shared" si="12"/>
        <v>-15531548.372000001</v>
      </c>
      <c r="V20" s="903">
        <f t="shared" si="12"/>
        <v>15754776.660000002</v>
      </c>
      <c r="W20" s="903">
        <f>P20-V20</f>
        <v>-353770.82100000232</v>
      </c>
      <c r="X20" s="903">
        <f>Q20-W20</f>
        <v>-15047235.017999997</v>
      </c>
      <c r="Y20" s="903">
        <f>R20-X20</f>
        <v>31027016.527999997</v>
      </c>
      <c r="Z20" s="903">
        <f>S20-Y20</f>
        <v>-46708025.096999995</v>
      </c>
    </row>
    <row r="21" spans="1:28">
      <c r="A21" s="1052"/>
      <c r="B21" s="1051" t="s">
        <v>1766</v>
      </c>
      <c r="C21" s="900"/>
      <c r="D21" s="1299">
        <f>+Tofe!F237+Tofe!F238+Tofe!F240</f>
        <v>0</v>
      </c>
      <c r="E21" s="1299">
        <f>+Tofe!G237+Tofe!G238+Tofe!G240</f>
        <v>0</v>
      </c>
      <c r="F21" s="1299">
        <f>+Tofe!H237+Tofe!H238+Tofe!H240</f>
        <v>5639113.0300000003</v>
      </c>
      <c r="G21" s="1299">
        <f>+Tofe!I237+Tofe!I238+Tofe!I240</f>
        <v>0</v>
      </c>
      <c r="H21" s="1299">
        <f>+Tofe!J237+Tofe!J238+Tofe!J240</f>
        <v>0</v>
      </c>
      <c r="I21" s="1299">
        <f>+Tofe!K237+Tofe!K238+Tofe!K240</f>
        <v>100000</v>
      </c>
      <c r="J21" s="1299">
        <f>+Tofe!L237+Tofe!L238+Tofe!L240</f>
        <v>0</v>
      </c>
      <c r="K21" s="1299">
        <f>+Tofe!M237+Tofe!M238+Tofe!M240</f>
        <v>0</v>
      </c>
      <c r="L21" s="1299">
        <f>+Tofe!N237+Tofe!N238+Tofe!N240</f>
        <v>0</v>
      </c>
      <c r="M21" s="1299">
        <f>+Tofe!O237+Tofe!O238+Tofe!O240</f>
        <v>0</v>
      </c>
      <c r="N21" s="1299">
        <f>+Tofe!P237+Tofe!P238+Tofe!P240</f>
        <v>0</v>
      </c>
      <c r="O21" s="1299">
        <f>+Tofe!Q237+Tofe!Q238+Tofe!Q240</f>
        <v>0</v>
      </c>
      <c r="P21" s="901">
        <f>SUM(D21:O21)</f>
        <v>5739113.0300000003</v>
      </c>
      <c r="Q21" s="898">
        <f t="shared" si="11"/>
        <v>-5739113.0300000003</v>
      </c>
      <c r="R21" s="1054"/>
      <c r="S21" s="902"/>
      <c r="T21" s="902"/>
      <c r="U21" s="902"/>
      <c r="V21" s="902"/>
      <c r="W21" s="902"/>
      <c r="X21" s="902"/>
      <c r="Y21" s="897"/>
      <c r="Z21" s="897"/>
    </row>
    <row r="22" spans="1:28">
      <c r="A22" s="1052"/>
      <c r="B22" s="948" t="s">
        <v>1767</v>
      </c>
      <c r="C22" s="894">
        <f t="shared" ref="C22:P22" si="13">+C23+C24</f>
        <v>0</v>
      </c>
      <c r="D22" s="947">
        <f t="shared" si="13"/>
        <v>0</v>
      </c>
      <c r="E22" s="894">
        <f t="shared" si="13"/>
        <v>1708986.6359999999</v>
      </c>
      <c r="F22" s="894">
        <f t="shared" si="13"/>
        <v>6351667.6349999998</v>
      </c>
      <c r="G22" s="894">
        <f t="shared" si="13"/>
        <v>0</v>
      </c>
      <c r="H22" s="894">
        <f t="shared" si="13"/>
        <v>0</v>
      </c>
      <c r="I22" s="894">
        <f t="shared" si="13"/>
        <v>6116982.7189999996</v>
      </c>
      <c r="J22" s="894">
        <f t="shared" si="13"/>
        <v>0</v>
      </c>
      <c r="K22" s="894">
        <f t="shared" si="13"/>
        <v>0</v>
      </c>
      <c r="L22" s="894">
        <f t="shared" si="13"/>
        <v>5832614.3799999999</v>
      </c>
      <c r="M22" s="894">
        <f t="shared" si="13"/>
        <v>0</v>
      </c>
      <c r="N22" s="894">
        <f t="shared" si="13"/>
        <v>165000</v>
      </c>
      <c r="O22" s="894">
        <f t="shared" si="13"/>
        <v>4189325.5199999996</v>
      </c>
      <c r="P22" s="904">
        <f t="shared" si="13"/>
        <v>24364576.889999997</v>
      </c>
      <c r="Q22" s="899">
        <f t="shared" si="11"/>
        <v>-24364576.889999997</v>
      </c>
      <c r="R22" s="1054"/>
      <c r="S22" s="902"/>
      <c r="T22" s="902"/>
      <c r="U22" s="902"/>
      <c r="V22" s="902"/>
      <c r="W22" s="902"/>
      <c r="X22" s="902"/>
      <c r="Y22" s="897"/>
      <c r="Z22" s="897"/>
    </row>
    <row r="23" spans="1:28">
      <c r="A23" s="1052"/>
      <c r="B23" s="1053" t="s">
        <v>1768</v>
      </c>
      <c r="C23" s="900"/>
      <c r="D23" s="956">
        <f>'Appui-Bud'!G21</f>
        <v>0</v>
      </c>
      <c r="E23" s="956">
        <f>'Appui-Bud'!H21</f>
        <v>1708986.6359999999</v>
      </c>
      <c r="F23" s="956">
        <f>'Appui-Bud'!I21</f>
        <v>0</v>
      </c>
      <c r="G23" s="956">
        <f>'Appui-Bud'!J21</f>
        <v>0</v>
      </c>
      <c r="H23" s="956">
        <f>'Appui-Bud'!K21</f>
        <v>0</v>
      </c>
      <c r="I23" s="956">
        <f>'Appui-Bud'!L21</f>
        <v>0</v>
      </c>
      <c r="J23" s="956">
        <f>'Appui-Bud'!M21</f>
        <v>0</v>
      </c>
      <c r="K23" s="956">
        <f>'Appui-Bud'!N21</f>
        <v>0</v>
      </c>
      <c r="L23" s="956">
        <f>'Appui-Bud'!O21</f>
        <v>0</v>
      </c>
      <c r="M23" s="956">
        <f>'Appui-Bud'!P21</f>
        <v>0</v>
      </c>
      <c r="N23" s="956">
        <f>'Appui-Bud'!Q21</f>
        <v>165000</v>
      </c>
      <c r="O23" s="956">
        <f>'Appui-Bud'!R21</f>
        <v>0</v>
      </c>
      <c r="P23" s="901">
        <f>SUM(D23:O23)</f>
        <v>1873986.6359999999</v>
      </c>
      <c r="Q23" s="898">
        <f>C23-P23</f>
        <v>-1873986.6359999999</v>
      </c>
      <c r="R23" s="1043"/>
      <c r="S23" s="897"/>
      <c r="T23" s="897"/>
      <c r="U23" s="897"/>
      <c r="V23" s="905"/>
      <c r="W23" s="905"/>
      <c r="X23" s="906"/>
      <c r="Y23" s="905"/>
      <c r="Z23" s="905"/>
    </row>
    <row r="24" spans="1:28">
      <c r="A24" s="1052"/>
      <c r="B24" s="1051" t="s">
        <v>1769</v>
      </c>
      <c r="C24" s="897"/>
      <c r="D24" s="937">
        <f>Tofe!F118+Tofe!F121</f>
        <v>0</v>
      </c>
      <c r="E24" s="937">
        <f>Tofe!G118+Tofe!G121</f>
        <v>0</v>
      </c>
      <c r="F24" s="937">
        <f>Tofe!H118+Tofe!H121</f>
        <v>6351667.6349999998</v>
      </c>
      <c r="G24" s="937">
        <f>Tofe!I118+Tofe!I121</f>
        <v>0</v>
      </c>
      <c r="H24" s="937">
        <f>Tofe!J118+Tofe!J121</f>
        <v>0</v>
      </c>
      <c r="I24" s="937">
        <f>Tofe!K118+Tofe!K121</f>
        <v>6116982.7189999996</v>
      </c>
      <c r="J24" s="937">
        <f>Tofe!L118+Tofe!L121</f>
        <v>0</v>
      </c>
      <c r="K24" s="937">
        <f>Tofe!M118+Tofe!M121</f>
        <v>0</v>
      </c>
      <c r="L24" s="937">
        <f>Tofe!N118+Tofe!N121</f>
        <v>5832614.3799999999</v>
      </c>
      <c r="M24" s="937">
        <f>Tofe!O118+Tofe!O121</f>
        <v>0</v>
      </c>
      <c r="N24" s="937">
        <f>Tofe!P118+Tofe!P121</f>
        <v>0</v>
      </c>
      <c r="O24" s="937">
        <f>Tofe!Q118+Tofe!Q121</f>
        <v>4189325.5199999996</v>
      </c>
      <c r="P24" s="901">
        <f>SUM(D24:O24)</f>
        <v>22490590.253999997</v>
      </c>
      <c r="Q24" s="898">
        <f t="shared" si="11"/>
        <v>-22490590.253999997</v>
      </c>
      <c r="R24" s="1043"/>
      <c r="S24" s="897"/>
      <c r="T24" s="897"/>
      <c r="U24" s="897"/>
      <c r="V24" s="905"/>
      <c r="W24" s="905"/>
      <c r="X24" s="905"/>
      <c r="Y24" s="905"/>
      <c r="Z24" s="905"/>
    </row>
    <row r="25" spans="1:28" s="907" customFormat="1" ht="15.75">
      <c r="B25" s="1049" t="s">
        <v>1771</v>
      </c>
      <c r="C25" s="1298">
        <f>C393+C379+C321+C175+C128+C98+C28+C345</f>
        <v>0</v>
      </c>
      <c r="D25" s="1046">
        <f>D26+D28+D98+D128+D175+D321+D344+D379+D392+D393</f>
        <v>0</v>
      </c>
      <c r="E25" s="1046">
        <f>E26+E28+E98+E128+E175+E321+E344+E379+E392+E393</f>
        <v>0</v>
      </c>
      <c r="F25" s="1046">
        <f>F26+F28+F98+F128+F175+F321+F344+F379+F392+F393</f>
        <v>0</v>
      </c>
      <c r="G25" s="1046">
        <f t="shared" ref="G25:O25" si="14">G26+G28+G98+G128+G175+G321+G344+G379+G392+G393</f>
        <v>0</v>
      </c>
      <c r="H25" s="1046">
        <f t="shared" si="14"/>
        <v>0</v>
      </c>
      <c r="I25" s="1046">
        <f t="shared" si="14"/>
        <v>0</v>
      </c>
      <c r="J25" s="1046">
        <f t="shared" si="14"/>
        <v>0</v>
      </c>
      <c r="K25" s="1046">
        <f t="shared" si="14"/>
        <v>0</v>
      </c>
      <c r="L25" s="1046">
        <f t="shared" si="14"/>
        <v>0</v>
      </c>
      <c r="M25" s="1046">
        <f t="shared" si="14"/>
        <v>0</v>
      </c>
      <c r="N25" s="1046">
        <f t="shared" si="14"/>
        <v>0</v>
      </c>
      <c r="O25" s="1046">
        <f t="shared" si="14"/>
        <v>0</v>
      </c>
      <c r="P25" s="1046">
        <f>SUM(D25:O25)</f>
        <v>0</v>
      </c>
      <c r="Q25" s="1048">
        <f t="shared" si="11"/>
        <v>0</v>
      </c>
      <c r="R25" s="1047">
        <f t="shared" ref="R25:Z25" si="15">R393+R379+R321+R175+R128+R98+R28+R345</f>
        <v>50000</v>
      </c>
      <c r="S25" s="1046">
        <f t="shared" si="15"/>
        <v>50000</v>
      </c>
      <c r="T25" s="1046">
        <f t="shared" si="15"/>
        <v>50000</v>
      </c>
      <c r="U25" s="1046">
        <f t="shared" si="15"/>
        <v>50000</v>
      </c>
      <c r="V25" s="1046">
        <f t="shared" si="15"/>
        <v>50000</v>
      </c>
      <c r="W25" s="1046">
        <f t="shared" si="15"/>
        <v>50000</v>
      </c>
      <c r="X25" s="1046">
        <f t="shared" si="15"/>
        <v>50000</v>
      </c>
      <c r="Y25" s="1046">
        <f t="shared" si="15"/>
        <v>350000</v>
      </c>
      <c r="Z25" s="1046">
        <f t="shared" si="15"/>
        <v>-350000</v>
      </c>
      <c r="AA25" s="1154">
        <f>+P25-P26</f>
        <v>0</v>
      </c>
      <c r="AB25" s="1154"/>
    </row>
    <row r="26" spans="1:28" s="907" customFormat="1" ht="15.75">
      <c r="A26" s="948"/>
      <c r="B26" s="948" t="s">
        <v>2696</v>
      </c>
      <c r="C26" s="947">
        <f t="shared" ref="C26:O26" si="16">+C27</f>
        <v>0</v>
      </c>
      <c r="D26" s="947">
        <f t="shared" si="16"/>
        <v>0</v>
      </c>
      <c r="E26" s="947">
        <f t="shared" si="16"/>
        <v>0</v>
      </c>
      <c r="F26" s="947">
        <f t="shared" si="16"/>
        <v>0</v>
      </c>
      <c r="G26" s="947">
        <f t="shared" si="16"/>
        <v>0</v>
      </c>
      <c r="H26" s="947">
        <f t="shared" si="16"/>
        <v>0</v>
      </c>
      <c r="I26" s="947">
        <f t="shared" si="16"/>
        <v>0</v>
      </c>
      <c r="J26" s="947">
        <f t="shared" si="16"/>
        <v>0</v>
      </c>
      <c r="K26" s="947">
        <f t="shared" si="16"/>
        <v>0</v>
      </c>
      <c r="L26" s="947">
        <f t="shared" si="16"/>
        <v>0</v>
      </c>
      <c r="M26" s="947">
        <f t="shared" si="16"/>
        <v>0</v>
      </c>
      <c r="N26" s="947">
        <f t="shared" si="16"/>
        <v>0</v>
      </c>
      <c r="O26" s="947">
        <f t="shared" si="16"/>
        <v>0</v>
      </c>
      <c r="P26" s="966">
        <f>P27</f>
        <v>0</v>
      </c>
      <c r="Q26" s="1297">
        <f t="shared" si="11"/>
        <v>0</v>
      </c>
      <c r="R26" s="1080"/>
      <c r="S26" s="1081"/>
      <c r="T26" s="1081"/>
      <c r="U26" s="1081"/>
      <c r="V26" s="1081"/>
      <c r="W26" s="1081"/>
      <c r="X26" s="1081"/>
      <c r="Y26" s="1081"/>
      <c r="Z26" s="1081"/>
    </row>
    <row r="27" spans="1:28" s="907" customFormat="1" ht="15.75">
      <c r="A27" s="945"/>
      <c r="B27" s="944" t="s">
        <v>2695</v>
      </c>
      <c r="C27" s="908"/>
      <c r="D27" s="1371">
        <v>0</v>
      </c>
      <c r="E27" s="1371">
        <v>0</v>
      </c>
      <c r="F27" s="1371">
        <v>0</v>
      </c>
      <c r="G27" s="1371">
        <v>0</v>
      </c>
      <c r="H27" s="1371">
        <v>0</v>
      </c>
      <c r="I27" s="1371">
        <v>0</v>
      </c>
      <c r="J27" s="1371">
        <v>0</v>
      </c>
      <c r="K27" s="1371">
        <v>0</v>
      </c>
      <c r="L27" s="1371">
        <v>0</v>
      </c>
      <c r="M27" s="1371">
        <v>0</v>
      </c>
      <c r="N27" s="1371">
        <v>0</v>
      </c>
      <c r="O27" s="1371">
        <v>0</v>
      </c>
      <c r="P27" s="908">
        <f>SUM(D27:O27)</f>
        <v>0</v>
      </c>
      <c r="Q27" s="1296">
        <f t="shared" si="11"/>
        <v>0</v>
      </c>
      <c r="R27" s="1080"/>
      <c r="S27" s="1081"/>
      <c r="T27" s="1081"/>
      <c r="U27" s="1081"/>
      <c r="V27" s="1081"/>
      <c r="W27" s="1081"/>
      <c r="X27" s="1081"/>
      <c r="Y27" s="1081"/>
      <c r="Z27" s="1081"/>
      <c r="AA27" s="1154"/>
    </row>
    <row r="28" spans="1:28">
      <c r="A28" s="949">
        <v>15</v>
      </c>
      <c r="B28" s="948" t="s">
        <v>1772</v>
      </c>
      <c r="C28" s="894">
        <f t="shared" ref="C28:P28" si="17">C29</f>
        <v>0</v>
      </c>
      <c r="D28" s="894">
        <f t="shared" si="17"/>
        <v>0</v>
      </c>
      <c r="E28" s="894">
        <f t="shared" si="17"/>
        <v>0</v>
      </c>
      <c r="F28" s="894">
        <f t="shared" si="17"/>
        <v>0</v>
      </c>
      <c r="G28" s="894">
        <f t="shared" si="17"/>
        <v>0</v>
      </c>
      <c r="H28" s="894">
        <f t="shared" si="17"/>
        <v>0</v>
      </c>
      <c r="I28" s="894">
        <f t="shared" si="17"/>
        <v>0</v>
      </c>
      <c r="J28" s="894">
        <f t="shared" si="17"/>
        <v>0</v>
      </c>
      <c r="K28" s="894">
        <f t="shared" si="17"/>
        <v>0</v>
      </c>
      <c r="L28" s="894">
        <f t="shared" si="17"/>
        <v>0</v>
      </c>
      <c r="M28" s="894">
        <f t="shared" si="17"/>
        <v>0</v>
      </c>
      <c r="N28" s="894">
        <f t="shared" si="17"/>
        <v>0</v>
      </c>
      <c r="O28" s="894">
        <f t="shared" si="17"/>
        <v>0</v>
      </c>
      <c r="P28" s="894">
        <f t="shared" si="17"/>
        <v>0</v>
      </c>
      <c r="Q28" s="895">
        <f t="shared" si="11"/>
        <v>0</v>
      </c>
      <c r="R28" s="1045"/>
      <c r="S28" s="966"/>
      <c r="T28" s="966"/>
      <c r="U28" s="966"/>
      <c r="V28" s="966"/>
      <c r="W28" s="966"/>
      <c r="X28" s="966"/>
      <c r="Y28" s="966"/>
      <c r="Z28" s="966"/>
    </row>
    <row r="29" spans="1:28" ht="13.5">
      <c r="A29" s="945">
        <v>151</v>
      </c>
      <c r="B29" s="944" t="s">
        <v>1773</v>
      </c>
      <c r="C29" s="908">
        <f t="shared" ref="C29:P29" si="18">SUM(C30:C38)</f>
        <v>0</v>
      </c>
      <c r="D29" s="908">
        <f t="shared" si="18"/>
        <v>0</v>
      </c>
      <c r="E29" s="908">
        <f t="shared" si="18"/>
        <v>0</v>
      </c>
      <c r="F29" s="908">
        <f t="shared" si="18"/>
        <v>0</v>
      </c>
      <c r="G29" s="908">
        <f t="shared" si="18"/>
        <v>0</v>
      </c>
      <c r="H29" s="908">
        <f t="shared" si="18"/>
        <v>0</v>
      </c>
      <c r="I29" s="908">
        <f t="shared" si="18"/>
        <v>0</v>
      </c>
      <c r="J29" s="908">
        <f t="shared" si="18"/>
        <v>0</v>
      </c>
      <c r="K29" s="908">
        <f t="shared" si="18"/>
        <v>0</v>
      </c>
      <c r="L29" s="908">
        <f t="shared" si="18"/>
        <v>0</v>
      </c>
      <c r="M29" s="908">
        <f t="shared" si="18"/>
        <v>0</v>
      </c>
      <c r="N29" s="908">
        <f t="shared" si="18"/>
        <v>0</v>
      </c>
      <c r="O29" s="908">
        <f t="shared" si="18"/>
        <v>0</v>
      </c>
      <c r="P29" s="908">
        <f t="shared" si="18"/>
        <v>0</v>
      </c>
      <c r="Q29" s="909">
        <f t="shared" si="11"/>
        <v>0</v>
      </c>
      <c r="R29" s="1044"/>
      <c r="S29" s="908"/>
      <c r="T29" s="908"/>
      <c r="U29" s="908"/>
      <c r="V29" s="905"/>
      <c r="W29" s="905"/>
      <c r="X29" s="905"/>
      <c r="Y29" s="905"/>
      <c r="Z29" s="905"/>
    </row>
    <row r="30" spans="1:28" ht="15" customHeight="1">
      <c r="A30" s="939">
        <v>1511</v>
      </c>
      <c r="B30" s="952" t="s">
        <v>1774</v>
      </c>
      <c r="C30" s="897"/>
      <c r="D30" s="937"/>
      <c r="E30" s="897"/>
      <c r="F30" s="897"/>
      <c r="G30" s="897"/>
      <c r="H30" s="897"/>
      <c r="I30" s="897"/>
      <c r="J30" s="897"/>
      <c r="K30" s="897"/>
      <c r="L30" s="897"/>
      <c r="M30" s="897"/>
      <c r="N30" s="897"/>
      <c r="O30" s="897"/>
      <c r="P30" s="897">
        <f t="shared" ref="P30:P38" si="19">SUM(D30:O30)</f>
        <v>0</v>
      </c>
      <c r="Q30" s="898">
        <f t="shared" si="11"/>
        <v>0</v>
      </c>
      <c r="R30" s="1043"/>
      <c r="S30" s="897"/>
      <c r="T30" s="897"/>
      <c r="U30" s="897"/>
      <c r="V30" s="905"/>
      <c r="W30" s="905"/>
      <c r="X30" s="905"/>
      <c r="Y30" s="905"/>
      <c r="Z30" s="905"/>
    </row>
    <row r="31" spans="1:28" hidden="1">
      <c r="A31" s="939">
        <v>1512</v>
      </c>
      <c r="B31" s="952" t="s">
        <v>1775</v>
      </c>
      <c r="C31" s="897"/>
      <c r="D31" s="937"/>
      <c r="E31" s="897"/>
      <c r="F31" s="897"/>
      <c r="G31" s="897"/>
      <c r="H31" s="897"/>
      <c r="I31" s="897"/>
      <c r="J31" s="897"/>
      <c r="K31" s="897"/>
      <c r="L31" s="897"/>
      <c r="M31" s="897"/>
      <c r="N31" s="897"/>
      <c r="O31" s="897"/>
      <c r="P31" s="897">
        <f t="shared" si="19"/>
        <v>0</v>
      </c>
      <c r="Q31" s="898">
        <f t="shared" si="11"/>
        <v>0</v>
      </c>
      <c r="R31" s="1043"/>
      <c r="S31" s="897"/>
      <c r="T31" s="897"/>
      <c r="U31" s="897"/>
      <c r="V31" s="905"/>
      <c r="W31" s="905"/>
      <c r="X31" s="905"/>
      <c r="Y31" s="905"/>
      <c r="Z31" s="905"/>
    </row>
    <row r="32" spans="1:28" hidden="1">
      <c r="A32" s="939">
        <v>1513</v>
      </c>
      <c r="B32" s="952" t="s">
        <v>1776</v>
      </c>
      <c r="C32" s="897"/>
      <c r="D32" s="937"/>
      <c r="E32" s="897"/>
      <c r="F32" s="897"/>
      <c r="G32" s="897"/>
      <c r="H32" s="897"/>
      <c r="I32" s="897"/>
      <c r="J32" s="897"/>
      <c r="K32" s="897"/>
      <c r="L32" s="897"/>
      <c r="M32" s="897"/>
      <c r="N32" s="897"/>
      <c r="O32" s="897"/>
      <c r="P32" s="897">
        <f t="shared" si="19"/>
        <v>0</v>
      </c>
      <c r="Q32" s="898">
        <f t="shared" si="11"/>
        <v>0</v>
      </c>
      <c r="R32" s="1043"/>
      <c r="S32" s="897"/>
      <c r="T32" s="897"/>
      <c r="U32" s="897"/>
      <c r="V32" s="905"/>
      <c r="W32" s="905"/>
      <c r="X32" s="905"/>
      <c r="Y32" s="905"/>
      <c r="Z32" s="905"/>
    </row>
    <row r="33" spans="1:26">
      <c r="A33" s="939">
        <v>1514</v>
      </c>
      <c r="B33" s="952" t="s">
        <v>1777</v>
      </c>
      <c r="C33" s="897"/>
      <c r="D33" s="937">
        <v>0</v>
      </c>
      <c r="E33" s="897"/>
      <c r="F33" s="897"/>
      <c r="G33" s="897"/>
      <c r="H33" s="897"/>
      <c r="I33" s="897"/>
      <c r="J33" s="897"/>
      <c r="K33" s="897"/>
      <c r="L33" s="897"/>
      <c r="M33" s="897"/>
      <c r="N33" s="897"/>
      <c r="O33" s="897"/>
      <c r="P33" s="897">
        <f t="shared" si="19"/>
        <v>0</v>
      </c>
      <c r="Q33" s="898">
        <f t="shared" si="11"/>
        <v>0</v>
      </c>
      <c r="R33" s="1043"/>
      <c r="S33" s="897"/>
      <c r="T33" s="897"/>
      <c r="U33" s="897"/>
      <c r="V33" s="905"/>
      <c r="W33" s="905"/>
      <c r="X33" s="905"/>
      <c r="Y33" s="905"/>
      <c r="Z33" s="905"/>
    </row>
    <row r="34" spans="1:26">
      <c r="A34" s="939">
        <v>1515</v>
      </c>
      <c r="B34" s="952" t="s">
        <v>1778</v>
      </c>
      <c r="C34" s="897"/>
      <c r="D34" s="937"/>
      <c r="E34" s="897"/>
      <c r="F34" s="897"/>
      <c r="G34" s="897"/>
      <c r="H34" s="897"/>
      <c r="I34" s="897"/>
      <c r="J34" s="897"/>
      <c r="K34" s="897"/>
      <c r="L34" s="897"/>
      <c r="M34" s="897"/>
      <c r="N34" s="897"/>
      <c r="O34" s="897"/>
      <c r="P34" s="897">
        <f t="shared" si="19"/>
        <v>0</v>
      </c>
      <c r="Q34" s="898">
        <f t="shared" si="11"/>
        <v>0</v>
      </c>
      <c r="R34" s="1043"/>
      <c r="S34" s="897"/>
      <c r="T34" s="897"/>
      <c r="U34" s="897"/>
      <c r="V34" s="905"/>
      <c r="W34" s="905"/>
      <c r="X34" s="905"/>
      <c r="Y34" s="905"/>
      <c r="Z34" s="905"/>
    </row>
    <row r="35" spans="1:26" hidden="1">
      <c r="A35" s="939">
        <v>1516</v>
      </c>
      <c r="B35" s="952" t="s">
        <v>1779</v>
      </c>
      <c r="C35" s="897"/>
      <c r="D35" s="937"/>
      <c r="E35" s="897"/>
      <c r="F35" s="897"/>
      <c r="G35" s="897"/>
      <c r="H35" s="897"/>
      <c r="I35" s="897"/>
      <c r="J35" s="897"/>
      <c r="K35" s="897"/>
      <c r="L35" s="897"/>
      <c r="M35" s="897"/>
      <c r="N35" s="897"/>
      <c r="O35" s="897"/>
      <c r="P35" s="897">
        <f t="shared" si="19"/>
        <v>0</v>
      </c>
      <c r="Q35" s="898">
        <f t="shared" si="11"/>
        <v>0</v>
      </c>
      <c r="R35" s="1043"/>
      <c r="S35" s="897"/>
      <c r="T35" s="897"/>
      <c r="U35" s="897"/>
      <c r="V35" s="905"/>
      <c r="W35" s="905"/>
      <c r="X35" s="905"/>
      <c r="Y35" s="905"/>
      <c r="Z35" s="905"/>
    </row>
    <row r="36" spans="1:26" hidden="1">
      <c r="A36" s="939">
        <v>1517</v>
      </c>
      <c r="B36" s="952" t="s">
        <v>1780</v>
      </c>
      <c r="C36" s="897"/>
      <c r="D36" s="937"/>
      <c r="E36" s="897"/>
      <c r="F36" s="897"/>
      <c r="G36" s="897"/>
      <c r="H36" s="897"/>
      <c r="I36" s="897"/>
      <c r="J36" s="897"/>
      <c r="K36" s="897"/>
      <c r="L36" s="897"/>
      <c r="M36" s="897"/>
      <c r="N36" s="897"/>
      <c r="O36" s="897"/>
      <c r="P36" s="897">
        <f t="shared" si="19"/>
        <v>0</v>
      </c>
      <c r="Q36" s="898">
        <f t="shared" si="11"/>
        <v>0</v>
      </c>
      <c r="R36" s="1043"/>
      <c r="S36" s="897"/>
      <c r="T36" s="897"/>
      <c r="U36" s="897"/>
      <c r="V36" s="905"/>
      <c r="W36" s="905"/>
      <c r="X36" s="905"/>
      <c r="Y36" s="905"/>
      <c r="Z36" s="905"/>
    </row>
    <row r="37" spans="1:26">
      <c r="A37" s="939">
        <v>1518</v>
      </c>
      <c r="B37" s="952" t="s">
        <v>1781</v>
      </c>
      <c r="C37" s="897"/>
      <c r="D37" s="937"/>
      <c r="E37" s="897"/>
      <c r="F37" s="897"/>
      <c r="G37" s="897"/>
      <c r="H37" s="897"/>
      <c r="I37" s="897"/>
      <c r="J37" s="897"/>
      <c r="K37" s="897"/>
      <c r="L37" s="897"/>
      <c r="M37" s="897"/>
      <c r="N37" s="897"/>
      <c r="O37" s="897"/>
      <c r="P37" s="897">
        <f t="shared" si="19"/>
        <v>0</v>
      </c>
      <c r="Q37" s="898">
        <f t="shared" si="11"/>
        <v>0</v>
      </c>
      <c r="R37" s="1043"/>
      <c r="S37" s="897"/>
      <c r="T37" s="897"/>
      <c r="U37" s="897"/>
      <c r="V37" s="905"/>
      <c r="W37" s="905"/>
      <c r="X37" s="905"/>
      <c r="Y37" s="905"/>
      <c r="Z37" s="905"/>
    </row>
    <row r="38" spans="1:26">
      <c r="A38" s="939">
        <v>1519</v>
      </c>
      <c r="B38" s="952" t="s">
        <v>1782</v>
      </c>
      <c r="C38" s="897"/>
      <c r="D38" s="937"/>
      <c r="E38" s="897"/>
      <c r="F38" s="897"/>
      <c r="G38" s="897"/>
      <c r="H38" s="897"/>
      <c r="I38" s="897"/>
      <c r="J38" s="897"/>
      <c r="K38" s="897"/>
      <c r="L38" s="897"/>
      <c r="M38" s="897"/>
      <c r="N38" s="897"/>
      <c r="O38" s="897"/>
      <c r="P38" s="897">
        <f t="shared" si="19"/>
        <v>0</v>
      </c>
      <c r="Q38" s="898">
        <f t="shared" si="11"/>
        <v>0</v>
      </c>
      <c r="R38" s="1043"/>
      <c r="S38" s="897"/>
      <c r="T38" s="897"/>
      <c r="U38" s="897"/>
      <c r="V38" s="905"/>
      <c r="W38" s="905"/>
      <c r="X38" s="905"/>
      <c r="Y38" s="905"/>
      <c r="Z38" s="905"/>
    </row>
    <row r="39" spans="1:26" hidden="1">
      <c r="A39" s="951">
        <v>152</v>
      </c>
      <c r="B39" s="950" t="s">
        <v>1783</v>
      </c>
      <c r="C39" s="897"/>
      <c r="D39" s="937"/>
      <c r="E39" s="897"/>
      <c r="F39" s="897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8">
        <f t="shared" si="11"/>
        <v>0</v>
      </c>
      <c r="R39" s="1033"/>
      <c r="S39" s="1032"/>
      <c r="T39" s="1032"/>
      <c r="U39" s="1031"/>
    </row>
    <row r="40" spans="1:26" hidden="1">
      <c r="A40" s="939">
        <v>1521</v>
      </c>
      <c r="B40" s="952" t="s">
        <v>1784</v>
      </c>
      <c r="C40" s="897"/>
      <c r="D40" s="937"/>
      <c r="E40" s="897"/>
      <c r="F40" s="897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8">
        <f t="shared" si="11"/>
        <v>0</v>
      </c>
      <c r="R40" s="1033"/>
      <c r="S40" s="1032"/>
      <c r="T40" s="1032"/>
      <c r="U40" s="1031"/>
    </row>
    <row r="41" spans="1:26" hidden="1">
      <c r="A41" s="939">
        <v>1522</v>
      </c>
      <c r="B41" s="952" t="s">
        <v>1785</v>
      </c>
      <c r="C41" s="897"/>
      <c r="D41" s="937"/>
      <c r="E41" s="897"/>
      <c r="F41" s="897"/>
      <c r="G41" s="897"/>
      <c r="H41" s="897"/>
      <c r="I41" s="897"/>
      <c r="J41" s="897"/>
      <c r="K41" s="897"/>
      <c r="L41" s="897"/>
      <c r="M41" s="897"/>
      <c r="N41" s="897"/>
      <c r="O41" s="897"/>
      <c r="P41" s="897"/>
      <c r="Q41" s="898">
        <f t="shared" si="11"/>
        <v>0</v>
      </c>
      <c r="R41" s="1033"/>
      <c r="S41" s="1032"/>
      <c r="T41" s="1032"/>
      <c r="U41" s="1031"/>
    </row>
    <row r="42" spans="1:26" hidden="1">
      <c r="A42" s="939">
        <v>1523</v>
      </c>
      <c r="B42" s="952" t="s">
        <v>1786</v>
      </c>
      <c r="C42" s="897"/>
      <c r="D42" s="937"/>
      <c r="E42" s="897"/>
      <c r="F42" s="897"/>
      <c r="G42" s="897"/>
      <c r="H42" s="897"/>
      <c r="I42" s="897"/>
      <c r="J42" s="897"/>
      <c r="K42" s="897"/>
      <c r="L42" s="897"/>
      <c r="M42" s="897"/>
      <c r="N42" s="897"/>
      <c r="O42" s="897"/>
      <c r="P42" s="897"/>
      <c r="Q42" s="898">
        <f t="shared" si="11"/>
        <v>0</v>
      </c>
      <c r="R42" s="1033"/>
      <c r="S42" s="1032"/>
      <c r="T42" s="1032"/>
      <c r="U42" s="1031"/>
    </row>
    <row r="43" spans="1:26" hidden="1">
      <c r="A43" s="939">
        <v>1524</v>
      </c>
      <c r="B43" s="952" t="s">
        <v>1787</v>
      </c>
      <c r="C43" s="897"/>
      <c r="D43" s="937"/>
      <c r="E43" s="897"/>
      <c r="F43" s="897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8">
        <f t="shared" si="11"/>
        <v>0</v>
      </c>
      <c r="R43" s="1033"/>
      <c r="S43" s="1032"/>
      <c r="T43" s="1032"/>
      <c r="U43" s="1031"/>
    </row>
    <row r="44" spans="1:26" hidden="1">
      <c r="A44" s="939">
        <v>1525</v>
      </c>
      <c r="B44" s="952" t="s">
        <v>1788</v>
      </c>
      <c r="C44" s="897"/>
      <c r="D44" s="937"/>
      <c r="E44" s="897"/>
      <c r="F44" s="897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8">
        <f t="shared" si="11"/>
        <v>0</v>
      </c>
      <c r="R44" s="1033"/>
      <c r="S44" s="1032"/>
      <c r="T44" s="1032"/>
      <c r="U44" s="1031"/>
    </row>
    <row r="45" spans="1:26" hidden="1">
      <c r="A45" s="939">
        <v>1526</v>
      </c>
      <c r="B45" s="952" t="s">
        <v>1789</v>
      </c>
      <c r="C45" s="897"/>
      <c r="D45" s="937"/>
      <c r="E45" s="897"/>
      <c r="F45" s="897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8">
        <f t="shared" si="11"/>
        <v>0</v>
      </c>
      <c r="R45" s="1033"/>
      <c r="S45" s="1032"/>
      <c r="T45" s="1032"/>
      <c r="U45" s="1031"/>
    </row>
    <row r="46" spans="1:26" hidden="1">
      <c r="A46" s="939">
        <v>1527</v>
      </c>
      <c r="B46" s="952" t="s">
        <v>1790</v>
      </c>
      <c r="C46" s="897"/>
      <c r="D46" s="937"/>
      <c r="E46" s="897"/>
      <c r="F46" s="897"/>
      <c r="G46" s="897"/>
      <c r="H46" s="897"/>
      <c r="I46" s="897"/>
      <c r="J46" s="897"/>
      <c r="K46" s="897"/>
      <c r="L46" s="897"/>
      <c r="M46" s="897"/>
      <c r="N46" s="897"/>
      <c r="O46" s="897"/>
      <c r="P46" s="897"/>
      <c r="Q46" s="898">
        <f t="shared" si="11"/>
        <v>0</v>
      </c>
      <c r="R46" s="1033"/>
      <c r="S46" s="1032"/>
      <c r="T46" s="1032"/>
      <c r="U46" s="1031"/>
    </row>
    <row r="47" spans="1:26" hidden="1">
      <c r="A47" s="939">
        <v>1529</v>
      </c>
      <c r="B47" s="952" t="s">
        <v>1791</v>
      </c>
      <c r="C47" s="897"/>
      <c r="D47" s="937"/>
      <c r="E47" s="897"/>
      <c r="F47" s="897"/>
      <c r="G47" s="897"/>
      <c r="H47" s="897"/>
      <c r="I47" s="897"/>
      <c r="J47" s="897"/>
      <c r="K47" s="897"/>
      <c r="L47" s="897"/>
      <c r="M47" s="897"/>
      <c r="N47" s="897"/>
      <c r="O47" s="897"/>
      <c r="P47" s="897"/>
      <c r="Q47" s="898">
        <f t="shared" si="11"/>
        <v>0</v>
      </c>
      <c r="R47" s="1033"/>
      <c r="S47" s="1032"/>
      <c r="T47" s="1032"/>
      <c r="U47" s="1031"/>
    </row>
    <row r="48" spans="1:26" hidden="1">
      <c r="A48" s="951">
        <v>153</v>
      </c>
      <c r="B48" s="950" t="s">
        <v>1792</v>
      </c>
      <c r="C48" s="897"/>
      <c r="D48" s="937"/>
      <c r="E48" s="897"/>
      <c r="F48" s="897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8">
        <f t="shared" si="11"/>
        <v>0</v>
      </c>
      <c r="R48" s="1033"/>
      <c r="S48" s="1032"/>
      <c r="T48" s="1032"/>
      <c r="U48" s="1031"/>
    </row>
    <row r="49" spans="1:21" hidden="1">
      <c r="A49" s="939">
        <v>1531</v>
      </c>
      <c r="B49" s="952" t="s">
        <v>1793</v>
      </c>
      <c r="C49" s="897"/>
      <c r="D49" s="937"/>
      <c r="E49" s="897"/>
      <c r="F49" s="897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8">
        <f t="shared" si="11"/>
        <v>0</v>
      </c>
      <c r="R49" s="1033"/>
      <c r="S49" s="1032"/>
      <c r="T49" s="1032"/>
      <c r="U49" s="1031"/>
    </row>
    <row r="50" spans="1:21" hidden="1">
      <c r="A50" s="939">
        <v>1532</v>
      </c>
      <c r="B50" s="952" t="s">
        <v>1794</v>
      </c>
      <c r="C50" s="897"/>
      <c r="D50" s="937"/>
      <c r="E50" s="897"/>
      <c r="F50" s="897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8">
        <f t="shared" si="11"/>
        <v>0</v>
      </c>
      <c r="R50" s="1033"/>
      <c r="S50" s="1032"/>
      <c r="T50" s="1032"/>
      <c r="U50" s="1031"/>
    </row>
    <row r="51" spans="1:21" hidden="1">
      <c r="A51" s="939">
        <v>1533</v>
      </c>
      <c r="B51" s="952" t="s">
        <v>1795</v>
      </c>
      <c r="C51" s="897"/>
      <c r="D51" s="937"/>
      <c r="E51" s="897"/>
      <c r="F51" s="897"/>
      <c r="G51" s="897"/>
      <c r="H51" s="897"/>
      <c r="I51" s="897"/>
      <c r="J51" s="897"/>
      <c r="K51" s="897"/>
      <c r="L51" s="897"/>
      <c r="M51" s="897"/>
      <c r="N51" s="897"/>
      <c r="O51" s="897"/>
      <c r="P51" s="897"/>
      <c r="Q51" s="898">
        <f t="shared" si="11"/>
        <v>0</v>
      </c>
      <c r="R51" s="1033"/>
      <c r="S51" s="1032"/>
      <c r="T51" s="1032"/>
      <c r="U51" s="1031"/>
    </row>
    <row r="52" spans="1:21" hidden="1">
      <c r="A52" s="939">
        <v>1534</v>
      </c>
      <c r="B52" s="952" t="s">
        <v>1796</v>
      </c>
      <c r="C52" s="897"/>
      <c r="D52" s="937"/>
      <c r="E52" s="897"/>
      <c r="F52" s="897"/>
      <c r="G52" s="897"/>
      <c r="H52" s="897"/>
      <c r="I52" s="897"/>
      <c r="J52" s="897"/>
      <c r="K52" s="897"/>
      <c r="L52" s="897"/>
      <c r="M52" s="897"/>
      <c r="N52" s="897"/>
      <c r="O52" s="897"/>
      <c r="P52" s="897"/>
      <c r="Q52" s="898">
        <f t="shared" si="11"/>
        <v>0</v>
      </c>
      <c r="R52" s="1033"/>
      <c r="S52" s="1032"/>
      <c r="T52" s="1032"/>
      <c r="U52" s="1031"/>
    </row>
    <row r="53" spans="1:21" hidden="1">
      <c r="A53" s="939">
        <v>1539</v>
      </c>
      <c r="B53" s="952" t="s">
        <v>1791</v>
      </c>
      <c r="C53" s="897"/>
      <c r="D53" s="937"/>
      <c r="E53" s="897"/>
      <c r="F53" s="897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8">
        <f t="shared" si="11"/>
        <v>0</v>
      </c>
      <c r="R53" s="1033"/>
      <c r="S53" s="1032"/>
      <c r="T53" s="1032"/>
      <c r="U53" s="1031"/>
    </row>
    <row r="54" spans="1:21" hidden="1">
      <c r="A54" s="958">
        <v>155</v>
      </c>
      <c r="B54" s="957" t="s">
        <v>1797</v>
      </c>
      <c r="C54" s="897"/>
      <c r="D54" s="937"/>
      <c r="E54" s="897"/>
      <c r="F54" s="897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8">
        <f t="shared" si="11"/>
        <v>0</v>
      </c>
      <c r="R54" s="1033"/>
      <c r="S54" s="1032"/>
      <c r="T54" s="1032"/>
      <c r="U54" s="1031"/>
    </row>
    <row r="55" spans="1:21" hidden="1">
      <c r="A55" s="951">
        <v>157</v>
      </c>
      <c r="B55" s="950" t="s">
        <v>1798</v>
      </c>
      <c r="C55" s="897"/>
      <c r="D55" s="937"/>
      <c r="E55" s="897"/>
      <c r="F55" s="897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8">
        <f t="shared" si="11"/>
        <v>0</v>
      </c>
      <c r="R55" s="1033"/>
      <c r="S55" s="1032"/>
      <c r="T55" s="1032"/>
      <c r="U55" s="1031"/>
    </row>
    <row r="56" spans="1:21" hidden="1">
      <c r="A56" s="939">
        <v>1571</v>
      </c>
      <c r="B56" s="952" t="s">
        <v>1799</v>
      </c>
      <c r="C56" s="897"/>
      <c r="D56" s="937"/>
      <c r="E56" s="897"/>
      <c r="F56" s="897"/>
      <c r="G56" s="897"/>
      <c r="H56" s="897"/>
      <c r="I56" s="897"/>
      <c r="J56" s="897"/>
      <c r="K56" s="897"/>
      <c r="L56" s="897"/>
      <c r="M56" s="897"/>
      <c r="N56" s="897"/>
      <c r="O56" s="897"/>
      <c r="P56" s="897"/>
      <c r="Q56" s="898">
        <f t="shared" si="11"/>
        <v>0</v>
      </c>
      <c r="R56" s="1033"/>
      <c r="S56" s="1032"/>
      <c r="T56" s="1032"/>
      <c r="U56" s="1031"/>
    </row>
    <row r="57" spans="1:21" hidden="1">
      <c r="A57" s="939">
        <v>1572</v>
      </c>
      <c r="B57" s="1042" t="s">
        <v>1800</v>
      </c>
      <c r="C57" s="897"/>
      <c r="D57" s="937"/>
      <c r="E57" s="897"/>
      <c r="F57" s="897"/>
      <c r="G57" s="897"/>
      <c r="H57" s="897"/>
      <c r="I57" s="897"/>
      <c r="J57" s="897"/>
      <c r="K57" s="897"/>
      <c r="L57" s="897"/>
      <c r="M57" s="897"/>
      <c r="N57" s="897"/>
      <c r="O57" s="897"/>
      <c r="P57" s="897"/>
      <c r="Q57" s="898">
        <f t="shared" si="11"/>
        <v>0</v>
      </c>
      <c r="R57" s="1033"/>
      <c r="S57" s="1032"/>
      <c r="T57" s="1032"/>
      <c r="U57" s="1031"/>
    </row>
    <row r="58" spans="1:21" hidden="1">
      <c r="A58" s="951">
        <v>158</v>
      </c>
      <c r="B58" s="950" t="s">
        <v>1801</v>
      </c>
      <c r="C58" s="897"/>
      <c r="D58" s="937"/>
      <c r="E58" s="897"/>
      <c r="F58" s="897"/>
      <c r="G58" s="897"/>
      <c r="H58" s="897"/>
      <c r="I58" s="897"/>
      <c r="J58" s="897"/>
      <c r="K58" s="897"/>
      <c r="L58" s="897"/>
      <c r="M58" s="897"/>
      <c r="N58" s="897"/>
      <c r="O58" s="897"/>
      <c r="P58" s="897"/>
      <c r="Q58" s="898">
        <f t="shared" si="11"/>
        <v>0</v>
      </c>
      <c r="R58" s="1033"/>
      <c r="S58" s="1032"/>
      <c r="T58" s="1032"/>
      <c r="U58" s="1031"/>
    </row>
    <row r="59" spans="1:21" hidden="1">
      <c r="A59" s="939">
        <v>1581</v>
      </c>
      <c r="B59" s="952" t="s">
        <v>1802</v>
      </c>
      <c r="C59" s="897"/>
      <c r="D59" s="937"/>
      <c r="E59" s="897"/>
      <c r="F59" s="897"/>
      <c r="G59" s="897"/>
      <c r="H59" s="897"/>
      <c r="I59" s="897"/>
      <c r="J59" s="897"/>
      <c r="K59" s="897"/>
      <c r="L59" s="897"/>
      <c r="M59" s="897"/>
      <c r="N59" s="897"/>
      <c r="O59" s="897"/>
      <c r="P59" s="897"/>
      <c r="Q59" s="898">
        <f t="shared" si="11"/>
        <v>0</v>
      </c>
      <c r="R59" s="1033"/>
      <c r="S59" s="1032"/>
      <c r="T59" s="1032"/>
      <c r="U59" s="1031"/>
    </row>
    <row r="60" spans="1:21" hidden="1">
      <c r="A60" s="939">
        <v>1582</v>
      </c>
      <c r="B60" s="952" t="s">
        <v>1803</v>
      </c>
      <c r="C60" s="897"/>
      <c r="D60" s="937"/>
      <c r="E60" s="897"/>
      <c r="F60" s="897"/>
      <c r="G60" s="897"/>
      <c r="H60" s="897"/>
      <c r="I60" s="897"/>
      <c r="J60" s="897"/>
      <c r="K60" s="897"/>
      <c r="L60" s="897"/>
      <c r="M60" s="897"/>
      <c r="N60" s="897"/>
      <c r="O60" s="897"/>
      <c r="P60" s="897"/>
      <c r="Q60" s="898">
        <f t="shared" si="11"/>
        <v>0</v>
      </c>
      <c r="R60" s="1033"/>
      <c r="S60" s="1032"/>
      <c r="T60" s="1032"/>
      <c r="U60" s="1031"/>
    </row>
    <row r="61" spans="1:21" hidden="1">
      <c r="A61" s="945">
        <v>16</v>
      </c>
      <c r="B61" s="1041" t="s">
        <v>1804</v>
      </c>
      <c r="C61" s="897"/>
      <c r="D61" s="937"/>
      <c r="E61" s="897"/>
      <c r="F61" s="897"/>
      <c r="G61" s="897"/>
      <c r="H61" s="897"/>
      <c r="I61" s="897"/>
      <c r="J61" s="897"/>
      <c r="K61" s="897"/>
      <c r="L61" s="897"/>
      <c r="M61" s="897"/>
      <c r="N61" s="897"/>
      <c r="O61" s="897"/>
      <c r="P61" s="897"/>
      <c r="Q61" s="898">
        <f t="shared" si="11"/>
        <v>0</v>
      </c>
      <c r="R61" s="1033"/>
      <c r="S61" s="1032"/>
      <c r="T61" s="1032"/>
      <c r="U61" s="1031"/>
    </row>
    <row r="62" spans="1:21" hidden="1">
      <c r="A62" s="951">
        <v>161</v>
      </c>
      <c r="B62" s="950" t="s">
        <v>1805</v>
      </c>
      <c r="C62" s="897"/>
      <c r="D62" s="937"/>
      <c r="E62" s="897"/>
      <c r="F62" s="897"/>
      <c r="G62" s="897"/>
      <c r="H62" s="897"/>
      <c r="I62" s="897"/>
      <c r="J62" s="897"/>
      <c r="K62" s="897"/>
      <c r="L62" s="897"/>
      <c r="M62" s="897"/>
      <c r="N62" s="897"/>
      <c r="O62" s="897"/>
      <c r="P62" s="897"/>
      <c r="Q62" s="898">
        <f t="shared" si="11"/>
        <v>0</v>
      </c>
      <c r="R62" s="1033"/>
      <c r="S62" s="1032"/>
      <c r="T62" s="1032"/>
      <c r="U62" s="1031"/>
    </row>
    <row r="63" spans="1:21" hidden="1">
      <c r="A63" s="939">
        <v>1611</v>
      </c>
      <c r="B63" s="952" t="s">
        <v>1806</v>
      </c>
      <c r="C63" s="897"/>
      <c r="D63" s="937"/>
      <c r="E63" s="897"/>
      <c r="F63" s="897"/>
      <c r="G63" s="897"/>
      <c r="H63" s="897"/>
      <c r="I63" s="897"/>
      <c r="J63" s="897"/>
      <c r="K63" s="897"/>
      <c r="L63" s="897"/>
      <c r="M63" s="897"/>
      <c r="N63" s="897"/>
      <c r="O63" s="897"/>
      <c r="P63" s="897"/>
      <c r="Q63" s="898">
        <f t="shared" si="11"/>
        <v>0</v>
      </c>
      <c r="R63" s="1033"/>
      <c r="S63" s="1032"/>
      <c r="T63" s="1032"/>
      <c r="U63" s="1031"/>
    </row>
    <row r="64" spans="1:21" hidden="1">
      <c r="A64" s="939">
        <v>1612</v>
      </c>
      <c r="B64" s="952" t="s">
        <v>1807</v>
      </c>
      <c r="C64" s="897"/>
      <c r="D64" s="937"/>
      <c r="E64" s="897"/>
      <c r="F64" s="897"/>
      <c r="G64" s="897"/>
      <c r="H64" s="897"/>
      <c r="I64" s="897"/>
      <c r="J64" s="897"/>
      <c r="K64" s="897"/>
      <c r="L64" s="897"/>
      <c r="M64" s="897"/>
      <c r="N64" s="897"/>
      <c r="O64" s="897"/>
      <c r="P64" s="897"/>
      <c r="Q64" s="898">
        <f t="shared" si="11"/>
        <v>0</v>
      </c>
      <c r="R64" s="1033"/>
      <c r="S64" s="1032"/>
      <c r="T64" s="1032"/>
      <c r="U64" s="1031"/>
    </row>
    <row r="65" spans="1:21" hidden="1">
      <c r="A65" s="939">
        <v>1613</v>
      </c>
      <c r="B65" s="952" t="s">
        <v>1808</v>
      </c>
      <c r="C65" s="897"/>
      <c r="D65" s="937"/>
      <c r="E65" s="897"/>
      <c r="F65" s="897"/>
      <c r="G65" s="897"/>
      <c r="H65" s="897"/>
      <c r="I65" s="897"/>
      <c r="J65" s="897"/>
      <c r="K65" s="897"/>
      <c r="L65" s="897"/>
      <c r="M65" s="897"/>
      <c r="N65" s="897"/>
      <c r="O65" s="897"/>
      <c r="P65" s="897"/>
      <c r="Q65" s="898">
        <f t="shared" si="11"/>
        <v>0</v>
      </c>
      <c r="R65" s="1033"/>
      <c r="S65" s="1032"/>
      <c r="T65" s="1032"/>
      <c r="U65" s="1031"/>
    </row>
    <row r="66" spans="1:21" hidden="1">
      <c r="A66" s="939">
        <v>6114</v>
      </c>
      <c r="B66" s="952" t="s">
        <v>1809</v>
      </c>
      <c r="C66" s="897"/>
      <c r="D66" s="937"/>
      <c r="E66" s="897"/>
      <c r="F66" s="897"/>
      <c r="G66" s="897"/>
      <c r="H66" s="897"/>
      <c r="I66" s="897"/>
      <c r="J66" s="897"/>
      <c r="K66" s="897"/>
      <c r="L66" s="897"/>
      <c r="M66" s="897"/>
      <c r="N66" s="897"/>
      <c r="O66" s="897"/>
      <c r="P66" s="897"/>
      <c r="Q66" s="898">
        <f t="shared" si="11"/>
        <v>0</v>
      </c>
      <c r="R66" s="1033"/>
      <c r="S66" s="1032"/>
      <c r="T66" s="1032"/>
      <c r="U66" s="1031"/>
    </row>
    <row r="67" spans="1:21" hidden="1">
      <c r="A67" s="939">
        <v>6115</v>
      </c>
      <c r="B67" s="952" t="s">
        <v>1810</v>
      </c>
      <c r="C67" s="897"/>
      <c r="D67" s="937"/>
      <c r="E67" s="897"/>
      <c r="F67" s="897"/>
      <c r="G67" s="897"/>
      <c r="H67" s="897"/>
      <c r="I67" s="897"/>
      <c r="J67" s="897"/>
      <c r="K67" s="897"/>
      <c r="L67" s="897"/>
      <c r="M67" s="897"/>
      <c r="N67" s="897"/>
      <c r="O67" s="897"/>
      <c r="P67" s="897"/>
      <c r="Q67" s="898">
        <f t="shared" si="11"/>
        <v>0</v>
      </c>
      <c r="R67" s="1033"/>
      <c r="S67" s="1032"/>
      <c r="T67" s="1032"/>
      <c r="U67" s="1031"/>
    </row>
    <row r="68" spans="1:21" hidden="1">
      <c r="A68" s="939">
        <v>6116</v>
      </c>
      <c r="B68" s="952" t="s">
        <v>1811</v>
      </c>
      <c r="C68" s="897"/>
      <c r="D68" s="937"/>
      <c r="E68" s="897"/>
      <c r="F68" s="897"/>
      <c r="G68" s="897"/>
      <c r="H68" s="897"/>
      <c r="I68" s="897"/>
      <c r="J68" s="897"/>
      <c r="K68" s="897"/>
      <c r="L68" s="897"/>
      <c r="M68" s="897"/>
      <c r="N68" s="897"/>
      <c r="O68" s="897"/>
      <c r="P68" s="897"/>
      <c r="Q68" s="898">
        <f t="shared" si="11"/>
        <v>0</v>
      </c>
      <c r="R68" s="1033"/>
      <c r="S68" s="1032"/>
      <c r="T68" s="1032"/>
      <c r="U68" s="1031"/>
    </row>
    <row r="69" spans="1:21" hidden="1">
      <c r="A69" s="939">
        <v>6117</v>
      </c>
      <c r="B69" s="952" t="s">
        <v>1812</v>
      </c>
      <c r="C69" s="897"/>
      <c r="D69" s="937"/>
      <c r="E69" s="897"/>
      <c r="F69" s="897"/>
      <c r="G69" s="897"/>
      <c r="H69" s="897"/>
      <c r="I69" s="897"/>
      <c r="J69" s="897"/>
      <c r="K69" s="897"/>
      <c r="L69" s="897"/>
      <c r="M69" s="897"/>
      <c r="N69" s="897"/>
      <c r="O69" s="897"/>
      <c r="P69" s="897"/>
      <c r="Q69" s="898">
        <f t="shared" si="11"/>
        <v>0</v>
      </c>
      <c r="R69" s="1033"/>
      <c r="S69" s="1032"/>
      <c r="T69" s="1032"/>
      <c r="U69" s="1031"/>
    </row>
    <row r="70" spans="1:21" hidden="1">
      <c r="A70" s="951">
        <v>162</v>
      </c>
      <c r="B70" s="950" t="s">
        <v>1813</v>
      </c>
      <c r="C70" s="897"/>
      <c r="D70" s="937"/>
      <c r="E70" s="897"/>
      <c r="F70" s="897"/>
      <c r="G70" s="897"/>
      <c r="H70" s="897"/>
      <c r="I70" s="897"/>
      <c r="J70" s="897"/>
      <c r="K70" s="897"/>
      <c r="L70" s="897"/>
      <c r="M70" s="897"/>
      <c r="N70" s="897"/>
      <c r="O70" s="897"/>
      <c r="P70" s="897"/>
      <c r="Q70" s="898">
        <f t="shared" si="11"/>
        <v>0</v>
      </c>
      <c r="R70" s="1033"/>
      <c r="S70" s="1032"/>
      <c r="T70" s="1032"/>
      <c r="U70" s="1031"/>
    </row>
    <row r="71" spans="1:21" hidden="1">
      <c r="A71" s="939">
        <v>1621</v>
      </c>
      <c r="B71" s="952" t="s">
        <v>1814</v>
      </c>
      <c r="C71" s="897"/>
      <c r="D71" s="937"/>
      <c r="E71" s="897"/>
      <c r="F71" s="897"/>
      <c r="G71" s="897"/>
      <c r="H71" s="897"/>
      <c r="I71" s="897"/>
      <c r="J71" s="897"/>
      <c r="K71" s="897"/>
      <c r="L71" s="897"/>
      <c r="M71" s="897"/>
      <c r="N71" s="897"/>
      <c r="O71" s="897"/>
      <c r="P71" s="897"/>
      <c r="Q71" s="898">
        <f t="shared" si="11"/>
        <v>0</v>
      </c>
      <c r="R71" s="1033"/>
      <c r="S71" s="1032"/>
      <c r="T71" s="1032"/>
      <c r="U71" s="1031"/>
    </row>
    <row r="72" spans="1:21" hidden="1">
      <c r="A72" s="939">
        <v>1622</v>
      </c>
      <c r="B72" s="952" t="s">
        <v>1815</v>
      </c>
      <c r="C72" s="897"/>
      <c r="D72" s="937"/>
      <c r="E72" s="897"/>
      <c r="F72" s="897"/>
      <c r="G72" s="897"/>
      <c r="H72" s="897"/>
      <c r="I72" s="897"/>
      <c r="J72" s="897"/>
      <c r="K72" s="897"/>
      <c r="L72" s="897"/>
      <c r="M72" s="897"/>
      <c r="N72" s="897"/>
      <c r="O72" s="897"/>
      <c r="P72" s="897"/>
      <c r="Q72" s="898">
        <f t="shared" si="11"/>
        <v>0</v>
      </c>
      <c r="R72" s="1033"/>
      <c r="S72" s="1032"/>
      <c r="T72" s="1032"/>
      <c r="U72" s="1031"/>
    </row>
    <row r="73" spans="1:21" hidden="1">
      <c r="A73" s="939">
        <v>1623</v>
      </c>
      <c r="B73" s="952" t="s">
        <v>1816</v>
      </c>
      <c r="C73" s="897"/>
      <c r="D73" s="937"/>
      <c r="E73" s="897"/>
      <c r="F73" s="897"/>
      <c r="G73" s="897"/>
      <c r="H73" s="897"/>
      <c r="I73" s="897"/>
      <c r="J73" s="897"/>
      <c r="K73" s="897"/>
      <c r="L73" s="897"/>
      <c r="M73" s="897"/>
      <c r="N73" s="897"/>
      <c r="O73" s="897"/>
      <c r="P73" s="897"/>
      <c r="Q73" s="898">
        <f t="shared" si="11"/>
        <v>0</v>
      </c>
      <c r="R73" s="1033"/>
      <c r="S73" s="1032"/>
      <c r="T73" s="1032"/>
      <c r="U73" s="1031"/>
    </row>
    <row r="74" spans="1:21" hidden="1">
      <c r="A74" s="939">
        <v>1624</v>
      </c>
      <c r="B74" s="952" t="s">
        <v>1817</v>
      </c>
      <c r="C74" s="897"/>
      <c r="D74" s="937"/>
      <c r="E74" s="897"/>
      <c r="F74" s="897"/>
      <c r="G74" s="897"/>
      <c r="H74" s="897"/>
      <c r="I74" s="897"/>
      <c r="J74" s="897"/>
      <c r="K74" s="897"/>
      <c r="L74" s="897"/>
      <c r="M74" s="897"/>
      <c r="N74" s="897"/>
      <c r="O74" s="897"/>
      <c r="P74" s="897"/>
      <c r="Q74" s="898">
        <f t="shared" si="11"/>
        <v>0</v>
      </c>
      <c r="R74" s="1033"/>
      <c r="S74" s="1032"/>
      <c r="T74" s="1032"/>
      <c r="U74" s="1031"/>
    </row>
    <row r="75" spans="1:21" hidden="1">
      <c r="A75" s="939">
        <v>1625</v>
      </c>
      <c r="B75" s="952" t="s">
        <v>1818</v>
      </c>
      <c r="C75" s="897"/>
      <c r="D75" s="937"/>
      <c r="E75" s="897"/>
      <c r="F75" s="897"/>
      <c r="G75" s="897"/>
      <c r="H75" s="897"/>
      <c r="I75" s="897"/>
      <c r="J75" s="897"/>
      <c r="K75" s="897"/>
      <c r="L75" s="897"/>
      <c r="M75" s="897"/>
      <c r="N75" s="897"/>
      <c r="O75" s="897"/>
      <c r="P75" s="897"/>
      <c r="Q75" s="898">
        <f t="shared" si="11"/>
        <v>0</v>
      </c>
      <c r="R75" s="1033"/>
      <c r="S75" s="1032"/>
      <c r="T75" s="1032"/>
      <c r="U75" s="1031"/>
    </row>
    <row r="76" spans="1:21" hidden="1">
      <c r="A76" s="939">
        <v>1626</v>
      </c>
      <c r="B76" s="952" t="s">
        <v>1819</v>
      </c>
      <c r="C76" s="897"/>
      <c r="D76" s="937"/>
      <c r="E76" s="897"/>
      <c r="F76" s="897"/>
      <c r="G76" s="897"/>
      <c r="H76" s="897"/>
      <c r="I76" s="897"/>
      <c r="J76" s="897"/>
      <c r="K76" s="897"/>
      <c r="L76" s="897"/>
      <c r="M76" s="897"/>
      <c r="N76" s="897"/>
      <c r="O76" s="897"/>
      <c r="P76" s="897"/>
      <c r="Q76" s="898">
        <f t="shared" si="11"/>
        <v>0</v>
      </c>
      <c r="R76" s="1033"/>
      <c r="S76" s="1032"/>
      <c r="T76" s="1032"/>
      <c r="U76" s="1031"/>
    </row>
    <row r="77" spans="1:21" hidden="1">
      <c r="A77" s="939">
        <v>1627</v>
      </c>
      <c r="B77" s="952" t="s">
        <v>1820</v>
      </c>
      <c r="C77" s="897"/>
      <c r="D77" s="937"/>
      <c r="E77" s="897"/>
      <c r="F77" s="897"/>
      <c r="G77" s="897"/>
      <c r="H77" s="897"/>
      <c r="I77" s="897"/>
      <c r="J77" s="897"/>
      <c r="K77" s="897"/>
      <c r="L77" s="897"/>
      <c r="M77" s="897"/>
      <c r="N77" s="897"/>
      <c r="O77" s="897"/>
      <c r="P77" s="897"/>
      <c r="Q77" s="898">
        <f t="shared" si="11"/>
        <v>0</v>
      </c>
      <c r="R77" s="1033"/>
      <c r="S77" s="1032"/>
      <c r="T77" s="1032"/>
      <c r="U77" s="1031"/>
    </row>
    <row r="78" spans="1:21" hidden="1">
      <c r="A78" s="939">
        <v>1629</v>
      </c>
      <c r="B78" s="952" t="s">
        <v>1821</v>
      </c>
      <c r="C78" s="897"/>
      <c r="D78" s="937"/>
      <c r="E78" s="897"/>
      <c r="F78" s="897"/>
      <c r="G78" s="897"/>
      <c r="H78" s="897"/>
      <c r="I78" s="897"/>
      <c r="J78" s="897"/>
      <c r="K78" s="897"/>
      <c r="L78" s="897"/>
      <c r="M78" s="897"/>
      <c r="N78" s="897"/>
      <c r="O78" s="897"/>
      <c r="P78" s="897"/>
      <c r="Q78" s="898">
        <f t="shared" si="11"/>
        <v>0</v>
      </c>
      <c r="R78" s="1033"/>
      <c r="S78" s="1032"/>
      <c r="T78" s="1032"/>
      <c r="U78" s="1031"/>
    </row>
    <row r="79" spans="1:21" hidden="1">
      <c r="A79" s="951">
        <v>163</v>
      </c>
      <c r="B79" s="950" t="s">
        <v>1822</v>
      </c>
      <c r="C79" s="897"/>
      <c r="D79" s="937"/>
      <c r="E79" s="897"/>
      <c r="F79" s="897"/>
      <c r="G79" s="897"/>
      <c r="H79" s="897"/>
      <c r="I79" s="897"/>
      <c r="J79" s="897"/>
      <c r="K79" s="897"/>
      <c r="L79" s="897"/>
      <c r="M79" s="897"/>
      <c r="N79" s="897"/>
      <c r="O79" s="897"/>
      <c r="P79" s="897"/>
      <c r="Q79" s="898">
        <f t="shared" si="11"/>
        <v>0</v>
      </c>
      <c r="R79" s="1033"/>
      <c r="S79" s="1032"/>
      <c r="T79" s="1032"/>
      <c r="U79" s="1031"/>
    </row>
    <row r="80" spans="1:21" hidden="1">
      <c r="A80" s="939">
        <v>1631</v>
      </c>
      <c r="B80" s="952" t="s">
        <v>1823</v>
      </c>
      <c r="C80" s="897"/>
      <c r="D80" s="937"/>
      <c r="E80" s="897"/>
      <c r="F80" s="897"/>
      <c r="G80" s="897"/>
      <c r="H80" s="897"/>
      <c r="I80" s="897"/>
      <c r="J80" s="897"/>
      <c r="K80" s="897"/>
      <c r="L80" s="897"/>
      <c r="M80" s="897"/>
      <c r="N80" s="897"/>
      <c r="O80" s="897"/>
      <c r="P80" s="897"/>
      <c r="Q80" s="898">
        <f t="shared" si="11"/>
        <v>0</v>
      </c>
      <c r="R80" s="1033"/>
      <c r="S80" s="1032"/>
      <c r="T80" s="1032"/>
      <c r="U80" s="1031"/>
    </row>
    <row r="81" spans="1:21" hidden="1">
      <c r="A81" s="939">
        <v>1632</v>
      </c>
      <c r="B81" s="952" t="s">
        <v>1824</v>
      </c>
      <c r="C81" s="897"/>
      <c r="D81" s="937"/>
      <c r="E81" s="897"/>
      <c r="F81" s="897"/>
      <c r="G81" s="897"/>
      <c r="H81" s="897"/>
      <c r="I81" s="897"/>
      <c r="J81" s="897"/>
      <c r="K81" s="897"/>
      <c r="L81" s="897"/>
      <c r="M81" s="897"/>
      <c r="N81" s="897"/>
      <c r="O81" s="897"/>
      <c r="P81" s="897"/>
      <c r="Q81" s="898">
        <f t="shared" ref="Q81:Q144" si="20">C81-P81</f>
        <v>0</v>
      </c>
      <c r="R81" s="1033"/>
      <c r="S81" s="1032"/>
      <c r="T81" s="1032"/>
      <c r="U81" s="1031"/>
    </row>
    <row r="82" spans="1:21" hidden="1">
      <c r="A82" s="939">
        <v>1633</v>
      </c>
      <c r="B82" s="952" t="s">
        <v>1825</v>
      </c>
      <c r="C82" s="897"/>
      <c r="D82" s="937"/>
      <c r="E82" s="897"/>
      <c r="F82" s="897"/>
      <c r="G82" s="897"/>
      <c r="H82" s="897"/>
      <c r="I82" s="897"/>
      <c r="J82" s="897"/>
      <c r="K82" s="897"/>
      <c r="L82" s="897"/>
      <c r="M82" s="897"/>
      <c r="N82" s="897"/>
      <c r="O82" s="897"/>
      <c r="P82" s="897"/>
      <c r="Q82" s="898">
        <f t="shared" si="20"/>
        <v>0</v>
      </c>
      <c r="R82" s="1033"/>
      <c r="S82" s="1032"/>
      <c r="T82" s="1032"/>
      <c r="U82" s="1031"/>
    </row>
    <row r="83" spans="1:21" hidden="1">
      <c r="A83" s="939">
        <v>1634</v>
      </c>
      <c r="B83" s="952" t="s">
        <v>1826</v>
      </c>
      <c r="C83" s="897"/>
      <c r="D83" s="937"/>
      <c r="E83" s="897"/>
      <c r="F83" s="897"/>
      <c r="G83" s="897"/>
      <c r="H83" s="897"/>
      <c r="I83" s="897"/>
      <c r="J83" s="897"/>
      <c r="K83" s="897"/>
      <c r="L83" s="897"/>
      <c r="M83" s="897"/>
      <c r="N83" s="897"/>
      <c r="O83" s="897"/>
      <c r="P83" s="897"/>
      <c r="Q83" s="898">
        <f t="shared" si="20"/>
        <v>0</v>
      </c>
      <c r="R83" s="1033"/>
      <c r="S83" s="1032"/>
      <c r="T83" s="1032"/>
      <c r="U83" s="1031"/>
    </row>
    <row r="84" spans="1:21" hidden="1">
      <c r="A84" s="939">
        <v>1639</v>
      </c>
      <c r="B84" s="952" t="s">
        <v>1821</v>
      </c>
      <c r="C84" s="897"/>
      <c r="D84" s="937"/>
      <c r="E84" s="897"/>
      <c r="F84" s="897"/>
      <c r="G84" s="897"/>
      <c r="H84" s="897"/>
      <c r="I84" s="897"/>
      <c r="J84" s="897"/>
      <c r="K84" s="897"/>
      <c r="L84" s="897"/>
      <c r="M84" s="897"/>
      <c r="N84" s="897"/>
      <c r="O84" s="897"/>
      <c r="P84" s="897"/>
      <c r="Q84" s="898">
        <f t="shared" si="20"/>
        <v>0</v>
      </c>
      <c r="R84" s="1033"/>
      <c r="S84" s="1032"/>
      <c r="T84" s="1032"/>
      <c r="U84" s="1031"/>
    </row>
    <row r="85" spans="1:21" hidden="1">
      <c r="A85" s="945">
        <v>18</v>
      </c>
      <c r="B85" s="944" t="s">
        <v>1827</v>
      </c>
      <c r="C85" s="897"/>
      <c r="D85" s="937"/>
      <c r="E85" s="897"/>
      <c r="F85" s="897"/>
      <c r="G85" s="897"/>
      <c r="H85" s="897"/>
      <c r="I85" s="897"/>
      <c r="J85" s="897"/>
      <c r="K85" s="897"/>
      <c r="L85" s="897"/>
      <c r="M85" s="897"/>
      <c r="N85" s="897"/>
      <c r="O85" s="897"/>
      <c r="P85" s="897"/>
      <c r="Q85" s="898">
        <f t="shared" si="20"/>
        <v>0</v>
      </c>
      <c r="R85" s="1033"/>
      <c r="S85" s="1032"/>
      <c r="T85" s="1032"/>
      <c r="U85" s="1031"/>
    </row>
    <row r="86" spans="1:21" s="911" customFormat="1" hidden="1">
      <c r="A86" s="958">
        <v>181</v>
      </c>
      <c r="B86" s="957" t="s">
        <v>1828</v>
      </c>
      <c r="C86" s="900"/>
      <c r="D86" s="956"/>
      <c r="E86" s="900"/>
      <c r="F86" s="900"/>
      <c r="G86" s="900"/>
      <c r="H86" s="900"/>
      <c r="I86" s="900"/>
      <c r="J86" s="900"/>
      <c r="K86" s="900"/>
      <c r="L86" s="900"/>
      <c r="M86" s="900"/>
      <c r="N86" s="900"/>
      <c r="O86" s="900"/>
      <c r="P86" s="900"/>
      <c r="Q86" s="910">
        <f t="shared" si="20"/>
        <v>0</v>
      </c>
      <c r="R86" s="1040"/>
      <c r="S86" s="1039"/>
      <c r="T86" s="1039"/>
      <c r="U86" s="1038"/>
    </row>
    <row r="87" spans="1:21" hidden="1">
      <c r="A87" s="939">
        <v>1821</v>
      </c>
      <c r="B87" s="952" t="s">
        <v>1829</v>
      </c>
      <c r="C87" s="897"/>
      <c r="D87" s="937"/>
      <c r="E87" s="897"/>
      <c r="F87" s="897"/>
      <c r="G87" s="897"/>
      <c r="H87" s="897"/>
      <c r="I87" s="897"/>
      <c r="J87" s="897"/>
      <c r="K87" s="897"/>
      <c r="L87" s="897"/>
      <c r="M87" s="897"/>
      <c r="N87" s="897"/>
      <c r="O87" s="897"/>
      <c r="P87" s="897"/>
      <c r="Q87" s="898">
        <f t="shared" si="20"/>
        <v>0</v>
      </c>
      <c r="R87" s="1033"/>
      <c r="S87" s="1032"/>
      <c r="T87" s="1032"/>
      <c r="U87" s="1031"/>
    </row>
    <row r="88" spans="1:21" hidden="1">
      <c r="A88" s="939">
        <v>1822</v>
      </c>
      <c r="B88" s="952" t="s">
        <v>1830</v>
      </c>
      <c r="C88" s="897"/>
      <c r="D88" s="937"/>
      <c r="E88" s="897"/>
      <c r="F88" s="897"/>
      <c r="G88" s="897"/>
      <c r="H88" s="897"/>
      <c r="I88" s="897"/>
      <c r="J88" s="897"/>
      <c r="K88" s="897"/>
      <c r="L88" s="897"/>
      <c r="M88" s="897"/>
      <c r="N88" s="897"/>
      <c r="O88" s="897"/>
      <c r="P88" s="897"/>
      <c r="Q88" s="898">
        <f t="shared" si="20"/>
        <v>0</v>
      </c>
      <c r="R88" s="1033"/>
      <c r="S88" s="1032"/>
      <c r="T88" s="1032"/>
      <c r="U88" s="1031"/>
    </row>
    <row r="89" spans="1:21" hidden="1">
      <c r="A89" s="939">
        <v>1823</v>
      </c>
      <c r="B89" s="952" t="s">
        <v>1831</v>
      </c>
      <c r="C89" s="897"/>
      <c r="D89" s="937"/>
      <c r="E89" s="897"/>
      <c r="F89" s="897"/>
      <c r="G89" s="897"/>
      <c r="H89" s="897"/>
      <c r="I89" s="897"/>
      <c r="J89" s="897"/>
      <c r="K89" s="897"/>
      <c r="L89" s="897"/>
      <c r="M89" s="897"/>
      <c r="N89" s="897"/>
      <c r="O89" s="897"/>
      <c r="P89" s="897"/>
      <c r="Q89" s="898">
        <f t="shared" si="20"/>
        <v>0</v>
      </c>
      <c r="R89" s="1033"/>
      <c r="S89" s="1032"/>
      <c r="T89" s="1032"/>
      <c r="U89" s="1031"/>
    </row>
    <row r="90" spans="1:21" hidden="1">
      <c r="A90" s="939">
        <v>1824</v>
      </c>
      <c r="B90" s="952" t="s">
        <v>1832</v>
      </c>
      <c r="C90" s="897"/>
      <c r="D90" s="937"/>
      <c r="E90" s="897"/>
      <c r="F90" s="897"/>
      <c r="G90" s="897"/>
      <c r="H90" s="897"/>
      <c r="I90" s="897"/>
      <c r="J90" s="897"/>
      <c r="K90" s="897"/>
      <c r="L90" s="897"/>
      <c r="M90" s="897"/>
      <c r="N90" s="897"/>
      <c r="O90" s="897"/>
      <c r="P90" s="897"/>
      <c r="Q90" s="898">
        <f t="shared" si="20"/>
        <v>0</v>
      </c>
      <c r="R90" s="1033"/>
      <c r="S90" s="1032"/>
      <c r="T90" s="1032"/>
      <c r="U90" s="1031"/>
    </row>
    <row r="91" spans="1:21" hidden="1">
      <c r="A91" s="945">
        <v>19</v>
      </c>
      <c r="B91" s="944" t="s">
        <v>1833</v>
      </c>
      <c r="C91" s="897"/>
      <c r="D91" s="937"/>
      <c r="E91" s="897"/>
      <c r="F91" s="897"/>
      <c r="G91" s="897"/>
      <c r="H91" s="897"/>
      <c r="I91" s="897"/>
      <c r="J91" s="897"/>
      <c r="K91" s="897"/>
      <c r="L91" s="897"/>
      <c r="M91" s="897"/>
      <c r="N91" s="897"/>
      <c r="O91" s="897"/>
      <c r="P91" s="897"/>
      <c r="Q91" s="898">
        <f t="shared" si="20"/>
        <v>0</v>
      </c>
      <c r="R91" s="1033"/>
      <c r="S91" s="1032"/>
      <c r="T91" s="1032"/>
      <c r="U91" s="1031"/>
    </row>
    <row r="92" spans="1:21" hidden="1">
      <c r="A92" s="939">
        <v>191</v>
      </c>
      <c r="B92" s="952" t="s">
        <v>1834</v>
      </c>
      <c r="C92" s="897"/>
      <c r="D92" s="937"/>
      <c r="E92" s="897"/>
      <c r="F92" s="897"/>
      <c r="G92" s="897"/>
      <c r="H92" s="897"/>
      <c r="I92" s="897"/>
      <c r="J92" s="897"/>
      <c r="K92" s="897"/>
      <c r="L92" s="897"/>
      <c r="M92" s="897"/>
      <c r="N92" s="897"/>
      <c r="O92" s="897"/>
      <c r="P92" s="897"/>
      <c r="Q92" s="898">
        <f t="shared" si="20"/>
        <v>0</v>
      </c>
      <c r="R92" s="1033"/>
      <c r="S92" s="1032"/>
      <c r="T92" s="1032"/>
      <c r="U92" s="1031"/>
    </row>
    <row r="93" spans="1:21" hidden="1">
      <c r="A93" s="939">
        <v>192</v>
      </c>
      <c r="B93" s="952" t="s">
        <v>1835</v>
      </c>
      <c r="C93" s="897"/>
      <c r="D93" s="937"/>
      <c r="E93" s="897"/>
      <c r="F93" s="897"/>
      <c r="G93" s="897"/>
      <c r="H93" s="897"/>
      <c r="I93" s="897"/>
      <c r="J93" s="897"/>
      <c r="K93" s="897"/>
      <c r="L93" s="897"/>
      <c r="M93" s="897"/>
      <c r="N93" s="897"/>
      <c r="O93" s="897"/>
      <c r="P93" s="897"/>
      <c r="Q93" s="898">
        <f t="shared" si="20"/>
        <v>0</v>
      </c>
      <c r="R93" s="1033"/>
      <c r="S93" s="1032"/>
      <c r="T93" s="1032"/>
      <c r="U93" s="1031"/>
    </row>
    <row r="94" spans="1:21" hidden="1">
      <c r="A94" s="939">
        <v>193</v>
      </c>
      <c r="B94" s="952" t="s">
        <v>1836</v>
      </c>
      <c r="C94" s="897"/>
      <c r="D94" s="937"/>
      <c r="E94" s="897"/>
      <c r="F94" s="897"/>
      <c r="G94" s="897"/>
      <c r="H94" s="897"/>
      <c r="I94" s="897"/>
      <c r="J94" s="897"/>
      <c r="K94" s="897"/>
      <c r="L94" s="897"/>
      <c r="M94" s="897"/>
      <c r="N94" s="897"/>
      <c r="O94" s="897"/>
      <c r="P94" s="897"/>
      <c r="Q94" s="898">
        <f t="shared" si="20"/>
        <v>0</v>
      </c>
      <c r="R94" s="1033"/>
      <c r="S94" s="1032"/>
      <c r="T94" s="1032"/>
      <c r="U94" s="1031"/>
    </row>
    <row r="95" spans="1:21" hidden="1">
      <c r="A95" s="939">
        <v>195</v>
      </c>
      <c r="B95" s="952" t="s">
        <v>1837</v>
      </c>
      <c r="C95" s="897"/>
      <c r="D95" s="937"/>
      <c r="E95" s="897"/>
      <c r="F95" s="897"/>
      <c r="G95" s="897"/>
      <c r="H95" s="897"/>
      <c r="I95" s="897"/>
      <c r="J95" s="897"/>
      <c r="K95" s="897"/>
      <c r="L95" s="897"/>
      <c r="M95" s="897"/>
      <c r="N95" s="897"/>
      <c r="O95" s="897"/>
      <c r="P95" s="897"/>
      <c r="Q95" s="898">
        <f t="shared" si="20"/>
        <v>0</v>
      </c>
      <c r="R95" s="1033"/>
      <c r="S95" s="1032"/>
      <c r="T95" s="1032"/>
      <c r="U95" s="1031"/>
    </row>
    <row r="96" spans="1:21" hidden="1">
      <c r="A96" s="1037" t="s">
        <v>283</v>
      </c>
      <c r="B96" s="1036" t="s">
        <v>1771</v>
      </c>
      <c r="C96" s="897"/>
      <c r="D96" s="937"/>
      <c r="E96" s="897"/>
      <c r="F96" s="897"/>
      <c r="G96" s="897"/>
      <c r="H96" s="897"/>
      <c r="I96" s="897"/>
      <c r="J96" s="897"/>
      <c r="K96" s="897"/>
      <c r="L96" s="897"/>
      <c r="M96" s="897"/>
      <c r="N96" s="897"/>
      <c r="O96" s="897"/>
      <c r="P96" s="897"/>
      <c r="Q96" s="898">
        <f t="shared" si="20"/>
        <v>0</v>
      </c>
      <c r="R96" s="1033"/>
      <c r="S96" s="1032"/>
      <c r="T96" s="1032"/>
      <c r="U96" s="1031"/>
    </row>
    <row r="97" spans="1:26" hidden="1">
      <c r="A97" s="1035"/>
      <c r="B97" s="1034" t="s">
        <v>1838</v>
      </c>
      <c r="C97" s="897"/>
      <c r="D97" s="937">
        <f>C97/12</f>
        <v>0</v>
      </c>
      <c r="E97" s="897">
        <f>D97/12</f>
        <v>0</v>
      </c>
      <c r="F97" s="897">
        <f>E97/12</f>
        <v>0</v>
      </c>
      <c r="G97" s="897">
        <f>F97/12</f>
        <v>0</v>
      </c>
      <c r="H97" s="897">
        <f>G97/12</f>
        <v>0</v>
      </c>
      <c r="I97" s="897"/>
      <c r="J97" s="897"/>
      <c r="K97" s="897"/>
      <c r="L97" s="897"/>
      <c r="M97" s="897"/>
      <c r="N97" s="897"/>
      <c r="O97" s="897"/>
      <c r="P97" s="897"/>
      <c r="Q97" s="898">
        <f t="shared" si="20"/>
        <v>0</v>
      </c>
      <c r="R97" s="1033">
        <f>H97/12</f>
        <v>0</v>
      </c>
      <c r="S97" s="1032"/>
      <c r="T97" s="1032"/>
      <c r="U97" s="1031"/>
    </row>
    <row r="98" spans="1:26">
      <c r="A98" s="949">
        <v>61</v>
      </c>
      <c r="B98" s="948" t="s">
        <v>1839</v>
      </c>
      <c r="C98" s="966">
        <f t="shared" ref="C98:M98" si="21">C99+C102+C126</f>
        <v>0</v>
      </c>
      <c r="D98" s="967">
        <f>D99+D102+D126</f>
        <v>0</v>
      </c>
      <c r="E98" s="966">
        <f t="shared" si="21"/>
        <v>0</v>
      </c>
      <c r="F98" s="966">
        <f t="shared" si="21"/>
        <v>0</v>
      </c>
      <c r="G98" s="966">
        <f t="shared" si="21"/>
        <v>0</v>
      </c>
      <c r="H98" s="966">
        <f t="shared" si="21"/>
        <v>0</v>
      </c>
      <c r="I98" s="966">
        <f t="shared" si="21"/>
        <v>0</v>
      </c>
      <c r="J98" s="966">
        <f t="shared" si="21"/>
        <v>0</v>
      </c>
      <c r="K98" s="966">
        <f t="shared" si="21"/>
        <v>0</v>
      </c>
      <c r="L98" s="966">
        <f t="shared" si="21"/>
        <v>0</v>
      </c>
      <c r="M98" s="966">
        <f t="shared" si="21"/>
        <v>0</v>
      </c>
      <c r="N98" s="966">
        <f>N99+N102+N126</f>
        <v>0</v>
      </c>
      <c r="O98" s="966">
        <f>O99+O102+O126</f>
        <v>0</v>
      </c>
      <c r="P98" s="966">
        <f>P99+P102+P126</f>
        <v>0</v>
      </c>
      <c r="Q98" s="965">
        <f>C98-P98</f>
        <v>0</v>
      </c>
      <c r="R98" s="1030">
        <f>R99+R102+R126</f>
        <v>0</v>
      </c>
      <c r="S98" s="1029">
        <f t="shared" ref="S98:X107" si="22">R98</f>
        <v>0</v>
      </c>
      <c r="T98" s="1029">
        <f t="shared" si="22"/>
        <v>0</v>
      </c>
      <c r="U98" s="1029">
        <f t="shared" si="22"/>
        <v>0</v>
      </c>
      <c r="V98" s="1029">
        <f t="shared" si="22"/>
        <v>0</v>
      </c>
      <c r="W98" s="1029">
        <f t="shared" si="22"/>
        <v>0</v>
      </c>
      <c r="X98" s="1029">
        <f t="shared" si="22"/>
        <v>0</v>
      </c>
      <c r="Y98" s="1029">
        <f t="shared" ref="Y98:Y161" si="23">SUM(R98:X98)</f>
        <v>0</v>
      </c>
      <c r="Z98" s="1029">
        <f t="shared" ref="Z98:Z161" si="24">Q98-Y98</f>
        <v>0</v>
      </c>
    </row>
    <row r="99" spans="1:26" ht="13.5">
      <c r="A99" s="945">
        <v>611</v>
      </c>
      <c r="B99" s="944" t="s">
        <v>1840</v>
      </c>
      <c r="C99" s="908">
        <f t="shared" ref="C99:M99" si="25">C100+C101</f>
        <v>0</v>
      </c>
      <c r="D99" s="943">
        <f>D100+D101</f>
        <v>0</v>
      </c>
      <c r="E99" s="908">
        <f t="shared" si="25"/>
        <v>0</v>
      </c>
      <c r="F99" s="908">
        <f t="shared" si="25"/>
        <v>0</v>
      </c>
      <c r="G99" s="908">
        <f t="shared" si="25"/>
        <v>0</v>
      </c>
      <c r="H99" s="908">
        <f t="shared" si="25"/>
        <v>0</v>
      </c>
      <c r="I99" s="908">
        <f t="shared" si="25"/>
        <v>0</v>
      </c>
      <c r="J99" s="908">
        <f t="shared" si="25"/>
        <v>0</v>
      </c>
      <c r="K99" s="908">
        <f t="shared" si="25"/>
        <v>0</v>
      </c>
      <c r="L99" s="908">
        <f t="shared" si="25"/>
        <v>0</v>
      </c>
      <c r="M99" s="908">
        <f t="shared" si="25"/>
        <v>0</v>
      </c>
      <c r="N99" s="908">
        <f>N100+N101</f>
        <v>0</v>
      </c>
      <c r="O99" s="908">
        <f>O100+O101</f>
        <v>0</v>
      </c>
      <c r="P99" s="908">
        <f>P100+P101</f>
        <v>0</v>
      </c>
      <c r="Q99" s="909">
        <f t="shared" si="20"/>
        <v>0</v>
      </c>
      <c r="R99" s="960">
        <f>R100+R101</f>
        <v>0</v>
      </c>
      <c r="S99" s="959">
        <f t="shared" si="22"/>
        <v>0</v>
      </c>
      <c r="T99" s="959">
        <f t="shared" si="22"/>
        <v>0</v>
      </c>
      <c r="U99" s="959">
        <f t="shared" si="22"/>
        <v>0</v>
      </c>
      <c r="V99" s="959">
        <f t="shared" si="22"/>
        <v>0</v>
      </c>
      <c r="W99" s="959">
        <f t="shared" si="22"/>
        <v>0</v>
      </c>
      <c r="X99" s="959">
        <f t="shared" si="22"/>
        <v>0</v>
      </c>
      <c r="Y99" s="959">
        <f t="shared" si="23"/>
        <v>0</v>
      </c>
      <c r="Z99" s="959">
        <f t="shared" si="24"/>
        <v>0</v>
      </c>
    </row>
    <row r="100" spans="1:26">
      <c r="A100" s="984">
        <v>6611</v>
      </c>
      <c r="B100" s="991" t="s">
        <v>1841</v>
      </c>
      <c r="C100" s="897"/>
      <c r="D100" s="937">
        <v>0</v>
      </c>
      <c r="E100" s="937">
        <v>0</v>
      </c>
      <c r="F100" s="937">
        <v>0</v>
      </c>
      <c r="G100" s="937">
        <v>0</v>
      </c>
      <c r="H100" s="937">
        <v>0</v>
      </c>
      <c r="I100" s="937">
        <v>0</v>
      </c>
      <c r="J100" s="937">
        <v>0</v>
      </c>
      <c r="K100" s="937">
        <v>0</v>
      </c>
      <c r="L100" s="937">
        <v>0</v>
      </c>
      <c r="M100" s="937">
        <v>0</v>
      </c>
      <c r="N100" s="937">
        <v>0</v>
      </c>
      <c r="O100" s="937">
        <v>0</v>
      </c>
      <c r="P100" s="897">
        <f>SUM(D100:O100)</f>
        <v>0</v>
      </c>
      <c r="Q100" s="898">
        <f t="shared" si="20"/>
        <v>0</v>
      </c>
      <c r="R100" s="936">
        <f t="shared" ref="R100:R126" si="26">Q100/7</f>
        <v>0</v>
      </c>
      <c r="S100" s="935">
        <f t="shared" si="22"/>
        <v>0</v>
      </c>
      <c r="T100" s="935">
        <f t="shared" si="22"/>
        <v>0</v>
      </c>
      <c r="U100" s="935">
        <f t="shared" si="22"/>
        <v>0</v>
      </c>
      <c r="V100" s="935">
        <f t="shared" si="22"/>
        <v>0</v>
      </c>
      <c r="W100" s="935">
        <f t="shared" si="22"/>
        <v>0</v>
      </c>
      <c r="X100" s="935">
        <f t="shared" si="22"/>
        <v>0</v>
      </c>
      <c r="Y100" s="935">
        <f t="shared" si="23"/>
        <v>0</v>
      </c>
      <c r="Z100" s="935">
        <f t="shared" si="24"/>
        <v>0</v>
      </c>
    </row>
    <row r="101" spans="1:26">
      <c r="A101" s="984">
        <v>6112</v>
      </c>
      <c r="B101" s="991" t="s">
        <v>1842</v>
      </c>
      <c r="C101" s="897"/>
      <c r="D101" s="937">
        <v>0</v>
      </c>
      <c r="E101" s="937">
        <v>0</v>
      </c>
      <c r="F101" s="937">
        <v>0</v>
      </c>
      <c r="G101" s="937">
        <v>0</v>
      </c>
      <c r="H101" s="937">
        <v>0</v>
      </c>
      <c r="I101" s="937">
        <v>0</v>
      </c>
      <c r="J101" s="937">
        <v>0</v>
      </c>
      <c r="K101" s="937">
        <v>0</v>
      </c>
      <c r="L101" s="937">
        <v>0</v>
      </c>
      <c r="M101" s="937">
        <v>0</v>
      </c>
      <c r="N101" s="937">
        <v>0</v>
      </c>
      <c r="O101" s="937">
        <v>0</v>
      </c>
      <c r="P101" s="897">
        <f>SUM(D101:O101)</f>
        <v>0</v>
      </c>
      <c r="Q101" s="898">
        <f t="shared" si="20"/>
        <v>0</v>
      </c>
      <c r="R101" s="936">
        <f t="shared" si="26"/>
        <v>0</v>
      </c>
      <c r="S101" s="935">
        <f t="shared" si="22"/>
        <v>0</v>
      </c>
      <c r="T101" s="935">
        <f t="shared" si="22"/>
        <v>0</v>
      </c>
      <c r="U101" s="935">
        <f t="shared" si="22"/>
        <v>0</v>
      </c>
      <c r="V101" s="935">
        <f t="shared" si="22"/>
        <v>0</v>
      </c>
      <c r="W101" s="935">
        <f t="shared" si="22"/>
        <v>0</v>
      </c>
      <c r="X101" s="935">
        <f t="shared" si="22"/>
        <v>0</v>
      </c>
      <c r="Y101" s="935">
        <f t="shared" si="23"/>
        <v>0</v>
      </c>
      <c r="Z101" s="935">
        <f t="shared" si="24"/>
        <v>0</v>
      </c>
    </row>
    <row r="102" spans="1:26" ht="13.5">
      <c r="A102" s="945">
        <v>613</v>
      </c>
      <c r="B102" s="944" t="s">
        <v>1843</v>
      </c>
      <c r="C102" s="908">
        <f t="shared" ref="C102:M102" si="27">SUM(C103:C117)</f>
        <v>0</v>
      </c>
      <c r="D102" s="943">
        <f>SUM(D103:D117)</f>
        <v>0</v>
      </c>
      <c r="E102" s="908">
        <f t="shared" si="27"/>
        <v>0</v>
      </c>
      <c r="F102" s="908">
        <f t="shared" si="27"/>
        <v>0</v>
      </c>
      <c r="G102" s="908">
        <f t="shared" si="27"/>
        <v>0</v>
      </c>
      <c r="H102" s="908">
        <f t="shared" si="27"/>
        <v>0</v>
      </c>
      <c r="I102" s="908">
        <f t="shared" si="27"/>
        <v>0</v>
      </c>
      <c r="J102" s="908">
        <f t="shared" si="27"/>
        <v>0</v>
      </c>
      <c r="K102" s="908">
        <f t="shared" si="27"/>
        <v>0</v>
      </c>
      <c r="L102" s="908">
        <f t="shared" si="27"/>
        <v>0</v>
      </c>
      <c r="M102" s="908">
        <f t="shared" si="27"/>
        <v>0</v>
      </c>
      <c r="N102" s="908">
        <f>SUM(N103:N117)</f>
        <v>0</v>
      </c>
      <c r="O102" s="908">
        <f>SUM(O103:O117)</f>
        <v>0</v>
      </c>
      <c r="P102" s="908">
        <f>SUM(P103:P117)</f>
        <v>0</v>
      </c>
      <c r="Q102" s="909">
        <f t="shared" si="20"/>
        <v>0</v>
      </c>
      <c r="R102" s="960">
        <f t="shared" si="26"/>
        <v>0</v>
      </c>
      <c r="S102" s="959">
        <f t="shared" si="22"/>
        <v>0</v>
      </c>
      <c r="T102" s="959">
        <f t="shared" si="22"/>
        <v>0</v>
      </c>
      <c r="U102" s="959">
        <f t="shared" si="22"/>
        <v>0</v>
      </c>
      <c r="V102" s="959">
        <f t="shared" si="22"/>
        <v>0</v>
      </c>
      <c r="W102" s="959">
        <f t="shared" si="22"/>
        <v>0</v>
      </c>
      <c r="X102" s="959">
        <f t="shared" si="22"/>
        <v>0</v>
      </c>
      <c r="Y102" s="959">
        <f t="shared" si="23"/>
        <v>0</v>
      </c>
      <c r="Z102" s="959">
        <f t="shared" si="24"/>
        <v>0</v>
      </c>
    </row>
    <row r="103" spans="1:26">
      <c r="A103" s="984">
        <v>6131</v>
      </c>
      <c r="B103" s="991" t="s">
        <v>1844</v>
      </c>
      <c r="C103" s="897"/>
      <c r="D103" s="937">
        <v>0</v>
      </c>
      <c r="E103" s="897">
        <v>0</v>
      </c>
      <c r="F103" s="897">
        <v>0</v>
      </c>
      <c r="G103" s="897">
        <v>0</v>
      </c>
      <c r="H103" s="897">
        <v>0</v>
      </c>
      <c r="I103" s="897">
        <v>0</v>
      </c>
      <c r="J103" s="897">
        <v>0</v>
      </c>
      <c r="K103" s="897">
        <v>0</v>
      </c>
      <c r="L103" s="897">
        <v>0</v>
      </c>
      <c r="M103" s="897">
        <v>0</v>
      </c>
      <c r="N103" s="897">
        <v>0</v>
      </c>
      <c r="O103" s="897">
        <v>0</v>
      </c>
      <c r="P103" s="897">
        <f>SUM(D103:O103)</f>
        <v>0</v>
      </c>
      <c r="Q103" s="898">
        <f t="shared" si="20"/>
        <v>0</v>
      </c>
      <c r="R103" s="936">
        <f t="shared" si="26"/>
        <v>0</v>
      </c>
      <c r="S103" s="935">
        <f t="shared" si="22"/>
        <v>0</v>
      </c>
      <c r="T103" s="935">
        <f t="shared" si="22"/>
        <v>0</v>
      </c>
      <c r="U103" s="935">
        <f t="shared" si="22"/>
        <v>0</v>
      </c>
      <c r="V103" s="935">
        <f t="shared" si="22"/>
        <v>0</v>
      </c>
      <c r="W103" s="935">
        <f t="shared" si="22"/>
        <v>0</v>
      </c>
      <c r="X103" s="935">
        <f t="shared" si="22"/>
        <v>0</v>
      </c>
      <c r="Y103" s="935">
        <f t="shared" si="23"/>
        <v>0</v>
      </c>
      <c r="Z103" s="935">
        <f t="shared" si="24"/>
        <v>0</v>
      </c>
    </row>
    <row r="104" spans="1:26" ht="12.75" hidden="1" customHeight="1">
      <c r="A104" s="984">
        <v>6132</v>
      </c>
      <c r="B104" s="991" t="s">
        <v>1845</v>
      </c>
      <c r="C104" s="897"/>
      <c r="D104" s="937"/>
      <c r="E104" s="897"/>
      <c r="F104" s="897"/>
      <c r="G104" s="897"/>
      <c r="H104" s="897"/>
      <c r="I104" s="897"/>
      <c r="J104" s="897"/>
      <c r="K104" s="897"/>
      <c r="L104" s="897"/>
      <c r="M104" s="897"/>
      <c r="N104" s="897"/>
      <c r="O104" s="897"/>
      <c r="P104" s="897">
        <f t="shared" ref="P104:P116" si="28">SUM(D104:O104)</f>
        <v>0</v>
      </c>
      <c r="Q104" s="898">
        <f t="shared" si="20"/>
        <v>0</v>
      </c>
      <c r="R104" s="936">
        <f t="shared" si="26"/>
        <v>0</v>
      </c>
      <c r="S104" s="935">
        <f t="shared" si="22"/>
        <v>0</v>
      </c>
      <c r="T104" s="935">
        <f t="shared" si="22"/>
        <v>0</v>
      </c>
      <c r="U104" s="935">
        <f t="shared" si="22"/>
        <v>0</v>
      </c>
      <c r="V104" s="935">
        <f t="shared" si="22"/>
        <v>0</v>
      </c>
      <c r="W104" s="935">
        <f t="shared" si="22"/>
        <v>0</v>
      </c>
      <c r="X104" s="935">
        <f t="shared" si="22"/>
        <v>0</v>
      </c>
      <c r="Y104" s="935">
        <f t="shared" si="23"/>
        <v>0</v>
      </c>
      <c r="Z104" s="935">
        <f t="shared" si="24"/>
        <v>0</v>
      </c>
    </row>
    <row r="105" spans="1:26" ht="12.75" hidden="1" customHeight="1">
      <c r="A105" s="984">
        <v>6133</v>
      </c>
      <c r="B105" s="991" t="s">
        <v>1846</v>
      </c>
      <c r="C105" s="897"/>
      <c r="D105" s="937"/>
      <c r="E105" s="897"/>
      <c r="F105" s="897"/>
      <c r="G105" s="897"/>
      <c r="H105" s="897"/>
      <c r="I105" s="897"/>
      <c r="J105" s="897"/>
      <c r="K105" s="897"/>
      <c r="L105" s="897"/>
      <c r="M105" s="897"/>
      <c r="N105" s="897"/>
      <c r="O105" s="897"/>
      <c r="P105" s="897">
        <f t="shared" si="28"/>
        <v>0</v>
      </c>
      <c r="Q105" s="898">
        <f t="shared" si="20"/>
        <v>0</v>
      </c>
      <c r="R105" s="936">
        <f t="shared" si="26"/>
        <v>0</v>
      </c>
      <c r="S105" s="935">
        <f t="shared" si="22"/>
        <v>0</v>
      </c>
      <c r="T105" s="935">
        <f t="shared" si="22"/>
        <v>0</v>
      </c>
      <c r="U105" s="935">
        <f t="shared" si="22"/>
        <v>0</v>
      </c>
      <c r="V105" s="935">
        <f t="shared" si="22"/>
        <v>0</v>
      </c>
      <c r="W105" s="935">
        <f t="shared" si="22"/>
        <v>0</v>
      </c>
      <c r="X105" s="935">
        <f t="shared" si="22"/>
        <v>0</v>
      </c>
      <c r="Y105" s="935">
        <f t="shared" si="23"/>
        <v>0</v>
      </c>
      <c r="Z105" s="935">
        <f t="shared" si="24"/>
        <v>0</v>
      </c>
    </row>
    <row r="106" spans="1:26" hidden="1">
      <c r="A106" s="984">
        <v>6134</v>
      </c>
      <c r="B106" s="991" t="s">
        <v>1847</v>
      </c>
      <c r="C106" s="897"/>
      <c r="D106" s="937"/>
      <c r="E106" s="897"/>
      <c r="F106" s="897"/>
      <c r="G106" s="897"/>
      <c r="H106" s="897"/>
      <c r="I106" s="897"/>
      <c r="J106" s="897"/>
      <c r="K106" s="897"/>
      <c r="L106" s="897"/>
      <c r="M106" s="897"/>
      <c r="N106" s="897"/>
      <c r="O106" s="897"/>
      <c r="P106" s="897">
        <f t="shared" si="28"/>
        <v>0</v>
      </c>
      <c r="Q106" s="898">
        <f t="shared" si="20"/>
        <v>0</v>
      </c>
      <c r="R106" s="936">
        <f t="shared" si="26"/>
        <v>0</v>
      </c>
      <c r="S106" s="935">
        <f t="shared" si="22"/>
        <v>0</v>
      </c>
      <c r="T106" s="935">
        <f t="shared" si="22"/>
        <v>0</v>
      </c>
      <c r="U106" s="935">
        <f t="shared" si="22"/>
        <v>0</v>
      </c>
      <c r="V106" s="935">
        <f t="shared" si="22"/>
        <v>0</v>
      </c>
      <c r="W106" s="935">
        <f t="shared" si="22"/>
        <v>0</v>
      </c>
      <c r="X106" s="935">
        <f t="shared" si="22"/>
        <v>0</v>
      </c>
      <c r="Y106" s="935">
        <f t="shared" si="23"/>
        <v>0</v>
      </c>
      <c r="Z106" s="935">
        <f t="shared" si="24"/>
        <v>0</v>
      </c>
    </row>
    <row r="107" spans="1:26">
      <c r="A107" s="984">
        <v>6135</v>
      </c>
      <c r="B107" s="991" t="s">
        <v>1848</v>
      </c>
      <c r="C107" s="897"/>
      <c r="D107" s="897">
        <v>0</v>
      </c>
      <c r="E107" s="897">
        <v>0</v>
      </c>
      <c r="F107" s="897">
        <v>0</v>
      </c>
      <c r="G107" s="897">
        <v>0</v>
      </c>
      <c r="H107" s="897">
        <v>0</v>
      </c>
      <c r="I107" s="897">
        <v>0</v>
      </c>
      <c r="J107" s="897">
        <v>0</v>
      </c>
      <c r="K107" s="897">
        <v>0</v>
      </c>
      <c r="L107" s="897">
        <v>0</v>
      </c>
      <c r="M107" s="897">
        <v>0</v>
      </c>
      <c r="N107" s="897">
        <v>0</v>
      </c>
      <c r="O107" s="897">
        <v>0</v>
      </c>
      <c r="P107" s="897">
        <f>SUM(D107:O107)</f>
        <v>0</v>
      </c>
      <c r="Q107" s="898">
        <f t="shared" si="20"/>
        <v>0</v>
      </c>
      <c r="R107" s="936">
        <f t="shared" si="26"/>
        <v>0</v>
      </c>
      <c r="S107" s="935">
        <f t="shared" si="22"/>
        <v>0</v>
      </c>
      <c r="T107" s="935">
        <f t="shared" si="22"/>
        <v>0</v>
      </c>
      <c r="U107" s="935">
        <f t="shared" si="22"/>
        <v>0</v>
      </c>
      <c r="V107" s="935">
        <f t="shared" si="22"/>
        <v>0</v>
      </c>
      <c r="W107" s="935">
        <f t="shared" si="22"/>
        <v>0</v>
      </c>
      <c r="X107" s="935">
        <f t="shared" si="22"/>
        <v>0</v>
      </c>
      <c r="Y107" s="935">
        <f t="shared" si="23"/>
        <v>0</v>
      </c>
      <c r="Z107" s="935">
        <f t="shared" si="24"/>
        <v>0</v>
      </c>
    </row>
    <row r="108" spans="1:26" hidden="1">
      <c r="A108" s="986">
        <v>61351</v>
      </c>
      <c r="B108" s="993" t="s">
        <v>1849</v>
      </c>
      <c r="C108" s="897"/>
      <c r="D108" s="897"/>
      <c r="E108" s="897"/>
      <c r="F108" s="897"/>
      <c r="G108" s="897"/>
      <c r="H108" s="897"/>
      <c r="I108" s="897"/>
      <c r="J108" s="897"/>
      <c r="K108" s="897"/>
      <c r="L108" s="897"/>
      <c r="M108" s="897"/>
      <c r="N108" s="897"/>
      <c r="O108" s="897"/>
      <c r="P108" s="897">
        <f t="shared" si="28"/>
        <v>0</v>
      </c>
      <c r="Q108" s="898">
        <f t="shared" si="20"/>
        <v>0</v>
      </c>
      <c r="R108" s="936">
        <f t="shared" si="26"/>
        <v>0</v>
      </c>
      <c r="S108" s="935">
        <f t="shared" ref="S108:X117" si="29">R108</f>
        <v>0</v>
      </c>
      <c r="T108" s="935">
        <f t="shared" si="29"/>
        <v>0</v>
      </c>
      <c r="U108" s="935">
        <f t="shared" si="29"/>
        <v>0</v>
      </c>
      <c r="V108" s="935">
        <f t="shared" si="29"/>
        <v>0</v>
      </c>
      <c r="W108" s="935">
        <f t="shared" si="29"/>
        <v>0</v>
      </c>
      <c r="X108" s="935">
        <f t="shared" si="29"/>
        <v>0</v>
      </c>
      <c r="Y108" s="935">
        <f t="shared" si="23"/>
        <v>0</v>
      </c>
      <c r="Z108" s="935">
        <f t="shared" si="24"/>
        <v>0</v>
      </c>
    </row>
    <row r="109" spans="1:26" hidden="1">
      <c r="A109" s="986">
        <v>61352</v>
      </c>
      <c r="B109" s="993" t="s">
        <v>1850</v>
      </c>
      <c r="C109" s="897"/>
      <c r="D109" s="897"/>
      <c r="E109" s="897"/>
      <c r="F109" s="897"/>
      <c r="G109" s="897"/>
      <c r="H109" s="897"/>
      <c r="I109" s="897"/>
      <c r="J109" s="897"/>
      <c r="K109" s="897"/>
      <c r="L109" s="897"/>
      <c r="M109" s="897"/>
      <c r="N109" s="897"/>
      <c r="O109" s="897"/>
      <c r="P109" s="897">
        <f t="shared" si="28"/>
        <v>0</v>
      </c>
      <c r="Q109" s="898">
        <f t="shared" si="20"/>
        <v>0</v>
      </c>
      <c r="R109" s="936">
        <f t="shared" si="26"/>
        <v>0</v>
      </c>
      <c r="S109" s="935">
        <f t="shared" si="29"/>
        <v>0</v>
      </c>
      <c r="T109" s="935">
        <f t="shared" si="29"/>
        <v>0</v>
      </c>
      <c r="U109" s="935">
        <f t="shared" si="29"/>
        <v>0</v>
      </c>
      <c r="V109" s="935">
        <f t="shared" si="29"/>
        <v>0</v>
      </c>
      <c r="W109" s="935">
        <f t="shared" si="29"/>
        <v>0</v>
      </c>
      <c r="X109" s="935">
        <f t="shared" si="29"/>
        <v>0</v>
      </c>
      <c r="Y109" s="935">
        <f t="shared" si="23"/>
        <v>0</v>
      </c>
      <c r="Z109" s="935">
        <f t="shared" si="24"/>
        <v>0</v>
      </c>
    </row>
    <row r="110" spans="1:26" hidden="1">
      <c r="A110" s="984">
        <v>6136</v>
      </c>
      <c r="B110" s="991" t="s">
        <v>1851</v>
      </c>
      <c r="C110" s="897"/>
      <c r="D110" s="897"/>
      <c r="E110" s="897"/>
      <c r="F110" s="897"/>
      <c r="G110" s="897"/>
      <c r="H110" s="897"/>
      <c r="I110" s="897"/>
      <c r="J110" s="897"/>
      <c r="K110" s="897"/>
      <c r="L110" s="897"/>
      <c r="M110" s="897"/>
      <c r="N110" s="897"/>
      <c r="O110" s="897"/>
      <c r="P110" s="897">
        <f t="shared" si="28"/>
        <v>0</v>
      </c>
      <c r="Q110" s="898">
        <f t="shared" si="20"/>
        <v>0</v>
      </c>
      <c r="R110" s="936">
        <f t="shared" si="26"/>
        <v>0</v>
      </c>
      <c r="S110" s="935">
        <f t="shared" si="29"/>
        <v>0</v>
      </c>
      <c r="T110" s="935">
        <f t="shared" si="29"/>
        <v>0</v>
      </c>
      <c r="U110" s="935">
        <f t="shared" si="29"/>
        <v>0</v>
      </c>
      <c r="V110" s="935">
        <f t="shared" si="29"/>
        <v>0</v>
      </c>
      <c r="W110" s="935">
        <f t="shared" si="29"/>
        <v>0</v>
      </c>
      <c r="X110" s="935">
        <f t="shared" si="29"/>
        <v>0</v>
      </c>
      <c r="Y110" s="935">
        <f t="shared" si="23"/>
        <v>0</v>
      </c>
      <c r="Z110" s="935">
        <f t="shared" si="24"/>
        <v>0</v>
      </c>
    </row>
    <row r="111" spans="1:26" hidden="1">
      <c r="A111" s="986">
        <v>61361</v>
      </c>
      <c r="B111" s="993" t="s">
        <v>1852</v>
      </c>
      <c r="C111" s="897"/>
      <c r="D111" s="897"/>
      <c r="E111" s="897"/>
      <c r="F111" s="897"/>
      <c r="G111" s="897"/>
      <c r="H111" s="897"/>
      <c r="I111" s="897"/>
      <c r="J111" s="897"/>
      <c r="K111" s="897"/>
      <c r="L111" s="897"/>
      <c r="M111" s="897"/>
      <c r="N111" s="897"/>
      <c r="O111" s="897"/>
      <c r="P111" s="897">
        <f t="shared" si="28"/>
        <v>0</v>
      </c>
      <c r="Q111" s="898">
        <f t="shared" si="20"/>
        <v>0</v>
      </c>
      <c r="R111" s="936">
        <f t="shared" si="26"/>
        <v>0</v>
      </c>
      <c r="S111" s="935">
        <f t="shared" si="29"/>
        <v>0</v>
      </c>
      <c r="T111" s="935">
        <f t="shared" si="29"/>
        <v>0</v>
      </c>
      <c r="U111" s="935">
        <f t="shared" si="29"/>
        <v>0</v>
      </c>
      <c r="V111" s="935">
        <f t="shared" si="29"/>
        <v>0</v>
      </c>
      <c r="W111" s="935">
        <f t="shared" si="29"/>
        <v>0</v>
      </c>
      <c r="X111" s="935">
        <f t="shared" si="29"/>
        <v>0</v>
      </c>
      <c r="Y111" s="935">
        <f t="shared" si="23"/>
        <v>0</v>
      </c>
      <c r="Z111" s="935">
        <f t="shared" si="24"/>
        <v>0</v>
      </c>
    </row>
    <row r="112" spans="1:26" hidden="1">
      <c r="A112" s="986">
        <v>61362</v>
      </c>
      <c r="B112" s="993" t="s">
        <v>1853</v>
      </c>
      <c r="C112" s="897"/>
      <c r="D112" s="897"/>
      <c r="E112" s="897"/>
      <c r="F112" s="897"/>
      <c r="G112" s="897"/>
      <c r="H112" s="897"/>
      <c r="I112" s="897"/>
      <c r="J112" s="897"/>
      <c r="K112" s="897"/>
      <c r="L112" s="897"/>
      <c r="M112" s="897"/>
      <c r="N112" s="897"/>
      <c r="O112" s="897"/>
      <c r="P112" s="897">
        <f t="shared" si="28"/>
        <v>0</v>
      </c>
      <c r="Q112" s="898">
        <f t="shared" si="20"/>
        <v>0</v>
      </c>
      <c r="R112" s="936">
        <f t="shared" si="26"/>
        <v>0</v>
      </c>
      <c r="S112" s="935">
        <f t="shared" si="29"/>
        <v>0</v>
      </c>
      <c r="T112" s="935">
        <f t="shared" si="29"/>
        <v>0</v>
      </c>
      <c r="U112" s="935">
        <f t="shared" si="29"/>
        <v>0</v>
      </c>
      <c r="V112" s="935">
        <f t="shared" si="29"/>
        <v>0</v>
      </c>
      <c r="W112" s="935">
        <f t="shared" si="29"/>
        <v>0</v>
      </c>
      <c r="X112" s="935">
        <f t="shared" si="29"/>
        <v>0</v>
      </c>
      <c r="Y112" s="935">
        <f t="shared" si="23"/>
        <v>0</v>
      </c>
      <c r="Z112" s="935">
        <f t="shared" si="24"/>
        <v>0</v>
      </c>
    </row>
    <row r="113" spans="1:27" hidden="1">
      <c r="A113" s="986">
        <v>61363</v>
      </c>
      <c r="B113" s="993" t="s">
        <v>1854</v>
      </c>
      <c r="C113" s="897"/>
      <c r="D113" s="897"/>
      <c r="E113" s="897"/>
      <c r="F113" s="897"/>
      <c r="G113" s="897"/>
      <c r="H113" s="897"/>
      <c r="I113" s="897"/>
      <c r="J113" s="897"/>
      <c r="K113" s="897"/>
      <c r="L113" s="897"/>
      <c r="M113" s="897"/>
      <c r="N113" s="897"/>
      <c r="O113" s="897"/>
      <c r="P113" s="897">
        <f t="shared" si="28"/>
        <v>0</v>
      </c>
      <c r="Q113" s="898">
        <f t="shared" si="20"/>
        <v>0</v>
      </c>
      <c r="R113" s="936">
        <f t="shared" si="26"/>
        <v>0</v>
      </c>
      <c r="S113" s="935">
        <f t="shared" si="29"/>
        <v>0</v>
      </c>
      <c r="T113" s="935">
        <f t="shared" si="29"/>
        <v>0</v>
      </c>
      <c r="U113" s="935">
        <f t="shared" si="29"/>
        <v>0</v>
      </c>
      <c r="V113" s="935">
        <f t="shared" si="29"/>
        <v>0</v>
      </c>
      <c r="W113" s="935">
        <f t="shared" si="29"/>
        <v>0</v>
      </c>
      <c r="X113" s="935">
        <f t="shared" si="29"/>
        <v>0</v>
      </c>
      <c r="Y113" s="935">
        <f t="shared" si="23"/>
        <v>0</v>
      </c>
      <c r="Z113" s="935">
        <f t="shared" si="24"/>
        <v>0</v>
      </c>
    </row>
    <row r="114" spans="1:27" hidden="1">
      <c r="A114" s="986">
        <v>61364</v>
      </c>
      <c r="B114" s="993" t="s">
        <v>1855</v>
      </c>
      <c r="C114" s="897"/>
      <c r="D114" s="897"/>
      <c r="E114" s="897"/>
      <c r="F114" s="897"/>
      <c r="G114" s="897"/>
      <c r="H114" s="897"/>
      <c r="I114" s="897"/>
      <c r="J114" s="897"/>
      <c r="K114" s="897"/>
      <c r="L114" s="897"/>
      <c r="M114" s="897"/>
      <c r="N114" s="897"/>
      <c r="O114" s="897"/>
      <c r="P114" s="897">
        <f t="shared" si="28"/>
        <v>0</v>
      </c>
      <c r="Q114" s="898">
        <f t="shared" si="20"/>
        <v>0</v>
      </c>
      <c r="R114" s="936">
        <f t="shared" si="26"/>
        <v>0</v>
      </c>
      <c r="S114" s="935">
        <f t="shared" si="29"/>
        <v>0</v>
      </c>
      <c r="T114" s="935">
        <f t="shared" si="29"/>
        <v>0</v>
      </c>
      <c r="U114" s="935">
        <f t="shared" si="29"/>
        <v>0</v>
      </c>
      <c r="V114" s="935">
        <f t="shared" si="29"/>
        <v>0</v>
      </c>
      <c r="W114" s="935">
        <f t="shared" si="29"/>
        <v>0</v>
      </c>
      <c r="X114" s="935">
        <f t="shared" si="29"/>
        <v>0</v>
      </c>
      <c r="Y114" s="935">
        <f t="shared" si="23"/>
        <v>0</v>
      </c>
      <c r="Z114" s="935">
        <f t="shared" si="24"/>
        <v>0</v>
      </c>
    </row>
    <row r="115" spans="1:27" hidden="1">
      <c r="A115" s="986">
        <v>61365</v>
      </c>
      <c r="B115" s="993" t="s">
        <v>1856</v>
      </c>
      <c r="C115" s="897"/>
      <c r="D115" s="897"/>
      <c r="E115" s="897"/>
      <c r="F115" s="897"/>
      <c r="G115" s="897"/>
      <c r="H115" s="897"/>
      <c r="I115" s="897"/>
      <c r="J115" s="897"/>
      <c r="K115" s="897"/>
      <c r="L115" s="897"/>
      <c r="M115" s="897"/>
      <c r="N115" s="897"/>
      <c r="O115" s="897"/>
      <c r="P115" s="897">
        <f t="shared" si="28"/>
        <v>0</v>
      </c>
      <c r="Q115" s="898">
        <f t="shared" si="20"/>
        <v>0</v>
      </c>
      <c r="R115" s="936">
        <f t="shared" si="26"/>
        <v>0</v>
      </c>
      <c r="S115" s="935">
        <f t="shared" si="29"/>
        <v>0</v>
      </c>
      <c r="T115" s="935">
        <f t="shared" si="29"/>
        <v>0</v>
      </c>
      <c r="U115" s="935">
        <f t="shared" si="29"/>
        <v>0</v>
      </c>
      <c r="V115" s="935">
        <f t="shared" si="29"/>
        <v>0</v>
      </c>
      <c r="W115" s="935">
        <f t="shared" si="29"/>
        <v>0</v>
      </c>
      <c r="X115" s="935">
        <f t="shared" si="29"/>
        <v>0</v>
      </c>
      <c r="Y115" s="935">
        <f t="shared" si="23"/>
        <v>0</v>
      </c>
      <c r="Z115" s="935">
        <f t="shared" si="24"/>
        <v>0</v>
      </c>
    </row>
    <row r="116" spans="1:27" hidden="1">
      <c r="A116" s="986">
        <v>61366</v>
      </c>
      <c r="B116" s="993" t="s">
        <v>1857</v>
      </c>
      <c r="C116" s="897"/>
      <c r="D116" s="897"/>
      <c r="E116" s="897"/>
      <c r="F116" s="897"/>
      <c r="G116" s="897"/>
      <c r="H116" s="897"/>
      <c r="I116" s="897"/>
      <c r="J116" s="897"/>
      <c r="K116" s="897"/>
      <c r="L116" s="897"/>
      <c r="M116" s="897"/>
      <c r="N116" s="897"/>
      <c r="O116" s="897"/>
      <c r="P116" s="897">
        <f t="shared" si="28"/>
        <v>0</v>
      </c>
      <c r="Q116" s="898">
        <f t="shared" si="20"/>
        <v>0</v>
      </c>
      <c r="R116" s="936">
        <f t="shared" si="26"/>
        <v>0</v>
      </c>
      <c r="S116" s="935">
        <f t="shared" si="29"/>
        <v>0</v>
      </c>
      <c r="T116" s="935">
        <f t="shared" si="29"/>
        <v>0</v>
      </c>
      <c r="U116" s="935">
        <f t="shared" si="29"/>
        <v>0</v>
      </c>
      <c r="V116" s="935">
        <f t="shared" si="29"/>
        <v>0</v>
      </c>
      <c r="W116" s="935">
        <f t="shared" si="29"/>
        <v>0</v>
      </c>
      <c r="X116" s="935">
        <f t="shared" si="29"/>
        <v>0</v>
      </c>
      <c r="Y116" s="935">
        <f t="shared" si="23"/>
        <v>0</v>
      </c>
      <c r="Z116" s="935">
        <f t="shared" si="24"/>
        <v>0</v>
      </c>
    </row>
    <row r="117" spans="1:27">
      <c r="A117" s="984">
        <v>6139</v>
      </c>
      <c r="B117" s="991" t="s">
        <v>1858</v>
      </c>
      <c r="C117" s="897"/>
      <c r="D117" s="897">
        <v>0</v>
      </c>
      <c r="E117" s="897">
        <v>0</v>
      </c>
      <c r="F117" s="897">
        <v>0</v>
      </c>
      <c r="G117" s="897">
        <v>0</v>
      </c>
      <c r="H117" s="897">
        <v>0</v>
      </c>
      <c r="I117" s="897">
        <v>0</v>
      </c>
      <c r="J117" s="897">
        <v>0</v>
      </c>
      <c r="K117" s="897">
        <v>0</v>
      </c>
      <c r="L117" s="897">
        <v>0</v>
      </c>
      <c r="M117" s="897">
        <v>0</v>
      </c>
      <c r="N117" s="897">
        <v>0</v>
      </c>
      <c r="O117" s="897">
        <v>0</v>
      </c>
      <c r="P117" s="897">
        <f>SUM(D117:O117)</f>
        <v>0</v>
      </c>
      <c r="Q117" s="898">
        <f t="shared" si="20"/>
        <v>0</v>
      </c>
      <c r="R117" s="936">
        <f t="shared" si="26"/>
        <v>0</v>
      </c>
      <c r="S117" s="935">
        <f t="shared" si="29"/>
        <v>0</v>
      </c>
      <c r="T117" s="935">
        <f t="shared" si="29"/>
        <v>0</v>
      </c>
      <c r="U117" s="935">
        <f t="shared" si="29"/>
        <v>0</v>
      </c>
      <c r="V117" s="935">
        <f t="shared" si="29"/>
        <v>0</v>
      </c>
      <c r="W117" s="935">
        <f t="shared" si="29"/>
        <v>0</v>
      </c>
      <c r="X117" s="935">
        <f t="shared" si="29"/>
        <v>0</v>
      </c>
      <c r="Y117" s="935">
        <f t="shared" si="23"/>
        <v>0</v>
      </c>
      <c r="Z117" s="935">
        <f t="shared" si="24"/>
        <v>0</v>
      </c>
    </row>
    <row r="118" spans="1:27" hidden="1">
      <c r="A118" s="958">
        <v>614</v>
      </c>
      <c r="B118" s="981" t="s">
        <v>1859</v>
      </c>
      <c r="C118" s="897"/>
      <c r="D118" s="937">
        <f t="shared" ref="D118:H125" si="30">C118/12</f>
        <v>0</v>
      </c>
      <c r="E118" s="897">
        <f t="shared" si="30"/>
        <v>0</v>
      </c>
      <c r="F118" s="897">
        <f t="shared" si="30"/>
        <v>0</v>
      </c>
      <c r="G118" s="897">
        <f t="shared" si="30"/>
        <v>0</v>
      </c>
      <c r="H118" s="897">
        <f t="shared" si="30"/>
        <v>0</v>
      </c>
      <c r="I118" s="897"/>
      <c r="J118" s="897"/>
      <c r="K118" s="897"/>
      <c r="L118" s="897"/>
      <c r="M118" s="897"/>
      <c r="N118" s="897"/>
      <c r="O118" s="897"/>
      <c r="P118" s="897">
        <f t="shared" ref="P118:P125" si="31">SUM(D118:H118)</f>
        <v>0</v>
      </c>
      <c r="Q118" s="898">
        <f t="shared" si="20"/>
        <v>0</v>
      </c>
      <c r="R118" s="936">
        <f t="shared" si="26"/>
        <v>0</v>
      </c>
      <c r="S118" s="935">
        <f t="shared" ref="S118:X127" si="32">R118</f>
        <v>0</v>
      </c>
      <c r="T118" s="935">
        <f t="shared" si="32"/>
        <v>0</v>
      </c>
      <c r="U118" s="935">
        <f t="shared" si="32"/>
        <v>0</v>
      </c>
      <c r="V118" s="935">
        <f t="shared" si="32"/>
        <v>0</v>
      </c>
      <c r="W118" s="935">
        <f t="shared" si="32"/>
        <v>0</v>
      </c>
      <c r="X118" s="935">
        <f t="shared" si="32"/>
        <v>0</v>
      </c>
      <c r="Y118" s="935">
        <f t="shared" si="23"/>
        <v>0</v>
      </c>
      <c r="Z118" s="935">
        <f t="shared" si="24"/>
        <v>0</v>
      </c>
    </row>
    <row r="119" spans="1:27" hidden="1">
      <c r="A119" s="984">
        <v>6141</v>
      </c>
      <c r="B119" s="991" t="s">
        <v>1860</v>
      </c>
      <c r="C119" s="897"/>
      <c r="D119" s="937">
        <f t="shared" si="30"/>
        <v>0</v>
      </c>
      <c r="E119" s="897">
        <f t="shared" si="30"/>
        <v>0</v>
      </c>
      <c r="F119" s="897">
        <f t="shared" si="30"/>
        <v>0</v>
      </c>
      <c r="G119" s="897">
        <f t="shared" si="30"/>
        <v>0</v>
      </c>
      <c r="H119" s="897">
        <f t="shared" si="30"/>
        <v>0</v>
      </c>
      <c r="I119" s="897"/>
      <c r="J119" s="897"/>
      <c r="K119" s="897"/>
      <c r="L119" s="897"/>
      <c r="M119" s="897"/>
      <c r="N119" s="897"/>
      <c r="O119" s="897"/>
      <c r="P119" s="897">
        <f t="shared" si="31"/>
        <v>0</v>
      </c>
      <c r="Q119" s="898">
        <f t="shared" si="20"/>
        <v>0</v>
      </c>
      <c r="R119" s="936">
        <f t="shared" si="26"/>
        <v>0</v>
      </c>
      <c r="S119" s="935">
        <f t="shared" si="32"/>
        <v>0</v>
      </c>
      <c r="T119" s="935">
        <f t="shared" si="32"/>
        <v>0</v>
      </c>
      <c r="U119" s="935">
        <f t="shared" si="32"/>
        <v>0</v>
      </c>
      <c r="V119" s="935">
        <f t="shared" si="32"/>
        <v>0</v>
      </c>
      <c r="W119" s="935">
        <f t="shared" si="32"/>
        <v>0</v>
      </c>
      <c r="X119" s="935">
        <f t="shared" si="32"/>
        <v>0</v>
      </c>
      <c r="Y119" s="935">
        <f t="shared" si="23"/>
        <v>0</v>
      </c>
      <c r="Z119" s="935">
        <f t="shared" si="24"/>
        <v>0</v>
      </c>
    </row>
    <row r="120" spans="1:27" hidden="1">
      <c r="A120" s="984">
        <v>6143</v>
      </c>
      <c r="B120" s="991" t="s">
        <v>1861</v>
      </c>
      <c r="C120" s="897"/>
      <c r="D120" s="937">
        <f t="shared" si="30"/>
        <v>0</v>
      </c>
      <c r="E120" s="897">
        <f t="shared" si="30"/>
        <v>0</v>
      </c>
      <c r="F120" s="897">
        <f t="shared" si="30"/>
        <v>0</v>
      </c>
      <c r="G120" s="897">
        <f t="shared" si="30"/>
        <v>0</v>
      </c>
      <c r="H120" s="897">
        <f t="shared" si="30"/>
        <v>0</v>
      </c>
      <c r="I120" s="897"/>
      <c r="J120" s="897"/>
      <c r="K120" s="897"/>
      <c r="L120" s="897"/>
      <c r="M120" s="897"/>
      <c r="N120" s="897"/>
      <c r="O120" s="897"/>
      <c r="P120" s="897">
        <f t="shared" si="31"/>
        <v>0</v>
      </c>
      <c r="Q120" s="898">
        <f t="shared" si="20"/>
        <v>0</v>
      </c>
      <c r="R120" s="936">
        <f t="shared" si="26"/>
        <v>0</v>
      </c>
      <c r="S120" s="935">
        <f t="shared" si="32"/>
        <v>0</v>
      </c>
      <c r="T120" s="935">
        <f t="shared" si="32"/>
        <v>0</v>
      </c>
      <c r="U120" s="935">
        <f t="shared" si="32"/>
        <v>0</v>
      </c>
      <c r="V120" s="935">
        <f t="shared" si="32"/>
        <v>0</v>
      </c>
      <c r="W120" s="935">
        <f t="shared" si="32"/>
        <v>0</v>
      </c>
      <c r="X120" s="935">
        <f t="shared" si="32"/>
        <v>0</v>
      </c>
      <c r="Y120" s="935">
        <f t="shared" si="23"/>
        <v>0</v>
      </c>
      <c r="Z120" s="935">
        <f t="shared" si="24"/>
        <v>0</v>
      </c>
    </row>
    <row r="121" spans="1:27" hidden="1">
      <c r="A121" s="984">
        <v>6149</v>
      </c>
      <c r="B121" s="991" t="s">
        <v>1862</v>
      </c>
      <c r="C121" s="897"/>
      <c r="D121" s="937">
        <f t="shared" si="30"/>
        <v>0</v>
      </c>
      <c r="E121" s="897">
        <f t="shared" si="30"/>
        <v>0</v>
      </c>
      <c r="F121" s="897">
        <f t="shared" si="30"/>
        <v>0</v>
      </c>
      <c r="G121" s="897">
        <f t="shared" si="30"/>
        <v>0</v>
      </c>
      <c r="H121" s="897">
        <f t="shared" si="30"/>
        <v>0</v>
      </c>
      <c r="I121" s="897"/>
      <c r="J121" s="897"/>
      <c r="K121" s="897"/>
      <c r="L121" s="897"/>
      <c r="M121" s="897"/>
      <c r="N121" s="897"/>
      <c r="O121" s="897"/>
      <c r="P121" s="897">
        <f t="shared" si="31"/>
        <v>0</v>
      </c>
      <c r="Q121" s="898">
        <f t="shared" si="20"/>
        <v>0</v>
      </c>
      <c r="R121" s="936">
        <f t="shared" si="26"/>
        <v>0</v>
      </c>
      <c r="S121" s="935">
        <f t="shared" si="32"/>
        <v>0</v>
      </c>
      <c r="T121" s="935">
        <f t="shared" si="32"/>
        <v>0</v>
      </c>
      <c r="U121" s="935">
        <f t="shared" si="32"/>
        <v>0</v>
      </c>
      <c r="V121" s="935">
        <f t="shared" si="32"/>
        <v>0</v>
      </c>
      <c r="W121" s="935">
        <f t="shared" si="32"/>
        <v>0</v>
      </c>
      <c r="X121" s="935">
        <f t="shared" si="32"/>
        <v>0</v>
      </c>
      <c r="Y121" s="935">
        <f t="shared" si="23"/>
        <v>0</v>
      </c>
      <c r="Z121" s="935">
        <f t="shared" si="24"/>
        <v>0</v>
      </c>
    </row>
    <row r="122" spans="1:27" hidden="1">
      <c r="A122" s="958">
        <v>615</v>
      </c>
      <c r="B122" s="981" t="s">
        <v>1863</v>
      </c>
      <c r="C122" s="897"/>
      <c r="D122" s="937">
        <f t="shared" si="30"/>
        <v>0</v>
      </c>
      <c r="E122" s="897">
        <f t="shared" si="30"/>
        <v>0</v>
      </c>
      <c r="F122" s="897">
        <f t="shared" si="30"/>
        <v>0</v>
      </c>
      <c r="G122" s="897">
        <f t="shared" si="30"/>
        <v>0</v>
      </c>
      <c r="H122" s="897">
        <f t="shared" si="30"/>
        <v>0</v>
      </c>
      <c r="I122" s="897"/>
      <c r="J122" s="897"/>
      <c r="K122" s="897"/>
      <c r="L122" s="897"/>
      <c r="M122" s="897"/>
      <c r="N122" s="897"/>
      <c r="O122" s="897"/>
      <c r="P122" s="897">
        <f t="shared" si="31"/>
        <v>0</v>
      </c>
      <c r="Q122" s="898">
        <f t="shared" si="20"/>
        <v>0</v>
      </c>
      <c r="R122" s="936">
        <f t="shared" si="26"/>
        <v>0</v>
      </c>
      <c r="S122" s="935">
        <f t="shared" si="32"/>
        <v>0</v>
      </c>
      <c r="T122" s="935">
        <f t="shared" si="32"/>
        <v>0</v>
      </c>
      <c r="U122" s="935">
        <f t="shared" si="32"/>
        <v>0</v>
      </c>
      <c r="V122" s="935">
        <f t="shared" si="32"/>
        <v>0</v>
      </c>
      <c r="W122" s="935">
        <f t="shared" si="32"/>
        <v>0</v>
      </c>
      <c r="X122" s="935">
        <f t="shared" si="32"/>
        <v>0</v>
      </c>
      <c r="Y122" s="935">
        <f t="shared" si="23"/>
        <v>0</v>
      </c>
      <c r="Z122" s="935">
        <f t="shared" si="24"/>
        <v>0</v>
      </c>
    </row>
    <row r="123" spans="1:27" hidden="1">
      <c r="A123" s="958">
        <v>616</v>
      </c>
      <c r="B123" s="981" t="s">
        <v>1864</v>
      </c>
      <c r="C123" s="897"/>
      <c r="D123" s="937">
        <f t="shared" si="30"/>
        <v>0</v>
      </c>
      <c r="E123" s="897">
        <f t="shared" si="30"/>
        <v>0</v>
      </c>
      <c r="F123" s="897">
        <f t="shared" si="30"/>
        <v>0</v>
      </c>
      <c r="G123" s="897">
        <f t="shared" si="30"/>
        <v>0</v>
      </c>
      <c r="H123" s="897">
        <f t="shared" si="30"/>
        <v>0</v>
      </c>
      <c r="I123" s="897"/>
      <c r="J123" s="897"/>
      <c r="K123" s="897"/>
      <c r="L123" s="897"/>
      <c r="M123" s="897"/>
      <c r="N123" s="897"/>
      <c r="O123" s="897"/>
      <c r="P123" s="897">
        <f t="shared" si="31"/>
        <v>0</v>
      </c>
      <c r="Q123" s="898">
        <f t="shared" si="20"/>
        <v>0</v>
      </c>
      <c r="R123" s="936">
        <f t="shared" si="26"/>
        <v>0</v>
      </c>
      <c r="S123" s="935">
        <f t="shared" si="32"/>
        <v>0</v>
      </c>
      <c r="T123" s="935">
        <f t="shared" si="32"/>
        <v>0</v>
      </c>
      <c r="U123" s="935">
        <f t="shared" si="32"/>
        <v>0</v>
      </c>
      <c r="V123" s="935">
        <f t="shared" si="32"/>
        <v>0</v>
      </c>
      <c r="W123" s="935">
        <f t="shared" si="32"/>
        <v>0</v>
      </c>
      <c r="X123" s="935">
        <f t="shared" si="32"/>
        <v>0</v>
      </c>
      <c r="Y123" s="935">
        <f t="shared" si="23"/>
        <v>0</v>
      </c>
      <c r="Z123" s="935">
        <f t="shared" si="24"/>
        <v>0</v>
      </c>
    </row>
    <row r="124" spans="1:27" hidden="1">
      <c r="A124" s="984">
        <v>6161</v>
      </c>
      <c r="B124" s="991" t="s">
        <v>1865</v>
      </c>
      <c r="C124" s="897"/>
      <c r="D124" s="937">
        <f t="shared" si="30"/>
        <v>0</v>
      </c>
      <c r="E124" s="897">
        <f t="shared" si="30"/>
        <v>0</v>
      </c>
      <c r="F124" s="897">
        <f t="shared" si="30"/>
        <v>0</v>
      </c>
      <c r="G124" s="897">
        <f t="shared" si="30"/>
        <v>0</v>
      </c>
      <c r="H124" s="897">
        <f t="shared" si="30"/>
        <v>0</v>
      </c>
      <c r="I124" s="897"/>
      <c r="J124" s="897"/>
      <c r="K124" s="897"/>
      <c r="L124" s="897"/>
      <c r="M124" s="897"/>
      <c r="N124" s="897"/>
      <c r="O124" s="897"/>
      <c r="P124" s="897">
        <f t="shared" si="31"/>
        <v>0</v>
      </c>
      <c r="Q124" s="898">
        <f t="shared" si="20"/>
        <v>0</v>
      </c>
      <c r="R124" s="936">
        <f t="shared" si="26"/>
        <v>0</v>
      </c>
      <c r="S124" s="935">
        <f t="shared" si="32"/>
        <v>0</v>
      </c>
      <c r="T124" s="935">
        <f t="shared" si="32"/>
        <v>0</v>
      </c>
      <c r="U124" s="935">
        <f t="shared" si="32"/>
        <v>0</v>
      </c>
      <c r="V124" s="935">
        <f t="shared" si="32"/>
        <v>0</v>
      </c>
      <c r="W124" s="935">
        <f t="shared" si="32"/>
        <v>0</v>
      </c>
      <c r="X124" s="935">
        <f t="shared" si="32"/>
        <v>0</v>
      </c>
      <c r="Y124" s="935">
        <f t="shared" si="23"/>
        <v>0</v>
      </c>
      <c r="Z124" s="935">
        <f t="shared" si="24"/>
        <v>0</v>
      </c>
    </row>
    <row r="125" spans="1:27" hidden="1">
      <c r="A125" s="984">
        <v>6162</v>
      </c>
      <c r="B125" s="991" t="s">
        <v>1866</v>
      </c>
      <c r="C125" s="897"/>
      <c r="D125" s="937">
        <f t="shared" si="30"/>
        <v>0</v>
      </c>
      <c r="E125" s="897">
        <f t="shared" si="30"/>
        <v>0</v>
      </c>
      <c r="F125" s="897">
        <f t="shared" si="30"/>
        <v>0</v>
      </c>
      <c r="G125" s="897">
        <f t="shared" si="30"/>
        <v>0</v>
      </c>
      <c r="H125" s="897">
        <f t="shared" si="30"/>
        <v>0</v>
      </c>
      <c r="I125" s="897"/>
      <c r="J125" s="897"/>
      <c r="K125" s="897"/>
      <c r="L125" s="897"/>
      <c r="M125" s="897"/>
      <c r="N125" s="897"/>
      <c r="O125" s="897"/>
      <c r="P125" s="897">
        <f t="shared" si="31"/>
        <v>0</v>
      </c>
      <c r="Q125" s="898">
        <f t="shared" si="20"/>
        <v>0</v>
      </c>
      <c r="R125" s="936">
        <f t="shared" si="26"/>
        <v>0</v>
      </c>
      <c r="S125" s="935">
        <f t="shared" si="32"/>
        <v>0</v>
      </c>
      <c r="T125" s="935">
        <f t="shared" si="32"/>
        <v>0</v>
      </c>
      <c r="U125" s="935">
        <f t="shared" si="32"/>
        <v>0</v>
      </c>
      <c r="V125" s="935">
        <f t="shared" si="32"/>
        <v>0</v>
      </c>
      <c r="W125" s="935">
        <f t="shared" si="32"/>
        <v>0</v>
      </c>
      <c r="X125" s="935">
        <f t="shared" si="32"/>
        <v>0</v>
      </c>
      <c r="Y125" s="935">
        <f t="shared" si="23"/>
        <v>0</v>
      </c>
      <c r="Z125" s="935">
        <f t="shared" si="24"/>
        <v>0</v>
      </c>
    </row>
    <row r="126" spans="1:27" ht="13.5">
      <c r="A126" s="945">
        <v>619</v>
      </c>
      <c r="B126" s="944" t="s">
        <v>1867</v>
      </c>
      <c r="C126" s="908">
        <f t="shared" ref="C126:M126" si="33">C127</f>
        <v>0</v>
      </c>
      <c r="D126" s="943">
        <f t="shared" si="33"/>
        <v>0</v>
      </c>
      <c r="E126" s="908">
        <f t="shared" si="33"/>
        <v>0</v>
      </c>
      <c r="F126" s="908">
        <f t="shared" si="33"/>
        <v>0</v>
      </c>
      <c r="G126" s="908">
        <f t="shared" si="33"/>
        <v>0</v>
      </c>
      <c r="H126" s="908">
        <f t="shared" si="33"/>
        <v>0</v>
      </c>
      <c r="I126" s="908">
        <f t="shared" si="33"/>
        <v>0</v>
      </c>
      <c r="J126" s="908">
        <f t="shared" si="33"/>
        <v>0</v>
      </c>
      <c r="K126" s="908">
        <f t="shared" si="33"/>
        <v>0</v>
      </c>
      <c r="L126" s="908">
        <f>L127</f>
        <v>0</v>
      </c>
      <c r="M126" s="908">
        <f t="shared" si="33"/>
        <v>0</v>
      </c>
      <c r="N126" s="908">
        <f>N127</f>
        <v>0</v>
      </c>
      <c r="O126" s="908">
        <f>O127</f>
        <v>0</v>
      </c>
      <c r="P126" s="908">
        <f>P127</f>
        <v>0</v>
      </c>
      <c r="Q126" s="909">
        <f t="shared" si="20"/>
        <v>0</v>
      </c>
      <c r="R126" s="960">
        <f t="shared" si="26"/>
        <v>0</v>
      </c>
      <c r="S126" s="959">
        <f t="shared" si="32"/>
        <v>0</v>
      </c>
      <c r="T126" s="959">
        <f t="shared" si="32"/>
        <v>0</v>
      </c>
      <c r="U126" s="959">
        <f t="shared" si="32"/>
        <v>0</v>
      </c>
      <c r="V126" s="959">
        <f t="shared" si="32"/>
        <v>0</v>
      </c>
      <c r="W126" s="959">
        <f t="shared" si="32"/>
        <v>0</v>
      </c>
      <c r="X126" s="959">
        <f t="shared" si="32"/>
        <v>0</v>
      </c>
      <c r="Y126" s="959">
        <f t="shared" si="23"/>
        <v>0</v>
      </c>
      <c r="Z126" s="959">
        <f t="shared" si="24"/>
        <v>0</v>
      </c>
    </row>
    <row r="127" spans="1:27">
      <c r="A127" s="984">
        <v>6191</v>
      </c>
      <c r="B127" s="991" t="s">
        <v>1868</v>
      </c>
      <c r="C127" s="897"/>
      <c r="D127" s="937">
        <v>0</v>
      </c>
      <c r="E127" s="937">
        <v>0</v>
      </c>
      <c r="F127" s="937">
        <v>0</v>
      </c>
      <c r="G127" s="937">
        <v>0</v>
      </c>
      <c r="H127" s="937">
        <v>0</v>
      </c>
      <c r="I127" s="937">
        <v>0</v>
      </c>
      <c r="J127" s="897">
        <v>0</v>
      </c>
      <c r="K127" s="897">
        <v>0</v>
      </c>
      <c r="L127" s="897">
        <v>0</v>
      </c>
      <c r="M127" s="897"/>
      <c r="N127" s="897"/>
      <c r="O127" s="897"/>
      <c r="P127" s="897">
        <f>SUM(D127:O127)</f>
        <v>0</v>
      </c>
      <c r="Q127" s="898">
        <f t="shared" si="20"/>
        <v>0</v>
      </c>
      <c r="R127" s="936">
        <v>15000</v>
      </c>
      <c r="S127" s="935">
        <f t="shared" si="32"/>
        <v>15000</v>
      </c>
      <c r="T127" s="935">
        <f t="shared" si="32"/>
        <v>15000</v>
      </c>
      <c r="U127" s="935">
        <f t="shared" si="32"/>
        <v>15000</v>
      </c>
      <c r="V127" s="935">
        <f t="shared" si="32"/>
        <v>15000</v>
      </c>
      <c r="W127" s="935">
        <f t="shared" si="32"/>
        <v>15000</v>
      </c>
      <c r="X127" s="935">
        <f t="shared" si="32"/>
        <v>15000</v>
      </c>
      <c r="Y127" s="935">
        <f t="shared" si="23"/>
        <v>105000</v>
      </c>
      <c r="Z127" s="935">
        <f t="shared" si="24"/>
        <v>-105000</v>
      </c>
    </row>
    <row r="128" spans="1:27">
      <c r="A128" s="949" t="s">
        <v>1869</v>
      </c>
      <c r="B128" s="948" t="s">
        <v>1870</v>
      </c>
      <c r="C128" s="894">
        <f t="shared" ref="C128:M128" si="34">C129+C141+C151+C155+C158+C161+C166</f>
        <v>0</v>
      </c>
      <c r="D128" s="947">
        <f>D129+D141+D151+D155+D158+D161+D166</f>
        <v>0</v>
      </c>
      <c r="E128" s="894">
        <f t="shared" si="34"/>
        <v>0</v>
      </c>
      <c r="F128" s="894">
        <f t="shared" si="34"/>
        <v>0</v>
      </c>
      <c r="G128" s="894">
        <f t="shared" si="34"/>
        <v>0</v>
      </c>
      <c r="H128" s="894">
        <f t="shared" si="34"/>
        <v>0</v>
      </c>
      <c r="I128" s="894">
        <f t="shared" si="34"/>
        <v>0</v>
      </c>
      <c r="J128" s="894">
        <f t="shared" si="34"/>
        <v>0</v>
      </c>
      <c r="K128" s="894">
        <f t="shared" si="34"/>
        <v>0</v>
      </c>
      <c r="L128" s="894">
        <f t="shared" si="34"/>
        <v>0</v>
      </c>
      <c r="M128" s="894">
        <f t="shared" si="34"/>
        <v>0</v>
      </c>
      <c r="N128" s="894">
        <f>N129+N141+N151+N155+N158+N161+N166</f>
        <v>0</v>
      </c>
      <c r="O128" s="894">
        <f>O129+O141+O151+O155+O158+O161+O166</f>
        <v>0</v>
      </c>
      <c r="P128" s="894">
        <f>SUM(D128:O128)</f>
        <v>0</v>
      </c>
      <c r="Q128" s="895">
        <f t="shared" si="20"/>
        <v>0</v>
      </c>
      <c r="R128" s="1014">
        <f>R129+R141+R151+R155+R158+R161+R166</f>
        <v>50000</v>
      </c>
      <c r="S128" s="989">
        <f t="shared" ref="S128:X137" si="35">R128</f>
        <v>50000</v>
      </c>
      <c r="T128" s="989">
        <f t="shared" si="35"/>
        <v>50000</v>
      </c>
      <c r="U128" s="989">
        <f t="shared" si="35"/>
        <v>50000</v>
      </c>
      <c r="V128" s="989">
        <f t="shared" si="35"/>
        <v>50000</v>
      </c>
      <c r="W128" s="989">
        <f t="shared" si="35"/>
        <v>50000</v>
      </c>
      <c r="X128" s="989">
        <f t="shared" si="35"/>
        <v>50000</v>
      </c>
      <c r="Y128" s="989">
        <f t="shared" si="23"/>
        <v>350000</v>
      </c>
      <c r="Z128" s="989">
        <f t="shared" si="24"/>
        <v>-350000</v>
      </c>
      <c r="AA128" s="892"/>
    </row>
    <row r="129" spans="1:26" ht="13.5">
      <c r="A129" s="945">
        <v>621</v>
      </c>
      <c r="B129" s="944" t="s">
        <v>1871</v>
      </c>
      <c r="C129" s="908">
        <f t="shared" ref="C129:M129" si="36">SUM(C130:C138)</f>
        <v>0</v>
      </c>
      <c r="D129" s="943">
        <f t="shared" si="36"/>
        <v>0</v>
      </c>
      <c r="E129" s="908">
        <f t="shared" si="36"/>
        <v>0</v>
      </c>
      <c r="F129" s="908">
        <f t="shared" si="36"/>
        <v>0</v>
      </c>
      <c r="G129" s="908">
        <f t="shared" si="36"/>
        <v>0</v>
      </c>
      <c r="H129" s="908">
        <f t="shared" si="36"/>
        <v>0</v>
      </c>
      <c r="I129" s="908">
        <f t="shared" si="36"/>
        <v>0</v>
      </c>
      <c r="J129" s="908">
        <f t="shared" si="36"/>
        <v>0</v>
      </c>
      <c r="K129" s="908">
        <f t="shared" si="36"/>
        <v>0</v>
      </c>
      <c r="L129" s="908">
        <f t="shared" si="36"/>
        <v>0</v>
      </c>
      <c r="M129" s="908">
        <f t="shared" si="36"/>
        <v>0</v>
      </c>
      <c r="N129" s="908">
        <f>SUM(N130:N138)</f>
        <v>0</v>
      </c>
      <c r="O129" s="908">
        <f>SUM(O130:O138)</f>
        <v>0</v>
      </c>
      <c r="P129" s="908">
        <f>SUM(P130:P138)</f>
        <v>0</v>
      </c>
      <c r="Q129" s="909">
        <f t="shared" si="20"/>
        <v>0</v>
      </c>
      <c r="R129" s="988">
        <f>SUM(R130:R138)</f>
        <v>0</v>
      </c>
      <c r="S129" s="959">
        <f t="shared" si="35"/>
        <v>0</v>
      </c>
      <c r="T129" s="959">
        <f t="shared" si="35"/>
        <v>0</v>
      </c>
      <c r="U129" s="959">
        <f t="shared" si="35"/>
        <v>0</v>
      </c>
      <c r="V129" s="959">
        <f t="shared" si="35"/>
        <v>0</v>
      </c>
      <c r="W129" s="959">
        <f t="shared" si="35"/>
        <v>0</v>
      </c>
      <c r="X129" s="959">
        <f t="shared" si="35"/>
        <v>0</v>
      </c>
      <c r="Y129" s="959">
        <f t="shared" si="23"/>
        <v>0</v>
      </c>
      <c r="Z129" s="959">
        <f t="shared" si="24"/>
        <v>0</v>
      </c>
    </row>
    <row r="130" spans="1:26">
      <c r="A130" s="1016">
        <v>2311</v>
      </c>
      <c r="B130" s="1017" t="s">
        <v>1872</v>
      </c>
      <c r="C130" s="900"/>
      <c r="D130" s="937">
        <v>0</v>
      </c>
      <c r="E130" s="897">
        <v>0</v>
      </c>
      <c r="F130" s="897">
        <v>0</v>
      </c>
      <c r="G130" s="897">
        <v>0</v>
      </c>
      <c r="H130" s="897">
        <v>0</v>
      </c>
      <c r="I130" s="897">
        <v>0</v>
      </c>
      <c r="J130" s="897">
        <v>0</v>
      </c>
      <c r="K130" s="897">
        <v>0</v>
      </c>
      <c r="L130" s="897">
        <v>0</v>
      </c>
      <c r="M130" s="897">
        <v>0</v>
      </c>
      <c r="N130" s="897">
        <v>0</v>
      </c>
      <c r="O130" s="897">
        <v>0</v>
      </c>
      <c r="P130" s="897">
        <f t="shared" ref="P130:P138" si="37">SUM(D130:O130)</f>
        <v>0</v>
      </c>
      <c r="Q130" s="898">
        <f t="shared" si="20"/>
        <v>0</v>
      </c>
      <c r="R130" s="936">
        <f t="shared" ref="R130:R138" si="38">P130/5</f>
        <v>0</v>
      </c>
      <c r="S130" s="935">
        <f t="shared" si="35"/>
        <v>0</v>
      </c>
      <c r="T130" s="935">
        <f t="shared" si="35"/>
        <v>0</v>
      </c>
      <c r="U130" s="935">
        <f t="shared" si="35"/>
        <v>0</v>
      </c>
      <c r="V130" s="935">
        <f t="shared" si="35"/>
        <v>0</v>
      </c>
      <c r="W130" s="935">
        <f t="shared" si="35"/>
        <v>0</v>
      </c>
      <c r="X130" s="935">
        <f t="shared" si="35"/>
        <v>0</v>
      </c>
      <c r="Y130" s="935">
        <f t="shared" si="23"/>
        <v>0</v>
      </c>
      <c r="Z130" s="935">
        <f t="shared" si="24"/>
        <v>0</v>
      </c>
    </row>
    <row r="131" spans="1:26">
      <c r="A131" s="1016">
        <v>6211</v>
      </c>
      <c r="B131" s="1017" t="s">
        <v>1873</v>
      </c>
      <c r="C131" s="900"/>
      <c r="D131" s="937">
        <v>0</v>
      </c>
      <c r="E131" s="937">
        <v>0</v>
      </c>
      <c r="F131" s="937">
        <v>0</v>
      </c>
      <c r="G131" s="897">
        <v>0</v>
      </c>
      <c r="H131" s="897">
        <v>0</v>
      </c>
      <c r="I131" s="897">
        <v>0</v>
      </c>
      <c r="J131" s="897">
        <v>0</v>
      </c>
      <c r="K131" s="897">
        <v>0</v>
      </c>
      <c r="L131" s="897">
        <v>0</v>
      </c>
      <c r="M131" s="897">
        <v>0</v>
      </c>
      <c r="N131" s="897">
        <v>0</v>
      </c>
      <c r="O131" s="897">
        <v>0</v>
      </c>
      <c r="P131" s="897">
        <f t="shared" si="37"/>
        <v>0</v>
      </c>
      <c r="Q131" s="898">
        <f t="shared" si="20"/>
        <v>0</v>
      </c>
      <c r="R131" s="936">
        <f t="shared" si="38"/>
        <v>0</v>
      </c>
      <c r="S131" s="935">
        <f t="shared" si="35"/>
        <v>0</v>
      </c>
      <c r="T131" s="935">
        <f t="shared" si="35"/>
        <v>0</v>
      </c>
      <c r="U131" s="935">
        <f t="shared" si="35"/>
        <v>0</v>
      </c>
      <c r="V131" s="935">
        <f t="shared" si="35"/>
        <v>0</v>
      </c>
      <c r="W131" s="935">
        <f t="shared" si="35"/>
        <v>0</v>
      </c>
      <c r="X131" s="935">
        <f t="shared" si="35"/>
        <v>0</v>
      </c>
      <c r="Y131" s="935">
        <f t="shared" si="23"/>
        <v>0</v>
      </c>
      <c r="Z131" s="935">
        <f t="shared" si="24"/>
        <v>0</v>
      </c>
    </row>
    <row r="132" spans="1:26">
      <c r="A132" s="1016">
        <v>6212</v>
      </c>
      <c r="B132" s="1017" t="s">
        <v>1874</v>
      </c>
      <c r="C132" s="900"/>
      <c r="D132" s="937">
        <v>0</v>
      </c>
      <c r="E132" s="937">
        <v>0</v>
      </c>
      <c r="F132" s="937">
        <v>0</v>
      </c>
      <c r="G132" s="897">
        <v>0</v>
      </c>
      <c r="H132" s="897">
        <v>0</v>
      </c>
      <c r="I132" s="897">
        <v>0</v>
      </c>
      <c r="J132" s="897">
        <v>0</v>
      </c>
      <c r="K132" s="897">
        <v>0</v>
      </c>
      <c r="L132" s="897">
        <v>0</v>
      </c>
      <c r="M132" s="897">
        <v>0</v>
      </c>
      <c r="N132" s="897">
        <v>0</v>
      </c>
      <c r="O132" s="897">
        <v>0</v>
      </c>
      <c r="P132" s="897">
        <f t="shared" si="37"/>
        <v>0</v>
      </c>
      <c r="Q132" s="898">
        <f t="shared" si="20"/>
        <v>0</v>
      </c>
      <c r="R132" s="936">
        <f t="shared" si="38"/>
        <v>0</v>
      </c>
      <c r="S132" s="935">
        <f t="shared" si="35"/>
        <v>0</v>
      </c>
      <c r="T132" s="935">
        <f t="shared" si="35"/>
        <v>0</v>
      </c>
      <c r="U132" s="935">
        <f t="shared" si="35"/>
        <v>0</v>
      </c>
      <c r="V132" s="935">
        <f t="shared" si="35"/>
        <v>0</v>
      </c>
      <c r="W132" s="935">
        <f t="shared" si="35"/>
        <v>0</v>
      </c>
      <c r="X132" s="935">
        <f t="shared" si="35"/>
        <v>0</v>
      </c>
      <c r="Y132" s="935">
        <f t="shared" si="23"/>
        <v>0</v>
      </c>
      <c r="Z132" s="935">
        <f t="shared" si="24"/>
        <v>0</v>
      </c>
    </row>
    <row r="133" spans="1:26">
      <c r="A133" s="1016">
        <v>6213</v>
      </c>
      <c r="B133" s="1017" t="s">
        <v>1875</v>
      </c>
      <c r="C133" s="900"/>
      <c r="D133" s="937">
        <v>0</v>
      </c>
      <c r="E133" s="937">
        <v>0</v>
      </c>
      <c r="F133" s="937">
        <v>0</v>
      </c>
      <c r="G133" s="897">
        <v>0</v>
      </c>
      <c r="H133" s="897">
        <v>0</v>
      </c>
      <c r="I133" s="897">
        <v>0</v>
      </c>
      <c r="J133" s="897">
        <v>0</v>
      </c>
      <c r="K133" s="897">
        <v>0</v>
      </c>
      <c r="L133" s="897">
        <v>0</v>
      </c>
      <c r="M133" s="897">
        <v>0</v>
      </c>
      <c r="N133" s="897">
        <v>0</v>
      </c>
      <c r="O133" s="897">
        <v>0</v>
      </c>
      <c r="P133" s="897">
        <f t="shared" si="37"/>
        <v>0</v>
      </c>
      <c r="Q133" s="898">
        <f t="shared" si="20"/>
        <v>0</v>
      </c>
      <c r="R133" s="936">
        <f t="shared" si="38"/>
        <v>0</v>
      </c>
      <c r="S133" s="935">
        <f t="shared" si="35"/>
        <v>0</v>
      </c>
      <c r="T133" s="935">
        <f t="shared" si="35"/>
        <v>0</v>
      </c>
      <c r="U133" s="935">
        <f t="shared" si="35"/>
        <v>0</v>
      </c>
      <c r="V133" s="935">
        <f t="shared" si="35"/>
        <v>0</v>
      </c>
      <c r="W133" s="935">
        <f t="shared" si="35"/>
        <v>0</v>
      </c>
      <c r="X133" s="935">
        <f t="shared" si="35"/>
        <v>0</v>
      </c>
      <c r="Y133" s="935">
        <f t="shared" si="23"/>
        <v>0</v>
      </c>
      <c r="Z133" s="935">
        <f t="shared" si="24"/>
        <v>0</v>
      </c>
    </row>
    <row r="134" spans="1:26">
      <c r="A134" s="1016">
        <v>6214</v>
      </c>
      <c r="B134" s="1017" t="s">
        <v>1876</v>
      </c>
      <c r="C134" s="900"/>
      <c r="D134" s="937">
        <v>0</v>
      </c>
      <c r="E134" s="937">
        <v>0</v>
      </c>
      <c r="F134" s="937">
        <v>0</v>
      </c>
      <c r="G134" s="897">
        <v>0</v>
      </c>
      <c r="H134" s="897">
        <v>0</v>
      </c>
      <c r="I134" s="897">
        <v>0</v>
      </c>
      <c r="J134" s="897">
        <v>0</v>
      </c>
      <c r="K134" s="897">
        <v>0</v>
      </c>
      <c r="L134" s="897">
        <v>0</v>
      </c>
      <c r="M134" s="897">
        <v>0</v>
      </c>
      <c r="N134" s="897">
        <v>0</v>
      </c>
      <c r="O134" s="897">
        <v>0</v>
      </c>
      <c r="P134" s="897">
        <f t="shared" si="37"/>
        <v>0</v>
      </c>
      <c r="Q134" s="898">
        <f t="shared" si="20"/>
        <v>0</v>
      </c>
      <c r="R134" s="936">
        <f t="shared" si="38"/>
        <v>0</v>
      </c>
      <c r="S134" s="935">
        <f t="shared" si="35"/>
        <v>0</v>
      </c>
      <c r="T134" s="935">
        <f t="shared" si="35"/>
        <v>0</v>
      </c>
      <c r="U134" s="935">
        <f t="shared" si="35"/>
        <v>0</v>
      </c>
      <c r="V134" s="935">
        <f t="shared" si="35"/>
        <v>0</v>
      </c>
      <c r="W134" s="935">
        <f t="shared" si="35"/>
        <v>0</v>
      </c>
      <c r="X134" s="935">
        <f t="shared" si="35"/>
        <v>0</v>
      </c>
      <c r="Y134" s="935">
        <f t="shared" si="23"/>
        <v>0</v>
      </c>
      <c r="Z134" s="935">
        <f t="shared" si="24"/>
        <v>0</v>
      </c>
    </row>
    <row r="135" spans="1:26">
      <c r="A135" s="1016">
        <v>6215</v>
      </c>
      <c r="B135" s="1017" t="s">
        <v>1877</v>
      </c>
      <c r="C135" s="900"/>
      <c r="D135" s="937">
        <v>0</v>
      </c>
      <c r="E135" s="937">
        <v>0</v>
      </c>
      <c r="F135" s="937">
        <v>0</v>
      </c>
      <c r="G135" s="897">
        <v>0</v>
      </c>
      <c r="H135" s="897">
        <v>0</v>
      </c>
      <c r="I135" s="897">
        <v>0</v>
      </c>
      <c r="J135" s="897">
        <v>0</v>
      </c>
      <c r="K135" s="897">
        <v>0</v>
      </c>
      <c r="L135" s="897">
        <v>0</v>
      </c>
      <c r="M135" s="897">
        <v>0</v>
      </c>
      <c r="N135" s="897">
        <v>0</v>
      </c>
      <c r="O135" s="897">
        <v>0</v>
      </c>
      <c r="P135" s="897">
        <f t="shared" si="37"/>
        <v>0</v>
      </c>
      <c r="Q135" s="898">
        <f t="shared" si="20"/>
        <v>0</v>
      </c>
      <c r="R135" s="936">
        <f t="shared" si="38"/>
        <v>0</v>
      </c>
      <c r="S135" s="935">
        <f t="shared" si="35"/>
        <v>0</v>
      </c>
      <c r="T135" s="935">
        <f t="shared" si="35"/>
        <v>0</v>
      </c>
      <c r="U135" s="935">
        <f t="shared" si="35"/>
        <v>0</v>
      </c>
      <c r="V135" s="935">
        <f t="shared" si="35"/>
        <v>0</v>
      </c>
      <c r="W135" s="935">
        <f t="shared" si="35"/>
        <v>0</v>
      </c>
      <c r="X135" s="935">
        <f t="shared" si="35"/>
        <v>0</v>
      </c>
      <c r="Y135" s="935">
        <f t="shared" si="23"/>
        <v>0</v>
      </c>
      <c r="Z135" s="935">
        <f t="shared" si="24"/>
        <v>0</v>
      </c>
    </row>
    <row r="136" spans="1:26" hidden="1">
      <c r="A136" s="1016">
        <v>62151</v>
      </c>
      <c r="B136" s="1024" t="s">
        <v>1878</v>
      </c>
      <c r="C136" s="900"/>
      <c r="D136" s="937">
        <v>0</v>
      </c>
      <c r="E136" s="937">
        <v>0</v>
      </c>
      <c r="F136" s="937">
        <v>0</v>
      </c>
      <c r="G136" s="897">
        <v>0</v>
      </c>
      <c r="H136" s="897">
        <v>0</v>
      </c>
      <c r="I136" s="897">
        <v>0</v>
      </c>
      <c r="J136" s="897">
        <v>0</v>
      </c>
      <c r="K136" s="897">
        <v>0</v>
      </c>
      <c r="L136" s="897">
        <v>0</v>
      </c>
      <c r="M136" s="897">
        <v>0</v>
      </c>
      <c r="N136" s="897">
        <v>0</v>
      </c>
      <c r="O136" s="897">
        <v>0</v>
      </c>
      <c r="P136" s="897">
        <f t="shared" si="37"/>
        <v>0</v>
      </c>
      <c r="Q136" s="898">
        <f t="shared" si="20"/>
        <v>0</v>
      </c>
      <c r="R136" s="936">
        <f t="shared" si="38"/>
        <v>0</v>
      </c>
      <c r="S136" s="935">
        <f t="shared" si="35"/>
        <v>0</v>
      </c>
      <c r="T136" s="935">
        <f t="shared" si="35"/>
        <v>0</v>
      </c>
      <c r="U136" s="935">
        <f t="shared" si="35"/>
        <v>0</v>
      </c>
      <c r="V136" s="935">
        <f t="shared" si="35"/>
        <v>0</v>
      </c>
      <c r="W136" s="935">
        <f t="shared" si="35"/>
        <v>0</v>
      </c>
      <c r="X136" s="935">
        <f t="shared" si="35"/>
        <v>0</v>
      </c>
      <c r="Y136" s="935">
        <f t="shared" si="23"/>
        <v>0</v>
      </c>
      <c r="Z136" s="935">
        <f t="shared" si="24"/>
        <v>0</v>
      </c>
    </row>
    <row r="137" spans="1:26" hidden="1">
      <c r="A137" s="1016">
        <v>62159</v>
      </c>
      <c r="B137" s="1024" t="s">
        <v>275</v>
      </c>
      <c r="C137" s="900"/>
      <c r="D137" s="937">
        <v>0</v>
      </c>
      <c r="E137" s="937">
        <v>0</v>
      </c>
      <c r="F137" s="937">
        <v>0</v>
      </c>
      <c r="G137" s="897">
        <v>0</v>
      </c>
      <c r="H137" s="897">
        <v>0</v>
      </c>
      <c r="I137" s="897">
        <v>0</v>
      </c>
      <c r="J137" s="897">
        <v>0</v>
      </c>
      <c r="K137" s="897">
        <v>0</v>
      </c>
      <c r="L137" s="897">
        <v>0</v>
      </c>
      <c r="M137" s="897">
        <v>0</v>
      </c>
      <c r="N137" s="897">
        <v>0</v>
      </c>
      <c r="O137" s="897">
        <v>0</v>
      </c>
      <c r="P137" s="897">
        <f t="shared" si="37"/>
        <v>0</v>
      </c>
      <c r="Q137" s="898">
        <f t="shared" si="20"/>
        <v>0</v>
      </c>
      <c r="R137" s="936">
        <f t="shared" si="38"/>
        <v>0</v>
      </c>
      <c r="S137" s="935">
        <f t="shared" si="35"/>
        <v>0</v>
      </c>
      <c r="T137" s="935">
        <f t="shared" si="35"/>
        <v>0</v>
      </c>
      <c r="U137" s="935">
        <f t="shared" si="35"/>
        <v>0</v>
      </c>
      <c r="V137" s="935">
        <f t="shared" si="35"/>
        <v>0</v>
      </c>
      <c r="W137" s="935">
        <f t="shared" si="35"/>
        <v>0</v>
      </c>
      <c r="X137" s="935">
        <f t="shared" si="35"/>
        <v>0</v>
      </c>
      <c r="Y137" s="935">
        <f t="shared" si="23"/>
        <v>0</v>
      </c>
      <c r="Z137" s="935">
        <f t="shared" si="24"/>
        <v>0</v>
      </c>
    </row>
    <row r="138" spans="1:26">
      <c r="A138" s="1016">
        <v>6219</v>
      </c>
      <c r="B138" s="1017" t="s">
        <v>1879</v>
      </c>
      <c r="C138" s="900"/>
      <c r="D138" s="937">
        <v>0</v>
      </c>
      <c r="E138" s="937">
        <v>0</v>
      </c>
      <c r="F138" s="937">
        <v>0</v>
      </c>
      <c r="G138" s="897">
        <v>0</v>
      </c>
      <c r="H138" s="897">
        <v>0</v>
      </c>
      <c r="I138" s="897">
        <v>0</v>
      </c>
      <c r="J138" s="897">
        <v>0</v>
      </c>
      <c r="K138" s="897">
        <v>0</v>
      </c>
      <c r="L138" s="897">
        <v>0</v>
      </c>
      <c r="M138" s="897">
        <v>0</v>
      </c>
      <c r="N138" s="897">
        <v>0</v>
      </c>
      <c r="O138" s="897">
        <v>0</v>
      </c>
      <c r="P138" s="897">
        <f t="shared" si="37"/>
        <v>0</v>
      </c>
      <c r="Q138" s="898">
        <f t="shared" si="20"/>
        <v>0</v>
      </c>
      <c r="R138" s="936">
        <f t="shared" si="38"/>
        <v>0</v>
      </c>
      <c r="S138" s="935">
        <f t="shared" ref="S138:X147" si="39">R138</f>
        <v>0</v>
      </c>
      <c r="T138" s="935">
        <f t="shared" si="39"/>
        <v>0</v>
      </c>
      <c r="U138" s="935">
        <f t="shared" si="39"/>
        <v>0</v>
      </c>
      <c r="V138" s="935">
        <f t="shared" si="39"/>
        <v>0</v>
      </c>
      <c r="W138" s="935">
        <f t="shared" si="39"/>
        <v>0</v>
      </c>
      <c r="X138" s="935">
        <f t="shared" si="39"/>
        <v>0</v>
      </c>
      <c r="Y138" s="935">
        <f t="shared" si="23"/>
        <v>0</v>
      </c>
      <c r="Z138" s="935">
        <f t="shared" si="24"/>
        <v>0</v>
      </c>
    </row>
    <row r="139" spans="1:26" hidden="1">
      <c r="A139" s="1016">
        <v>62191</v>
      </c>
      <c r="B139" s="1024" t="s">
        <v>1880</v>
      </c>
      <c r="C139" s="900"/>
      <c r="D139" s="937">
        <f t="shared" ref="D139:H140" si="40">C139/12</f>
        <v>0</v>
      </c>
      <c r="E139" s="897">
        <f t="shared" si="40"/>
        <v>0</v>
      </c>
      <c r="F139" s="897">
        <f t="shared" si="40"/>
        <v>0</v>
      </c>
      <c r="G139" s="897">
        <f t="shared" si="40"/>
        <v>0</v>
      </c>
      <c r="H139" s="897">
        <f t="shared" si="40"/>
        <v>0</v>
      </c>
      <c r="I139" s="897"/>
      <c r="J139" s="897"/>
      <c r="K139" s="897"/>
      <c r="L139" s="897"/>
      <c r="M139" s="897"/>
      <c r="N139" s="897"/>
      <c r="O139" s="897"/>
      <c r="P139" s="897">
        <f>SUM(D139:J139)</f>
        <v>0</v>
      </c>
      <c r="Q139" s="898">
        <f t="shared" si="20"/>
        <v>0</v>
      </c>
      <c r="R139" s="936">
        <f>Q139/7</f>
        <v>0</v>
      </c>
      <c r="S139" s="935">
        <f t="shared" si="39"/>
        <v>0</v>
      </c>
      <c r="T139" s="935">
        <f t="shared" si="39"/>
        <v>0</v>
      </c>
      <c r="U139" s="935">
        <f t="shared" si="39"/>
        <v>0</v>
      </c>
      <c r="V139" s="935">
        <f t="shared" si="39"/>
        <v>0</v>
      </c>
      <c r="W139" s="935">
        <f t="shared" si="39"/>
        <v>0</v>
      </c>
      <c r="X139" s="935">
        <f t="shared" si="39"/>
        <v>0</v>
      </c>
      <c r="Y139" s="935">
        <f t="shared" si="23"/>
        <v>0</v>
      </c>
      <c r="Z139" s="935">
        <f t="shared" si="24"/>
        <v>0</v>
      </c>
    </row>
    <row r="140" spans="1:26" hidden="1">
      <c r="A140" s="1016">
        <v>62199</v>
      </c>
      <c r="B140" s="1024" t="s">
        <v>852</v>
      </c>
      <c r="C140" s="900"/>
      <c r="D140" s="937">
        <f t="shared" si="40"/>
        <v>0</v>
      </c>
      <c r="E140" s="897">
        <f t="shared" si="40"/>
        <v>0</v>
      </c>
      <c r="F140" s="897">
        <f t="shared" si="40"/>
        <v>0</v>
      </c>
      <c r="G140" s="897">
        <f t="shared" si="40"/>
        <v>0</v>
      </c>
      <c r="H140" s="897">
        <f t="shared" si="40"/>
        <v>0</v>
      </c>
      <c r="I140" s="897"/>
      <c r="J140" s="897"/>
      <c r="K140" s="897"/>
      <c r="L140" s="897"/>
      <c r="M140" s="897"/>
      <c r="N140" s="897"/>
      <c r="O140" s="897"/>
      <c r="P140" s="897">
        <f>SUM(D140:J140)</f>
        <v>0</v>
      </c>
      <c r="Q140" s="898">
        <f t="shared" si="20"/>
        <v>0</v>
      </c>
      <c r="R140" s="936">
        <f>Q140/7</f>
        <v>0</v>
      </c>
      <c r="S140" s="935">
        <f t="shared" si="39"/>
        <v>0</v>
      </c>
      <c r="T140" s="935">
        <f t="shared" si="39"/>
        <v>0</v>
      </c>
      <c r="U140" s="935">
        <f t="shared" si="39"/>
        <v>0</v>
      </c>
      <c r="V140" s="935">
        <f t="shared" si="39"/>
        <v>0</v>
      </c>
      <c r="W140" s="935">
        <f t="shared" si="39"/>
        <v>0</v>
      </c>
      <c r="X140" s="935">
        <f t="shared" si="39"/>
        <v>0</v>
      </c>
      <c r="Y140" s="935">
        <f t="shared" si="23"/>
        <v>0</v>
      </c>
      <c r="Z140" s="935">
        <f t="shared" si="24"/>
        <v>0</v>
      </c>
    </row>
    <row r="141" spans="1:26" ht="13.5">
      <c r="A141" s="1023">
        <v>622</v>
      </c>
      <c r="B141" s="1022" t="s">
        <v>1881</v>
      </c>
      <c r="C141" s="1028">
        <f t="shared" ref="C141:M141" si="41">C142+C146</f>
        <v>0</v>
      </c>
      <c r="D141" s="1021">
        <f t="shared" si="41"/>
        <v>0</v>
      </c>
      <c r="E141" s="1020">
        <f t="shared" si="41"/>
        <v>0</v>
      </c>
      <c r="F141" s="1020">
        <f t="shared" si="41"/>
        <v>0</v>
      </c>
      <c r="G141" s="1020">
        <f t="shared" si="41"/>
        <v>0</v>
      </c>
      <c r="H141" s="1020">
        <f t="shared" si="41"/>
        <v>0</v>
      </c>
      <c r="I141" s="1020">
        <f t="shared" si="41"/>
        <v>0</v>
      </c>
      <c r="J141" s="1020">
        <f t="shared" si="41"/>
        <v>0</v>
      </c>
      <c r="K141" s="1020">
        <f t="shared" si="41"/>
        <v>0</v>
      </c>
      <c r="L141" s="1020">
        <f t="shared" si="41"/>
        <v>0</v>
      </c>
      <c r="M141" s="1020">
        <f t="shared" si="41"/>
        <v>0</v>
      </c>
      <c r="N141" s="1020">
        <f>N142+N146</f>
        <v>0</v>
      </c>
      <c r="O141" s="1020">
        <f>O142+O146</f>
        <v>0</v>
      </c>
      <c r="P141" s="1020">
        <f>SUM(D141:O141)</f>
        <v>0</v>
      </c>
      <c r="Q141" s="1019">
        <f t="shared" si="20"/>
        <v>0</v>
      </c>
      <c r="R141" s="988">
        <f>R142+R146</f>
        <v>0</v>
      </c>
      <c r="S141" s="959">
        <f t="shared" si="39"/>
        <v>0</v>
      </c>
      <c r="T141" s="959">
        <f t="shared" si="39"/>
        <v>0</v>
      </c>
      <c r="U141" s="959">
        <f t="shared" si="39"/>
        <v>0</v>
      </c>
      <c r="V141" s="959">
        <f t="shared" si="39"/>
        <v>0</v>
      </c>
      <c r="W141" s="959">
        <f t="shared" si="39"/>
        <v>0</v>
      </c>
      <c r="X141" s="959">
        <f t="shared" si="39"/>
        <v>0</v>
      </c>
      <c r="Y141" s="959">
        <f t="shared" si="23"/>
        <v>0</v>
      </c>
      <c r="Z141" s="959">
        <f t="shared" si="24"/>
        <v>0</v>
      </c>
    </row>
    <row r="142" spans="1:26">
      <c r="A142" s="1027">
        <v>6221</v>
      </c>
      <c r="B142" s="1026" t="s">
        <v>1882</v>
      </c>
      <c r="C142" s="1025"/>
      <c r="D142" s="925">
        <v>0</v>
      </c>
      <c r="E142" s="924">
        <v>0</v>
      </c>
      <c r="F142" s="924">
        <v>0</v>
      </c>
      <c r="G142" s="924">
        <v>0</v>
      </c>
      <c r="H142" s="924">
        <v>0</v>
      </c>
      <c r="I142" s="924">
        <v>0</v>
      </c>
      <c r="J142" s="924">
        <v>0</v>
      </c>
      <c r="K142" s="924">
        <v>0</v>
      </c>
      <c r="L142" s="924">
        <v>0</v>
      </c>
      <c r="M142" s="924">
        <v>0</v>
      </c>
      <c r="N142" s="924">
        <v>0</v>
      </c>
      <c r="O142" s="924"/>
      <c r="P142" s="924">
        <f>SUM(D142:O142)</f>
        <v>0</v>
      </c>
      <c r="Q142" s="923">
        <f t="shared" si="20"/>
        <v>0</v>
      </c>
      <c r="R142" s="936">
        <f>P142/5</f>
        <v>0</v>
      </c>
      <c r="S142" s="935">
        <f t="shared" si="39"/>
        <v>0</v>
      </c>
      <c r="T142" s="935">
        <f t="shared" si="39"/>
        <v>0</v>
      </c>
      <c r="U142" s="935">
        <f t="shared" si="39"/>
        <v>0</v>
      </c>
      <c r="V142" s="935">
        <f t="shared" si="39"/>
        <v>0</v>
      </c>
      <c r="W142" s="935">
        <f t="shared" si="39"/>
        <v>0</v>
      </c>
      <c r="X142" s="935">
        <f t="shared" si="39"/>
        <v>0</v>
      </c>
      <c r="Y142" s="935">
        <f t="shared" si="23"/>
        <v>0</v>
      </c>
      <c r="Z142" s="935">
        <f t="shared" si="24"/>
        <v>0</v>
      </c>
    </row>
    <row r="143" spans="1:26" hidden="1">
      <c r="A143" s="1016">
        <v>62211</v>
      </c>
      <c r="B143" s="1024" t="s">
        <v>1883</v>
      </c>
      <c r="C143" s="900"/>
      <c r="D143" s="937"/>
      <c r="E143" s="897"/>
      <c r="F143" s="897"/>
      <c r="G143" s="897"/>
      <c r="H143" s="897"/>
      <c r="I143" s="897"/>
      <c r="J143" s="897"/>
      <c r="K143" s="897"/>
      <c r="L143" s="897"/>
      <c r="M143" s="897"/>
      <c r="N143" s="897"/>
      <c r="O143" s="897"/>
      <c r="P143" s="897">
        <f>SUM(D143:J143)</f>
        <v>0</v>
      </c>
      <c r="Q143" s="898">
        <f t="shared" si="20"/>
        <v>0</v>
      </c>
      <c r="R143" s="936">
        <f>P143/5</f>
        <v>0</v>
      </c>
      <c r="S143" s="935">
        <f t="shared" si="39"/>
        <v>0</v>
      </c>
      <c r="T143" s="935">
        <f t="shared" si="39"/>
        <v>0</v>
      </c>
      <c r="U143" s="935">
        <f t="shared" si="39"/>
        <v>0</v>
      </c>
      <c r="V143" s="935">
        <f t="shared" si="39"/>
        <v>0</v>
      </c>
      <c r="W143" s="935">
        <f t="shared" si="39"/>
        <v>0</v>
      </c>
      <c r="X143" s="935">
        <f t="shared" si="39"/>
        <v>0</v>
      </c>
      <c r="Y143" s="935">
        <f t="shared" si="23"/>
        <v>0</v>
      </c>
      <c r="Z143" s="935">
        <f t="shared" si="24"/>
        <v>0</v>
      </c>
    </row>
    <row r="144" spans="1:26" hidden="1">
      <c r="A144" s="1016">
        <v>62212</v>
      </c>
      <c r="B144" s="1024" t="s">
        <v>1884</v>
      </c>
      <c r="C144" s="900"/>
      <c r="D144" s="937"/>
      <c r="E144" s="897"/>
      <c r="F144" s="897"/>
      <c r="G144" s="897"/>
      <c r="H144" s="897"/>
      <c r="I144" s="897"/>
      <c r="J144" s="897"/>
      <c r="K144" s="897"/>
      <c r="L144" s="897"/>
      <c r="M144" s="897"/>
      <c r="N144" s="897"/>
      <c r="O144" s="897"/>
      <c r="P144" s="897">
        <f>SUM(D144:J144)</f>
        <v>0</v>
      </c>
      <c r="Q144" s="898">
        <f t="shared" si="20"/>
        <v>0</v>
      </c>
      <c r="R144" s="936">
        <f>P144/5</f>
        <v>0</v>
      </c>
      <c r="S144" s="935">
        <f t="shared" si="39"/>
        <v>0</v>
      </c>
      <c r="T144" s="935">
        <f t="shared" si="39"/>
        <v>0</v>
      </c>
      <c r="U144" s="935">
        <f t="shared" si="39"/>
        <v>0</v>
      </c>
      <c r="V144" s="935">
        <f t="shared" si="39"/>
        <v>0</v>
      </c>
      <c r="W144" s="935">
        <f t="shared" si="39"/>
        <v>0</v>
      </c>
      <c r="X144" s="935">
        <f t="shared" si="39"/>
        <v>0</v>
      </c>
      <c r="Y144" s="935">
        <f t="shared" si="23"/>
        <v>0</v>
      </c>
      <c r="Z144" s="935">
        <f t="shared" si="24"/>
        <v>0</v>
      </c>
    </row>
    <row r="145" spans="1:26" hidden="1">
      <c r="A145" s="1016">
        <v>62219</v>
      </c>
      <c r="B145" s="1024" t="s">
        <v>1885</v>
      </c>
      <c r="C145" s="900"/>
      <c r="D145" s="937"/>
      <c r="E145" s="897"/>
      <c r="F145" s="897"/>
      <c r="G145" s="897"/>
      <c r="H145" s="897"/>
      <c r="I145" s="897"/>
      <c r="J145" s="897"/>
      <c r="K145" s="897"/>
      <c r="L145" s="897"/>
      <c r="M145" s="897"/>
      <c r="N145" s="897"/>
      <c r="O145" s="897"/>
      <c r="P145" s="897">
        <f>SUM(D145:H145)</f>
        <v>0</v>
      </c>
      <c r="Q145" s="898">
        <f t="shared" ref="Q145:Q208" si="42">C145-P145</f>
        <v>0</v>
      </c>
      <c r="R145" s="936">
        <f>P145/5</f>
        <v>0</v>
      </c>
      <c r="S145" s="935">
        <f t="shared" si="39"/>
        <v>0</v>
      </c>
      <c r="T145" s="935">
        <f t="shared" si="39"/>
        <v>0</v>
      </c>
      <c r="U145" s="935">
        <f t="shared" si="39"/>
        <v>0</v>
      </c>
      <c r="V145" s="935">
        <f t="shared" si="39"/>
        <v>0</v>
      </c>
      <c r="W145" s="935">
        <f t="shared" si="39"/>
        <v>0</v>
      </c>
      <c r="X145" s="935">
        <f t="shared" si="39"/>
        <v>0</v>
      </c>
      <c r="Y145" s="935">
        <f t="shared" si="23"/>
        <v>0</v>
      </c>
      <c r="Z145" s="935">
        <f t="shared" si="24"/>
        <v>0</v>
      </c>
    </row>
    <row r="146" spans="1:26">
      <c r="A146" s="1016">
        <v>6222</v>
      </c>
      <c r="B146" s="1017" t="s">
        <v>1886</v>
      </c>
      <c r="C146" s="900"/>
      <c r="D146" s="937">
        <v>0</v>
      </c>
      <c r="E146" s="897">
        <v>0</v>
      </c>
      <c r="F146" s="897">
        <v>0</v>
      </c>
      <c r="G146" s="897">
        <v>0</v>
      </c>
      <c r="H146" s="897">
        <v>0</v>
      </c>
      <c r="I146" s="897">
        <v>0</v>
      </c>
      <c r="J146" s="897">
        <v>0</v>
      </c>
      <c r="K146" s="897">
        <v>0</v>
      </c>
      <c r="L146" s="897">
        <v>0</v>
      </c>
      <c r="M146" s="897">
        <v>0</v>
      </c>
      <c r="N146" s="897">
        <v>0</v>
      </c>
      <c r="O146" s="897">
        <v>0</v>
      </c>
      <c r="P146" s="897">
        <f>SUM(D146:O146)</f>
        <v>0</v>
      </c>
      <c r="Q146" s="898">
        <f t="shared" si="42"/>
        <v>0</v>
      </c>
      <c r="R146" s="936">
        <f>P146/5</f>
        <v>0</v>
      </c>
      <c r="S146" s="935">
        <f t="shared" si="39"/>
        <v>0</v>
      </c>
      <c r="T146" s="935">
        <f t="shared" si="39"/>
        <v>0</v>
      </c>
      <c r="U146" s="935">
        <f t="shared" si="39"/>
        <v>0</v>
      </c>
      <c r="V146" s="935">
        <f t="shared" si="39"/>
        <v>0</v>
      </c>
      <c r="W146" s="935">
        <f t="shared" si="39"/>
        <v>0</v>
      </c>
      <c r="X146" s="935">
        <f t="shared" si="39"/>
        <v>0</v>
      </c>
      <c r="Y146" s="935">
        <f t="shared" si="23"/>
        <v>0</v>
      </c>
      <c r="Z146" s="935">
        <f t="shared" si="24"/>
        <v>0</v>
      </c>
    </row>
    <row r="147" spans="1:26" hidden="1">
      <c r="A147" s="1016">
        <v>62221</v>
      </c>
      <c r="B147" s="1024" t="s">
        <v>1887</v>
      </c>
      <c r="C147" s="900"/>
      <c r="D147" s="937">
        <f t="shared" ref="D147:H150" si="43">C147/12</f>
        <v>0</v>
      </c>
      <c r="E147" s="897">
        <f t="shared" si="43"/>
        <v>0</v>
      </c>
      <c r="F147" s="897">
        <f t="shared" si="43"/>
        <v>0</v>
      </c>
      <c r="G147" s="897">
        <f t="shared" si="43"/>
        <v>0</v>
      </c>
      <c r="H147" s="897">
        <f t="shared" si="43"/>
        <v>0</v>
      </c>
      <c r="I147" s="897"/>
      <c r="J147" s="897"/>
      <c r="K147" s="897"/>
      <c r="L147" s="897"/>
      <c r="M147" s="897"/>
      <c r="N147" s="897"/>
      <c r="O147" s="897"/>
      <c r="P147" s="897">
        <f>SUM(D147:H147)</f>
        <v>0</v>
      </c>
      <c r="Q147" s="898">
        <f t="shared" si="42"/>
        <v>0</v>
      </c>
      <c r="R147" s="936">
        <f>Q147/7</f>
        <v>0</v>
      </c>
      <c r="S147" s="935">
        <f t="shared" si="39"/>
        <v>0</v>
      </c>
      <c r="T147" s="935">
        <f t="shared" si="39"/>
        <v>0</v>
      </c>
      <c r="U147" s="935">
        <f t="shared" si="39"/>
        <v>0</v>
      </c>
      <c r="V147" s="935">
        <f t="shared" si="39"/>
        <v>0</v>
      </c>
      <c r="W147" s="935">
        <f t="shared" si="39"/>
        <v>0</v>
      </c>
      <c r="X147" s="935">
        <f t="shared" si="39"/>
        <v>0</v>
      </c>
      <c r="Y147" s="935">
        <f t="shared" si="23"/>
        <v>0</v>
      </c>
      <c r="Z147" s="935">
        <f t="shared" si="24"/>
        <v>0</v>
      </c>
    </row>
    <row r="148" spans="1:26" hidden="1">
      <c r="A148" s="1016">
        <v>62229</v>
      </c>
      <c r="B148" s="1024" t="s">
        <v>1888</v>
      </c>
      <c r="C148" s="900"/>
      <c r="D148" s="937">
        <f t="shared" si="43"/>
        <v>0</v>
      </c>
      <c r="E148" s="897">
        <f t="shared" si="43"/>
        <v>0</v>
      </c>
      <c r="F148" s="897">
        <f t="shared" si="43"/>
        <v>0</v>
      </c>
      <c r="G148" s="897">
        <f t="shared" si="43"/>
        <v>0</v>
      </c>
      <c r="H148" s="897">
        <f t="shared" si="43"/>
        <v>0</v>
      </c>
      <c r="I148" s="897"/>
      <c r="J148" s="897"/>
      <c r="K148" s="897"/>
      <c r="L148" s="897"/>
      <c r="M148" s="897"/>
      <c r="N148" s="897"/>
      <c r="O148" s="897"/>
      <c r="P148" s="897">
        <f>SUM(D148:H148)</f>
        <v>0</v>
      </c>
      <c r="Q148" s="898">
        <f t="shared" si="42"/>
        <v>0</v>
      </c>
      <c r="R148" s="936">
        <f>Q148/7</f>
        <v>0</v>
      </c>
      <c r="S148" s="935">
        <f t="shared" ref="S148:X157" si="44">R148</f>
        <v>0</v>
      </c>
      <c r="T148" s="935">
        <f t="shared" si="44"/>
        <v>0</v>
      </c>
      <c r="U148" s="935">
        <f t="shared" si="44"/>
        <v>0</v>
      </c>
      <c r="V148" s="935">
        <f t="shared" si="44"/>
        <v>0</v>
      </c>
      <c r="W148" s="935">
        <f t="shared" si="44"/>
        <v>0</v>
      </c>
      <c r="X148" s="935">
        <f t="shared" si="44"/>
        <v>0</v>
      </c>
      <c r="Y148" s="935">
        <f t="shared" si="23"/>
        <v>0</v>
      </c>
      <c r="Z148" s="935">
        <f t="shared" si="24"/>
        <v>0</v>
      </c>
    </row>
    <row r="149" spans="1:26" hidden="1">
      <c r="A149" s="951">
        <v>623</v>
      </c>
      <c r="B149" s="992" t="s">
        <v>1889</v>
      </c>
      <c r="C149" s="900"/>
      <c r="D149" s="937">
        <f t="shared" si="43"/>
        <v>0</v>
      </c>
      <c r="E149" s="897">
        <f t="shared" si="43"/>
        <v>0</v>
      </c>
      <c r="F149" s="897">
        <f t="shared" si="43"/>
        <v>0</v>
      </c>
      <c r="G149" s="897">
        <f t="shared" si="43"/>
        <v>0</v>
      </c>
      <c r="H149" s="897">
        <f t="shared" si="43"/>
        <v>0</v>
      </c>
      <c r="I149" s="897"/>
      <c r="J149" s="897"/>
      <c r="K149" s="897"/>
      <c r="L149" s="897"/>
      <c r="M149" s="897"/>
      <c r="N149" s="897"/>
      <c r="O149" s="897"/>
      <c r="P149" s="897">
        <f>SUM(D149:H149)</f>
        <v>0</v>
      </c>
      <c r="Q149" s="898">
        <f t="shared" si="42"/>
        <v>0</v>
      </c>
      <c r="R149" s="936">
        <f>Q149/7</f>
        <v>0</v>
      </c>
      <c r="S149" s="935">
        <f t="shared" si="44"/>
        <v>0</v>
      </c>
      <c r="T149" s="935">
        <f t="shared" si="44"/>
        <v>0</v>
      </c>
      <c r="U149" s="935">
        <f t="shared" si="44"/>
        <v>0</v>
      </c>
      <c r="V149" s="935">
        <f t="shared" si="44"/>
        <v>0</v>
      </c>
      <c r="W149" s="935">
        <f t="shared" si="44"/>
        <v>0</v>
      </c>
      <c r="X149" s="935">
        <f t="shared" si="44"/>
        <v>0</v>
      </c>
      <c r="Y149" s="935">
        <f t="shared" si="23"/>
        <v>0</v>
      </c>
      <c r="Z149" s="935">
        <f t="shared" si="24"/>
        <v>0</v>
      </c>
    </row>
    <row r="150" spans="1:26" hidden="1">
      <c r="A150" s="1016"/>
      <c r="B150" s="1024"/>
      <c r="C150" s="900"/>
      <c r="D150" s="937">
        <f t="shared" si="43"/>
        <v>0</v>
      </c>
      <c r="E150" s="897">
        <f t="shared" si="43"/>
        <v>0</v>
      </c>
      <c r="F150" s="897">
        <f t="shared" si="43"/>
        <v>0</v>
      </c>
      <c r="G150" s="897">
        <f t="shared" si="43"/>
        <v>0</v>
      </c>
      <c r="H150" s="897">
        <f t="shared" si="43"/>
        <v>0</v>
      </c>
      <c r="I150" s="897"/>
      <c r="J150" s="897"/>
      <c r="K150" s="897"/>
      <c r="L150" s="897"/>
      <c r="M150" s="897"/>
      <c r="N150" s="897"/>
      <c r="O150" s="897"/>
      <c r="P150" s="897">
        <f>SUM(D150:H150)</f>
        <v>0</v>
      </c>
      <c r="Q150" s="898">
        <f t="shared" si="42"/>
        <v>0</v>
      </c>
      <c r="R150" s="936">
        <f>Q150/7</f>
        <v>0</v>
      </c>
      <c r="S150" s="935">
        <f t="shared" si="44"/>
        <v>0</v>
      </c>
      <c r="T150" s="935">
        <f t="shared" si="44"/>
        <v>0</v>
      </c>
      <c r="U150" s="935">
        <f t="shared" si="44"/>
        <v>0</v>
      </c>
      <c r="V150" s="935">
        <f t="shared" si="44"/>
        <v>0</v>
      </c>
      <c r="W150" s="935">
        <f t="shared" si="44"/>
        <v>0</v>
      </c>
      <c r="X150" s="935">
        <f t="shared" si="44"/>
        <v>0</v>
      </c>
      <c r="Y150" s="935">
        <f t="shared" si="23"/>
        <v>0</v>
      </c>
      <c r="Z150" s="935">
        <f t="shared" si="24"/>
        <v>0</v>
      </c>
    </row>
    <row r="151" spans="1:26" ht="13.5">
      <c r="A151" s="945">
        <v>624</v>
      </c>
      <c r="B151" s="944" t="s">
        <v>1890</v>
      </c>
      <c r="C151" s="912">
        <f t="shared" ref="C151:P151" si="45">C152</f>
        <v>0</v>
      </c>
      <c r="D151" s="943">
        <f t="shared" si="45"/>
        <v>0</v>
      </c>
      <c r="E151" s="908">
        <f t="shared" si="45"/>
        <v>0</v>
      </c>
      <c r="F151" s="908">
        <f t="shared" si="45"/>
        <v>0</v>
      </c>
      <c r="G151" s="908">
        <f t="shared" si="45"/>
        <v>0</v>
      </c>
      <c r="H151" s="908">
        <f t="shared" si="45"/>
        <v>0</v>
      </c>
      <c r="I151" s="908">
        <f t="shared" si="45"/>
        <v>0</v>
      </c>
      <c r="J151" s="908">
        <f t="shared" si="45"/>
        <v>0</v>
      </c>
      <c r="K151" s="908">
        <f t="shared" si="45"/>
        <v>0</v>
      </c>
      <c r="L151" s="908">
        <f t="shared" si="45"/>
        <v>0</v>
      </c>
      <c r="M151" s="908">
        <f t="shared" si="45"/>
        <v>0</v>
      </c>
      <c r="N151" s="908">
        <f t="shared" si="45"/>
        <v>0</v>
      </c>
      <c r="O151" s="908">
        <f t="shared" si="45"/>
        <v>0</v>
      </c>
      <c r="P151" s="908">
        <f t="shared" si="45"/>
        <v>0</v>
      </c>
      <c r="Q151" s="909">
        <f t="shared" si="42"/>
        <v>0</v>
      </c>
      <c r="R151" s="988">
        <f>R152</f>
        <v>0</v>
      </c>
      <c r="S151" s="959">
        <f t="shared" si="44"/>
        <v>0</v>
      </c>
      <c r="T151" s="959">
        <f t="shared" si="44"/>
        <v>0</v>
      </c>
      <c r="U151" s="959">
        <f t="shared" si="44"/>
        <v>0</v>
      </c>
      <c r="V151" s="959">
        <f t="shared" si="44"/>
        <v>0</v>
      </c>
      <c r="W151" s="959">
        <f t="shared" si="44"/>
        <v>0</v>
      </c>
      <c r="X151" s="959">
        <f t="shared" si="44"/>
        <v>0</v>
      </c>
      <c r="Y151" s="959">
        <f t="shared" si="23"/>
        <v>0</v>
      </c>
      <c r="Z151" s="959">
        <f t="shared" si="24"/>
        <v>0</v>
      </c>
    </row>
    <row r="152" spans="1:26">
      <c r="A152" s="1016">
        <v>6241</v>
      </c>
      <c r="B152" s="1017" t="s">
        <v>1890</v>
      </c>
      <c r="C152" s="900"/>
      <c r="D152" s="937">
        <v>0</v>
      </c>
      <c r="E152" s="897">
        <v>0</v>
      </c>
      <c r="F152" s="897">
        <v>0</v>
      </c>
      <c r="G152" s="897">
        <v>0</v>
      </c>
      <c r="H152" s="897">
        <v>0</v>
      </c>
      <c r="I152" s="897">
        <v>0</v>
      </c>
      <c r="J152" s="897">
        <v>0</v>
      </c>
      <c r="K152" s="897">
        <v>0</v>
      </c>
      <c r="L152" s="897">
        <v>0</v>
      </c>
      <c r="M152" s="897">
        <v>0</v>
      </c>
      <c r="N152" s="897">
        <v>0</v>
      </c>
      <c r="O152" s="897">
        <v>0</v>
      </c>
      <c r="P152" s="897">
        <f>SUM(D152:O152)</f>
        <v>0</v>
      </c>
      <c r="Q152" s="898">
        <f t="shared" si="42"/>
        <v>0</v>
      </c>
      <c r="R152" s="936">
        <f>P152/5</f>
        <v>0</v>
      </c>
      <c r="S152" s="935">
        <f t="shared" si="44"/>
        <v>0</v>
      </c>
      <c r="T152" s="935">
        <f t="shared" si="44"/>
        <v>0</v>
      </c>
      <c r="U152" s="935">
        <f t="shared" si="44"/>
        <v>0</v>
      </c>
      <c r="V152" s="935">
        <f t="shared" si="44"/>
        <v>0</v>
      </c>
      <c r="W152" s="935">
        <f t="shared" si="44"/>
        <v>0</v>
      </c>
      <c r="X152" s="935">
        <f t="shared" si="44"/>
        <v>0</v>
      </c>
      <c r="Y152" s="935">
        <f t="shared" si="23"/>
        <v>0</v>
      </c>
      <c r="Z152" s="935">
        <f t="shared" si="24"/>
        <v>0</v>
      </c>
    </row>
    <row r="153" spans="1:26" hidden="1">
      <c r="A153" s="951">
        <v>625</v>
      </c>
      <c r="B153" s="992" t="s">
        <v>1891</v>
      </c>
      <c r="C153" s="897"/>
      <c r="D153" s="937">
        <f t="shared" ref="D153:H154" si="46">C153/12</f>
        <v>0</v>
      </c>
      <c r="E153" s="897">
        <f t="shared" si="46"/>
        <v>0</v>
      </c>
      <c r="F153" s="897">
        <f t="shared" si="46"/>
        <v>0</v>
      </c>
      <c r="G153" s="897">
        <f t="shared" si="46"/>
        <v>0</v>
      </c>
      <c r="H153" s="897">
        <f t="shared" si="46"/>
        <v>0</v>
      </c>
      <c r="I153" s="897"/>
      <c r="J153" s="897"/>
      <c r="K153" s="897"/>
      <c r="L153" s="897"/>
      <c r="M153" s="897"/>
      <c r="N153" s="897"/>
      <c r="O153" s="897"/>
      <c r="P153" s="897">
        <f>SUM(D153:H153)</f>
        <v>0</v>
      </c>
      <c r="Q153" s="898">
        <f t="shared" si="42"/>
        <v>0</v>
      </c>
      <c r="R153" s="936">
        <f>Q153/7</f>
        <v>0</v>
      </c>
      <c r="S153" s="935">
        <f t="shared" si="44"/>
        <v>0</v>
      </c>
      <c r="T153" s="935">
        <f t="shared" si="44"/>
        <v>0</v>
      </c>
      <c r="U153" s="935">
        <f t="shared" si="44"/>
        <v>0</v>
      </c>
      <c r="V153" s="935">
        <f t="shared" si="44"/>
        <v>0</v>
      </c>
      <c r="W153" s="935">
        <f t="shared" si="44"/>
        <v>0</v>
      </c>
      <c r="X153" s="935">
        <f t="shared" si="44"/>
        <v>0</v>
      </c>
      <c r="Y153" s="935">
        <f t="shared" si="23"/>
        <v>0</v>
      </c>
      <c r="Z153" s="935">
        <f t="shared" si="24"/>
        <v>0</v>
      </c>
    </row>
    <row r="154" spans="1:26" hidden="1">
      <c r="A154" s="1016"/>
      <c r="B154" s="1017" t="s">
        <v>1892</v>
      </c>
      <c r="C154" s="897"/>
      <c r="D154" s="937">
        <f t="shared" si="46"/>
        <v>0</v>
      </c>
      <c r="E154" s="897">
        <f t="shared" si="46"/>
        <v>0</v>
      </c>
      <c r="F154" s="897">
        <f t="shared" si="46"/>
        <v>0</v>
      </c>
      <c r="G154" s="897">
        <f t="shared" si="46"/>
        <v>0</v>
      </c>
      <c r="H154" s="897">
        <f t="shared" si="46"/>
        <v>0</v>
      </c>
      <c r="I154" s="897"/>
      <c r="J154" s="897"/>
      <c r="K154" s="897"/>
      <c r="L154" s="897"/>
      <c r="M154" s="897"/>
      <c r="N154" s="897"/>
      <c r="O154" s="897"/>
      <c r="P154" s="897">
        <f>SUM(D154:H154)</f>
        <v>0</v>
      </c>
      <c r="Q154" s="898">
        <f t="shared" si="42"/>
        <v>0</v>
      </c>
      <c r="R154" s="936">
        <f>Q154/7</f>
        <v>0</v>
      </c>
      <c r="S154" s="935">
        <f t="shared" si="44"/>
        <v>0</v>
      </c>
      <c r="T154" s="935">
        <f t="shared" si="44"/>
        <v>0</v>
      </c>
      <c r="U154" s="935">
        <f t="shared" si="44"/>
        <v>0</v>
      </c>
      <c r="V154" s="935">
        <f t="shared" si="44"/>
        <v>0</v>
      </c>
      <c r="W154" s="935">
        <f t="shared" si="44"/>
        <v>0</v>
      </c>
      <c r="X154" s="935">
        <f t="shared" si="44"/>
        <v>0</v>
      </c>
      <c r="Y154" s="935">
        <f t="shared" si="23"/>
        <v>0</v>
      </c>
      <c r="Z154" s="935">
        <f t="shared" si="24"/>
        <v>0</v>
      </c>
    </row>
    <row r="155" spans="1:26" ht="13.5">
      <c r="A155" s="945">
        <v>626</v>
      </c>
      <c r="B155" s="944" t="s">
        <v>1893</v>
      </c>
      <c r="C155" s="908">
        <f t="shared" ref="C155:M155" si="47">C156+C157</f>
        <v>0</v>
      </c>
      <c r="D155" s="908">
        <f t="shared" si="47"/>
        <v>0</v>
      </c>
      <c r="E155" s="908">
        <f t="shared" si="47"/>
        <v>0</v>
      </c>
      <c r="F155" s="908">
        <f t="shared" si="47"/>
        <v>0</v>
      </c>
      <c r="G155" s="908">
        <f t="shared" si="47"/>
        <v>0</v>
      </c>
      <c r="H155" s="908">
        <f t="shared" si="47"/>
        <v>0</v>
      </c>
      <c r="I155" s="908">
        <f t="shared" si="47"/>
        <v>0</v>
      </c>
      <c r="J155" s="908">
        <f t="shared" si="47"/>
        <v>0</v>
      </c>
      <c r="K155" s="908">
        <f t="shared" si="47"/>
        <v>0</v>
      </c>
      <c r="L155" s="908">
        <f t="shared" si="47"/>
        <v>0</v>
      </c>
      <c r="M155" s="908">
        <f t="shared" si="47"/>
        <v>0</v>
      </c>
      <c r="N155" s="908">
        <f>N156+N157</f>
        <v>0</v>
      </c>
      <c r="O155" s="908">
        <f>O156+O157</f>
        <v>0</v>
      </c>
      <c r="P155" s="908">
        <f>P156+P157</f>
        <v>0</v>
      </c>
      <c r="Q155" s="909">
        <f t="shared" si="42"/>
        <v>0</v>
      </c>
      <c r="R155" s="988">
        <f>R156+R157</f>
        <v>0</v>
      </c>
      <c r="S155" s="959">
        <f t="shared" si="44"/>
        <v>0</v>
      </c>
      <c r="T155" s="959">
        <f t="shared" si="44"/>
        <v>0</v>
      </c>
      <c r="U155" s="959">
        <f t="shared" si="44"/>
        <v>0</v>
      </c>
      <c r="V155" s="959">
        <f t="shared" si="44"/>
        <v>0</v>
      </c>
      <c r="W155" s="959">
        <f t="shared" si="44"/>
        <v>0</v>
      </c>
      <c r="X155" s="959">
        <f t="shared" si="44"/>
        <v>0</v>
      </c>
      <c r="Y155" s="959">
        <f t="shared" si="23"/>
        <v>0</v>
      </c>
      <c r="Z155" s="959">
        <f t="shared" si="24"/>
        <v>0</v>
      </c>
    </row>
    <row r="156" spans="1:26">
      <c r="A156" s="1016">
        <v>6261</v>
      </c>
      <c r="B156" s="1017" t="s">
        <v>1894</v>
      </c>
      <c r="C156" s="897"/>
      <c r="D156" s="897">
        <v>0</v>
      </c>
      <c r="E156" s="897">
        <v>0</v>
      </c>
      <c r="F156" s="897">
        <v>0</v>
      </c>
      <c r="G156" s="897">
        <v>0</v>
      </c>
      <c r="H156" s="897">
        <v>0</v>
      </c>
      <c r="I156" s="897">
        <v>0</v>
      </c>
      <c r="J156" s="897">
        <v>0</v>
      </c>
      <c r="K156" s="897"/>
      <c r="L156" s="897"/>
      <c r="M156" s="897"/>
      <c r="N156" s="897"/>
      <c r="O156" s="897">
        <v>0</v>
      </c>
      <c r="P156" s="897">
        <f>SUM(D156:O156)</f>
        <v>0</v>
      </c>
      <c r="Q156" s="898">
        <f t="shared" si="42"/>
        <v>0</v>
      </c>
      <c r="R156" s="936">
        <f>P156/5</f>
        <v>0</v>
      </c>
      <c r="S156" s="935">
        <f t="shared" si="44"/>
        <v>0</v>
      </c>
      <c r="T156" s="935">
        <f t="shared" si="44"/>
        <v>0</v>
      </c>
      <c r="U156" s="935">
        <f t="shared" si="44"/>
        <v>0</v>
      </c>
      <c r="V156" s="935">
        <f t="shared" si="44"/>
        <v>0</v>
      </c>
      <c r="W156" s="935">
        <f t="shared" si="44"/>
        <v>0</v>
      </c>
      <c r="X156" s="935">
        <f t="shared" si="44"/>
        <v>0</v>
      </c>
      <c r="Y156" s="935">
        <f t="shared" si="23"/>
        <v>0</v>
      </c>
      <c r="Z156" s="935">
        <f t="shared" si="24"/>
        <v>0</v>
      </c>
    </row>
    <row r="157" spans="1:26">
      <c r="A157" s="1016">
        <v>6265</v>
      </c>
      <c r="B157" s="1017" t="s">
        <v>1895</v>
      </c>
      <c r="C157" s="897"/>
      <c r="D157" s="937">
        <v>0</v>
      </c>
      <c r="E157" s="897">
        <v>0</v>
      </c>
      <c r="F157" s="897">
        <v>0</v>
      </c>
      <c r="G157" s="897">
        <v>0</v>
      </c>
      <c r="H157" s="897">
        <v>0</v>
      </c>
      <c r="I157" s="897">
        <v>0</v>
      </c>
      <c r="J157" s="897">
        <v>0</v>
      </c>
      <c r="K157" s="897"/>
      <c r="L157" s="897">
        <v>0</v>
      </c>
      <c r="M157" s="897">
        <v>0</v>
      </c>
      <c r="N157" s="897">
        <v>0</v>
      </c>
      <c r="O157" s="897">
        <v>0</v>
      </c>
      <c r="P157" s="897">
        <f>SUM(D157:O157)</f>
        <v>0</v>
      </c>
      <c r="Q157" s="898">
        <f t="shared" si="42"/>
        <v>0</v>
      </c>
      <c r="R157" s="936">
        <f>P157/5</f>
        <v>0</v>
      </c>
      <c r="S157" s="935">
        <f t="shared" si="44"/>
        <v>0</v>
      </c>
      <c r="T157" s="935">
        <f t="shared" si="44"/>
        <v>0</v>
      </c>
      <c r="U157" s="935">
        <f t="shared" si="44"/>
        <v>0</v>
      </c>
      <c r="V157" s="935">
        <f t="shared" si="44"/>
        <v>0</v>
      </c>
      <c r="W157" s="935">
        <f t="shared" si="44"/>
        <v>0</v>
      </c>
      <c r="X157" s="935">
        <f t="shared" si="44"/>
        <v>0</v>
      </c>
      <c r="Y157" s="935">
        <f t="shared" si="23"/>
        <v>0</v>
      </c>
      <c r="Z157" s="935">
        <f t="shared" si="24"/>
        <v>0</v>
      </c>
    </row>
    <row r="158" spans="1:26" ht="13.5">
      <c r="A158" s="1023">
        <v>627</v>
      </c>
      <c r="B158" s="1022" t="s">
        <v>1896</v>
      </c>
      <c r="C158" s="1020">
        <f t="shared" ref="C158:M158" si="48">C159+C160</f>
        <v>0</v>
      </c>
      <c r="D158" s="1021">
        <f t="shared" si="48"/>
        <v>0</v>
      </c>
      <c r="E158" s="1020">
        <f t="shared" si="48"/>
        <v>0</v>
      </c>
      <c r="F158" s="1020">
        <f t="shared" si="48"/>
        <v>0</v>
      </c>
      <c r="G158" s="1020">
        <f t="shared" si="48"/>
        <v>0</v>
      </c>
      <c r="H158" s="1020">
        <f t="shared" si="48"/>
        <v>0</v>
      </c>
      <c r="I158" s="1020">
        <f t="shared" si="48"/>
        <v>0</v>
      </c>
      <c r="J158" s="1020">
        <f t="shared" si="48"/>
        <v>0</v>
      </c>
      <c r="K158" s="1020">
        <f t="shared" si="48"/>
        <v>0</v>
      </c>
      <c r="L158" s="1020">
        <f t="shared" si="48"/>
        <v>0</v>
      </c>
      <c r="M158" s="1020">
        <f t="shared" si="48"/>
        <v>0</v>
      </c>
      <c r="N158" s="1020">
        <f>N159+N160</f>
        <v>0</v>
      </c>
      <c r="O158" s="1020">
        <f>O159+O160</f>
        <v>0</v>
      </c>
      <c r="P158" s="1020">
        <f>P159+P160</f>
        <v>0</v>
      </c>
      <c r="Q158" s="1019">
        <f t="shared" si="42"/>
        <v>0</v>
      </c>
      <c r="R158" s="988">
        <f>R159+R160</f>
        <v>0</v>
      </c>
      <c r="S158" s="959">
        <f t="shared" ref="S158:X167" si="49">R158</f>
        <v>0</v>
      </c>
      <c r="T158" s="959">
        <f t="shared" si="49"/>
        <v>0</v>
      </c>
      <c r="U158" s="959">
        <f t="shared" si="49"/>
        <v>0</v>
      </c>
      <c r="V158" s="959">
        <f t="shared" si="49"/>
        <v>0</v>
      </c>
      <c r="W158" s="959">
        <f t="shared" si="49"/>
        <v>0</v>
      </c>
      <c r="X158" s="959">
        <f t="shared" si="49"/>
        <v>0</v>
      </c>
      <c r="Y158" s="959">
        <f t="shared" si="23"/>
        <v>0</v>
      </c>
      <c r="Z158" s="959">
        <f t="shared" si="24"/>
        <v>0</v>
      </c>
    </row>
    <row r="159" spans="1:26">
      <c r="A159" s="1016">
        <v>6271</v>
      </c>
      <c r="B159" s="1017" t="s">
        <v>1897</v>
      </c>
      <c r="C159" s="897"/>
      <c r="D159" s="937">
        <v>0</v>
      </c>
      <c r="E159" s="897">
        <v>0</v>
      </c>
      <c r="F159" s="897">
        <v>0</v>
      </c>
      <c r="G159" s="897">
        <v>0</v>
      </c>
      <c r="H159" s="897">
        <v>0</v>
      </c>
      <c r="I159" s="897">
        <v>0</v>
      </c>
      <c r="J159" s="897">
        <v>0</v>
      </c>
      <c r="K159" s="897">
        <v>0</v>
      </c>
      <c r="L159" s="897">
        <v>0</v>
      </c>
      <c r="M159" s="897">
        <v>0</v>
      </c>
      <c r="N159" s="897"/>
      <c r="O159" s="897"/>
      <c r="P159" s="897">
        <f>SUM(D159:O159)</f>
        <v>0</v>
      </c>
      <c r="Q159" s="898">
        <f t="shared" si="42"/>
        <v>0</v>
      </c>
      <c r="R159" s="936">
        <f>P159/5</f>
        <v>0</v>
      </c>
      <c r="S159" s="935">
        <f t="shared" si="49"/>
        <v>0</v>
      </c>
      <c r="T159" s="935">
        <f t="shared" si="49"/>
        <v>0</v>
      </c>
      <c r="U159" s="935">
        <f t="shared" si="49"/>
        <v>0</v>
      </c>
      <c r="V159" s="935">
        <f t="shared" si="49"/>
        <v>0</v>
      </c>
      <c r="W159" s="935">
        <f t="shared" si="49"/>
        <v>0</v>
      </c>
      <c r="X159" s="935">
        <f t="shared" si="49"/>
        <v>0</v>
      </c>
      <c r="Y159" s="935">
        <f t="shared" si="23"/>
        <v>0</v>
      </c>
      <c r="Z159" s="935">
        <f t="shared" si="24"/>
        <v>0</v>
      </c>
    </row>
    <row r="160" spans="1:26">
      <c r="A160" s="1295">
        <v>6274</v>
      </c>
      <c r="B160" s="1018" t="s">
        <v>1898</v>
      </c>
      <c r="C160" s="971"/>
      <c r="D160" s="972">
        <v>0</v>
      </c>
      <c r="E160" s="971">
        <v>0</v>
      </c>
      <c r="F160" s="971">
        <v>0</v>
      </c>
      <c r="G160" s="971">
        <v>0</v>
      </c>
      <c r="H160" s="971">
        <v>0</v>
      </c>
      <c r="I160" s="971">
        <v>0</v>
      </c>
      <c r="J160" s="971">
        <v>0</v>
      </c>
      <c r="K160" s="971">
        <v>0</v>
      </c>
      <c r="L160" s="971">
        <v>0</v>
      </c>
      <c r="M160" s="971">
        <v>0</v>
      </c>
      <c r="N160" s="897">
        <v>0</v>
      </c>
      <c r="O160" s="897"/>
      <c r="P160" s="897">
        <f>SUM(D160:O160)</f>
        <v>0</v>
      </c>
      <c r="Q160" s="970">
        <f t="shared" si="42"/>
        <v>0</v>
      </c>
      <c r="R160" s="936">
        <f>P160/5</f>
        <v>0</v>
      </c>
      <c r="S160" s="935">
        <f t="shared" si="49"/>
        <v>0</v>
      </c>
      <c r="T160" s="935">
        <f t="shared" si="49"/>
        <v>0</v>
      </c>
      <c r="U160" s="935">
        <f t="shared" si="49"/>
        <v>0</v>
      </c>
      <c r="V160" s="935">
        <f t="shared" si="49"/>
        <v>0</v>
      </c>
      <c r="W160" s="935">
        <f t="shared" si="49"/>
        <v>0</v>
      </c>
      <c r="X160" s="935">
        <f t="shared" si="49"/>
        <v>0</v>
      </c>
      <c r="Y160" s="935">
        <f t="shared" si="23"/>
        <v>0</v>
      </c>
      <c r="Z160" s="935">
        <f t="shared" si="24"/>
        <v>0</v>
      </c>
    </row>
    <row r="161" spans="1:26" ht="13.5">
      <c r="A161" s="997">
        <v>628</v>
      </c>
      <c r="B161" s="1294" t="s">
        <v>1899</v>
      </c>
      <c r="C161" s="995">
        <f t="shared" ref="C161:M161" si="50">SUM(C162:C165)</f>
        <v>0</v>
      </c>
      <c r="D161" s="996">
        <f>SUM(D162:D165)</f>
        <v>0</v>
      </c>
      <c r="E161" s="995">
        <f t="shared" si="50"/>
        <v>0</v>
      </c>
      <c r="F161" s="995">
        <f t="shared" si="50"/>
        <v>0</v>
      </c>
      <c r="G161" s="995">
        <f t="shared" si="50"/>
        <v>0</v>
      </c>
      <c r="H161" s="995">
        <f t="shared" si="50"/>
        <v>0</v>
      </c>
      <c r="I161" s="995">
        <f t="shared" si="50"/>
        <v>0</v>
      </c>
      <c r="J161" s="995">
        <f t="shared" si="50"/>
        <v>0</v>
      </c>
      <c r="K161" s="995">
        <f t="shared" si="50"/>
        <v>0</v>
      </c>
      <c r="L161" s="995">
        <f t="shared" si="50"/>
        <v>0</v>
      </c>
      <c r="M161" s="995">
        <f t="shared" si="50"/>
        <v>0</v>
      </c>
      <c r="N161" s="995">
        <f>SUM(N162:N165)</f>
        <v>0</v>
      </c>
      <c r="O161" s="995">
        <f>SUM(O162:O165)</f>
        <v>0</v>
      </c>
      <c r="P161" s="995">
        <f>SUM(P162:P165)</f>
        <v>0</v>
      </c>
      <c r="Q161" s="994">
        <f t="shared" si="42"/>
        <v>0</v>
      </c>
      <c r="R161" s="988">
        <f>SUM(R162:R165)</f>
        <v>0</v>
      </c>
      <c r="S161" s="959">
        <f t="shared" si="49"/>
        <v>0</v>
      </c>
      <c r="T161" s="959">
        <f t="shared" si="49"/>
        <v>0</v>
      </c>
      <c r="U161" s="959">
        <f t="shared" si="49"/>
        <v>0</v>
      </c>
      <c r="V161" s="959">
        <f t="shared" si="49"/>
        <v>0</v>
      </c>
      <c r="W161" s="959">
        <f t="shared" si="49"/>
        <v>0</v>
      </c>
      <c r="X161" s="959">
        <f t="shared" si="49"/>
        <v>0</v>
      </c>
      <c r="Y161" s="959">
        <f t="shared" si="23"/>
        <v>0</v>
      </c>
      <c r="Z161" s="959">
        <f t="shared" si="24"/>
        <v>0</v>
      </c>
    </row>
    <row r="162" spans="1:26">
      <c r="A162" s="1016">
        <v>6281</v>
      </c>
      <c r="B162" s="1017" t="s">
        <v>1900</v>
      </c>
      <c r="C162" s="897"/>
      <c r="D162" s="937">
        <v>0</v>
      </c>
      <c r="E162" s="937">
        <v>0</v>
      </c>
      <c r="F162" s="937">
        <v>0</v>
      </c>
      <c r="G162" s="937">
        <v>0</v>
      </c>
      <c r="H162" s="937">
        <v>0</v>
      </c>
      <c r="I162" s="937">
        <v>0</v>
      </c>
      <c r="J162" s="937">
        <v>0</v>
      </c>
      <c r="K162" s="937">
        <v>0</v>
      </c>
      <c r="L162" s="937">
        <v>0</v>
      </c>
      <c r="M162" s="937">
        <v>0</v>
      </c>
      <c r="N162" s="937">
        <v>0</v>
      </c>
      <c r="O162" s="937">
        <v>0</v>
      </c>
      <c r="P162" s="897">
        <f>SUM(D162:O162)</f>
        <v>0</v>
      </c>
      <c r="Q162" s="898">
        <f t="shared" si="42"/>
        <v>0</v>
      </c>
      <c r="R162" s="936">
        <f>P162/5</f>
        <v>0</v>
      </c>
      <c r="S162" s="935">
        <f t="shared" si="49"/>
        <v>0</v>
      </c>
      <c r="T162" s="935">
        <f t="shared" si="49"/>
        <v>0</v>
      </c>
      <c r="U162" s="935">
        <f t="shared" si="49"/>
        <v>0</v>
      </c>
      <c r="V162" s="935">
        <f t="shared" si="49"/>
        <v>0</v>
      </c>
      <c r="W162" s="935">
        <f t="shared" si="49"/>
        <v>0</v>
      </c>
      <c r="X162" s="935">
        <f t="shared" si="49"/>
        <v>0</v>
      </c>
      <c r="Y162" s="935">
        <f t="shared" ref="Y162:Y225" si="51">SUM(R162:X162)</f>
        <v>0</v>
      </c>
      <c r="Z162" s="935">
        <f t="shared" ref="Z162:Z225" si="52">Q162-Y162</f>
        <v>0</v>
      </c>
    </row>
    <row r="163" spans="1:26">
      <c r="A163" s="1016">
        <v>6282</v>
      </c>
      <c r="B163" s="1017" t="s">
        <v>1901</v>
      </c>
      <c r="C163" s="897"/>
      <c r="D163" s="937">
        <v>0</v>
      </c>
      <c r="E163" s="937">
        <v>0</v>
      </c>
      <c r="F163" s="937">
        <v>0</v>
      </c>
      <c r="G163" s="937">
        <v>0</v>
      </c>
      <c r="H163" s="937">
        <v>0</v>
      </c>
      <c r="I163" s="937">
        <v>0</v>
      </c>
      <c r="J163" s="937">
        <v>0</v>
      </c>
      <c r="K163" s="937">
        <v>0</v>
      </c>
      <c r="L163" s="937">
        <v>0</v>
      </c>
      <c r="M163" s="937">
        <v>0</v>
      </c>
      <c r="N163" s="937">
        <v>0</v>
      </c>
      <c r="O163" s="937">
        <v>0</v>
      </c>
      <c r="P163" s="897">
        <f>SUM(D163:O163)</f>
        <v>0</v>
      </c>
      <c r="Q163" s="898">
        <f t="shared" si="42"/>
        <v>0</v>
      </c>
      <c r="R163" s="936">
        <f>P163/5</f>
        <v>0</v>
      </c>
      <c r="S163" s="935">
        <f t="shared" si="49"/>
        <v>0</v>
      </c>
      <c r="T163" s="935">
        <f t="shared" si="49"/>
        <v>0</v>
      </c>
      <c r="U163" s="935">
        <f t="shared" si="49"/>
        <v>0</v>
      </c>
      <c r="V163" s="935">
        <f t="shared" si="49"/>
        <v>0</v>
      </c>
      <c r="W163" s="935">
        <f t="shared" si="49"/>
        <v>0</v>
      </c>
      <c r="X163" s="935">
        <f t="shared" si="49"/>
        <v>0</v>
      </c>
      <c r="Y163" s="935">
        <f t="shared" si="51"/>
        <v>0</v>
      </c>
      <c r="Z163" s="935">
        <f t="shared" si="52"/>
        <v>0</v>
      </c>
    </row>
    <row r="164" spans="1:26">
      <c r="A164" s="1016">
        <v>6283</v>
      </c>
      <c r="B164" s="1017" t="s">
        <v>1902</v>
      </c>
      <c r="C164" s="897"/>
      <c r="D164" s="937">
        <v>0</v>
      </c>
      <c r="E164" s="937">
        <v>0</v>
      </c>
      <c r="F164" s="937">
        <v>0</v>
      </c>
      <c r="G164" s="937">
        <v>0</v>
      </c>
      <c r="H164" s="937">
        <v>0</v>
      </c>
      <c r="I164" s="937">
        <v>0</v>
      </c>
      <c r="J164" s="937">
        <v>0</v>
      </c>
      <c r="K164" s="937">
        <v>0</v>
      </c>
      <c r="L164" s="937">
        <v>0</v>
      </c>
      <c r="M164" s="937">
        <v>0</v>
      </c>
      <c r="N164" s="937">
        <v>0</v>
      </c>
      <c r="O164" s="937">
        <v>0</v>
      </c>
      <c r="P164" s="897">
        <f>SUM(D164:O164)</f>
        <v>0</v>
      </c>
      <c r="Q164" s="898">
        <f t="shared" si="42"/>
        <v>0</v>
      </c>
      <c r="R164" s="936">
        <f>P164/5</f>
        <v>0</v>
      </c>
      <c r="S164" s="935">
        <f t="shared" si="49"/>
        <v>0</v>
      </c>
      <c r="T164" s="935">
        <f t="shared" si="49"/>
        <v>0</v>
      </c>
      <c r="U164" s="935">
        <f t="shared" si="49"/>
        <v>0</v>
      </c>
      <c r="V164" s="935">
        <f t="shared" si="49"/>
        <v>0</v>
      </c>
      <c r="W164" s="935">
        <f t="shared" si="49"/>
        <v>0</v>
      </c>
      <c r="X164" s="935">
        <f t="shared" si="49"/>
        <v>0</v>
      </c>
      <c r="Y164" s="935">
        <f t="shared" si="51"/>
        <v>0</v>
      </c>
      <c r="Z164" s="935">
        <f t="shared" si="52"/>
        <v>0</v>
      </c>
    </row>
    <row r="165" spans="1:26">
      <c r="A165" s="1016">
        <v>6284</v>
      </c>
      <c r="B165" s="1017" t="s">
        <v>1903</v>
      </c>
      <c r="C165" s="897"/>
      <c r="D165" s="937">
        <v>0</v>
      </c>
      <c r="E165" s="937">
        <v>0</v>
      </c>
      <c r="F165" s="937">
        <v>0</v>
      </c>
      <c r="G165" s="937">
        <v>0</v>
      </c>
      <c r="H165" s="937">
        <v>0</v>
      </c>
      <c r="I165" s="937">
        <v>0</v>
      </c>
      <c r="J165" s="937">
        <v>0</v>
      </c>
      <c r="K165" s="937">
        <v>0</v>
      </c>
      <c r="L165" s="937">
        <v>0</v>
      </c>
      <c r="M165" s="937">
        <v>0</v>
      </c>
      <c r="N165" s="937">
        <v>0</v>
      </c>
      <c r="O165" s="937">
        <v>0</v>
      </c>
      <c r="P165" s="897">
        <f>SUM(D165:O165)</f>
        <v>0</v>
      </c>
      <c r="Q165" s="898">
        <f t="shared" si="42"/>
        <v>0</v>
      </c>
      <c r="R165" s="936">
        <f>P165/5</f>
        <v>0</v>
      </c>
      <c r="S165" s="935">
        <f t="shared" si="49"/>
        <v>0</v>
      </c>
      <c r="T165" s="935">
        <f t="shared" si="49"/>
        <v>0</v>
      </c>
      <c r="U165" s="935">
        <f t="shared" si="49"/>
        <v>0</v>
      </c>
      <c r="V165" s="935">
        <f t="shared" si="49"/>
        <v>0</v>
      </c>
      <c r="W165" s="935">
        <f t="shared" si="49"/>
        <v>0</v>
      </c>
      <c r="X165" s="935">
        <f t="shared" si="49"/>
        <v>0</v>
      </c>
      <c r="Y165" s="935">
        <f t="shared" si="51"/>
        <v>0</v>
      </c>
      <c r="Z165" s="935">
        <f t="shared" si="52"/>
        <v>0</v>
      </c>
    </row>
    <row r="166" spans="1:26" ht="13.5">
      <c r="A166" s="945">
        <v>629</v>
      </c>
      <c r="B166" s="944" t="s">
        <v>1904</v>
      </c>
      <c r="C166" s="908">
        <f t="shared" ref="C166:M166" si="53">SUM(C167:C172)</f>
        <v>0</v>
      </c>
      <c r="D166" s="943">
        <f>SUM(D167:D172)</f>
        <v>0</v>
      </c>
      <c r="E166" s="908">
        <f t="shared" si="53"/>
        <v>0</v>
      </c>
      <c r="F166" s="908">
        <f t="shared" si="53"/>
        <v>0</v>
      </c>
      <c r="G166" s="908">
        <f t="shared" si="53"/>
        <v>0</v>
      </c>
      <c r="H166" s="908">
        <f t="shared" si="53"/>
        <v>0</v>
      </c>
      <c r="I166" s="908">
        <f t="shared" si="53"/>
        <v>0</v>
      </c>
      <c r="J166" s="908">
        <f t="shared" si="53"/>
        <v>0</v>
      </c>
      <c r="K166" s="908">
        <f t="shared" si="53"/>
        <v>0</v>
      </c>
      <c r="L166" s="908">
        <f t="shared" si="53"/>
        <v>0</v>
      </c>
      <c r="M166" s="908">
        <f t="shared" si="53"/>
        <v>0</v>
      </c>
      <c r="N166" s="908">
        <f>SUM(N167:N172)</f>
        <v>0</v>
      </c>
      <c r="O166" s="908">
        <f>SUM(O167:O172)</f>
        <v>0</v>
      </c>
      <c r="P166" s="908">
        <f>SUM(P167:P172)</f>
        <v>0</v>
      </c>
      <c r="Q166" s="909">
        <f t="shared" si="42"/>
        <v>0</v>
      </c>
      <c r="R166" s="988">
        <f>SUM(R167:R172)</f>
        <v>50000</v>
      </c>
      <c r="S166" s="959">
        <f t="shared" si="49"/>
        <v>50000</v>
      </c>
      <c r="T166" s="959">
        <f t="shared" si="49"/>
        <v>50000</v>
      </c>
      <c r="U166" s="959">
        <f t="shared" si="49"/>
        <v>50000</v>
      </c>
      <c r="V166" s="959">
        <f t="shared" si="49"/>
        <v>50000</v>
      </c>
      <c r="W166" s="959">
        <f t="shared" si="49"/>
        <v>50000</v>
      </c>
      <c r="X166" s="959">
        <f t="shared" si="49"/>
        <v>50000</v>
      </c>
      <c r="Y166" s="959">
        <f t="shared" si="51"/>
        <v>350000</v>
      </c>
      <c r="Z166" s="959">
        <f t="shared" si="52"/>
        <v>-350000</v>
      </c>
    </row>
    <row r="167" spans="1:26">
      <c r="A167" s="1016">
        <v>6291</v>
      </c>
      <c r="B167" s="1017" t="s">
        <v>1905</v>
      </c>
      <c r="C167" s="897"/>
      <c r="D167" s="937">
        <v>0</v>
      </c>
      <c r="E167" s="937">
        <v>0</v>
      </c>
      <c r="F167" s="937">
        <v>0</v>
      </c>
      <c r="G167" s="937">
        <v>0</v>
      </c>
      <c r="H167" s="937">
        <v>0</v>
      </c>
      <c r="I167" s="937">
        <v>0</v>
      </c>
      <c r="J167" s="937">
        <v>0</v>
      </c>
      <c r="K167" s="897">
        <v>0</v>
      </c>
      <c r="L167" s="897">
        <v>0</v>
      </c>
      <c r="M167" s="897">
        <v>0</v>
      </c>
      <c r="N167" s="897">
        <v>0</v>
      </c>
      <c r="O167" s="897">
        <v>0</v>
      </c>
      <c r="P167" s="897">
        <f t="shared" ref="P167:P172" si="54">SUM(D167:O167)</f>
        <v>0</v>
      </c>
      <c r="Q167" s="898">
        <f t="shared" si="42"/>
        <v>0</v>
      </c>
      <c r="R167" s="936">
        <f>P167/5</f>
        <v>0</v>
      </c>
      <c r="S167" s="935">
        <f t="shared" si="49"/>
        <v>0</v>
      </c>
      <c r="T167" s="935">
        <f t="shared" si="49"/>
        <v>0</v>
      </c>
      <c r="U167" s="935">
        <f t="shared" si="49"/>
        <v>0</v>
      </c>
      <c r="V167" s="935">
        <f t="shared" si="49"/>
        <v>0</v>
      </c>
      <c r="W167" s="935">
        <f t="shared" si="49"/>
        <v>0</v>
      </c>
      <c r="X167" s="935">
        <f t="shared" si="49"/>
        <v>0</v>
      </c>
      <c r="Y167" s="935">
        <f t="shared" si="51"/>
        <v>0</v>
      </c>
      <c r="Z167" s="935">
        <f t="shared" si="52"/>
        <v>0</v>
      </c>
    </row>
    <row r="168" spans="1:26" hidden="1">
      <c r="A168" s="1016">
        <v>6292</v>
      </c>
      <c r="B168" s="1017" t="s">
        <v>1906</v>
      </c>
      <c r="C168" s="897"/>
      <c r="D168" s="937">
        <v>0</v>
      </c>
      <c r="E168" s="937">
        <v>0</v>
      </c>
      <c r="F168" s="937">
        <v>0</v>
      </c>
      <c r="G168" s="937">
        <v>0</v>
      </c>
      <c r="H168" s="937">
        <v>0</v>
      </c>
      <c r="I168" s="937">
        <v>0</v>
      </c>
      <c r="J168" s="937">
        <v>0</v>
      </c>
      <c r="K168" s="897"/>
      <c r="L168" s="897"/>
      <c r="M168" s="897"/>
      <c r="N168" s="897"/>
      <c r="O168" s="897"/>
      <c r="P168" s="897">
        <f t="shared" si="54"/>
        <v>0</v>
      </c>
      <c r="Q168" s="898">
        <f t="shared" si="42"/>
        <v>0</v>
      </c>
      <c r="R168" s="936">
        <f>P168/5</f>
        <v>0</v>
      </c>
      <c r="S168" s="935">
        <f t="shared" ref="S168:X177" si="55">R168</f>
        <v>0</v>
      </c>
      <c r="T168" s="935">
        <f t="shared" si="55"/>
        <v>0</v>
      </c>
      <c r="U168" s="935">
        <f t="shared" si="55"/>
        <v>0</v>
      </c>
      <c r="V168" s="935">
        <f t="shared" si="55"/>
        <v>0</v>
      </c>
      <c r="W168" s="935">
        <f t="shared" si="55"/>
        <v>0</v>
      </c>
      <c r="X168" s="935">
        <f t="shared" si="55"/>
        <v>0</v>
      </c>
      <c r="Y168" s="935">
        <f t="shared" si="51"/>
        <v>0</v>
      </c>
      <c r="Z168" s="935">
        <f t="shared" si="52"/>
        <v>0</v>
      </c>
    </row>
    <row r="169" spans="1:26" hidden="1">
      <c r="A169" s="1016">
        <v>6294</v>
      </c>
      <c r="B169" s="938" t="s">
        <v>1907</v>
      </c>
      <c r="C169" s="897"/>
      <c r="D169" s="937">
        <v>0</v>
      </c>
      <c r="E169" s="937">
        <v>0</v>
      </c>
      <c r="F169" s="937">
        <v>0</v>
      </c>
      <c r="G169" s="937">
        <v>0</v>
      </c>
      <c r="H169" s="937">
        <v>0</v>
      </c>
      <c r="I169" s="937">
        <v>0</v>
      </c>
      <c r="J169" s="937">
        <v>0</v>
      </c>
      <c r="K169" s="897"/>
      <c r="L169" s="897"/>
      <c r="M169" s="897"/>
      <c r="N169" s="897"/>
      <c r="O169" s="897"/>
      <c r="P169" s="897">
        <f t="shared" si="54"/>
        <v>0</v>
      </c>
      <c r="Q169" s="898">
        <f t="shared" si="42"/>
        <v>0</v>
      </c>
      <c r="R169" s="936">
        <f>P169/5</f>
        <v>0</v>
      </c>
      <c r="S169" s="935">
        <f t="shared" si="55"/>
        <v>0</v>
      </c>
      <c r="T169" s="935">
        <f t="shared" si="55"/>
        <v>0</v>
      </c>
      <c r="U169" s="935">
        <f t="shared" si="55"/>
        <v>0</v>
      </c>
      <c r="V169" s="935">
        <f t="shared" si="55"/>
        <v>0</v>
      </c>
      <c r="W169" s="935">
        <f t="shared" si="55"/>
        <v>0</v>
      </c>
      <c r="X169" s="935">
        <f t="shared" si="55"/>
        <v>0</v>
      </c>
      <c r="Y169" s="935">
        <f t="shared" si="51"/>
        <v>0</v>
      </c>
      <c r="Z169" s="935">
        <f t="shared" si="52"/>
        <v>0</v>
      </c>
    </row>
    <row r="170" spans="1:26">
      <c r="A170" s="1016">
        <v>6295</v>
      </c>
      <c r="B170" s="1017" t="s">
        <v>1908</v>
      </c>
      <c r="C170" s="897"/>
      <c r="D170" s="937">
        <v>0</v>
      </c>
      <c r="E170" s="937">
        <v>0</v>
      </c>
      <c r="F170" s="937">
        <v>0</v>
      </c>
      <c r="G170" s="937">
        <v>0</v>
      </c>
      <c r="H170" s="937">
        <v>0</v>
      </c>
      <c r="I170" s="937">
        <v>0</v>
      </c>
      <c r="J170" s="937">
        <v>0</v>
      </c>
      <c r="K170" s="897">
        <v>0</v>
      </c>
      <c r="L170" s="897">
        <v>0</v>
      </c>
      <c r="M170" s="897">
        <v>0</v>
      </c>
      <c r="N170" s="897">
        <v>0</v>
      </c>
      <c r="O170" s="897">
        <v>0</v>
      </c>
      <c r="P170" s="897">
        <f t="shared" si="54"/>
        <v>0</v>
      </c>
      <c r="Q170" s="898">
        <f t="shared" si="42"/>
        <v>0</v>
      </c>
      <c r="R170" s="936">
        <f>P170/5</f>
        <v>0</v>
      </c>
      <c r="S170" s="935">
        <f t="shared" si="55"/>
        <v>0</v>
      </c>
      <c r="T170" s="935">
        <f t="shared" si="55"/>
        <v>0</v>
      </c>
      <c r="U170" s="935">
        <f t="shared" si="55"/>
        <v>0</v>
      </c>
      <c r="V170" s="935">
        <f t="shared" si="55"/>
        <v>0</v>
      </c>
      <c r="W170" s="935">
        <f t="shared" si="55"/>
        <v>0</v>
      </c>
      <c r="X170" s="935">
        <f t="shared" si="55"/>
        <v>0</v>
      </c>
      <c r="Y170" s="935">
        <f t="shared" si="51"/>
        <v>0</v>
      </c>
      <c r="Z170" s="935">
        <f t="shared" si="52"/>
        <v>0</v>
      </c>
    </row>
    <row r="171" spans="1:26">
      <c r="A171" s="1016">
        <v>6296</v>
      </c>
      <c r="B171" s="1017" t="s">
        <v>1909</v>
      </c>
      <c r="C171" s="897"/>
      <c r="D171" s="937">
        <v>0</v>
      </c>
      <c r="E171" s="937">
        <v>0</v>
      </c>
      <c r="F171" s="937">
        <v>0</v>
      </c>
      <c r="G171" s="937">
        <v>0</v>
      </c>
      <c r="H171" s="937">
        <v>0</v>
      </c>
      <c r="I171" s="937">
        <v>0</v>
      </c>
      <c r="J171" s="937">
        <v>0</v>
      </c>
      <c r="K171" s="897">
        <v>0</v>
      </c>
      <c r="L171" s="897"/>
      <c r="M171" s="897"/>
      <c r="N171" s="897"/>
      <c r="O171" s="897"/>
      <c r="P171" s="897">
        <f t="shared" si="54"/>
        <v>0</v>
      </c>
      <c r="Q171" s="898">
        <f t="shared" si="42"/>
        <v>0</v>
      </c>
      <c r="R171" s="936">
        <f>P171/5</f>
        <v>0</v>
      </c>
      <c r="S171" s="935">
        <f t="shared" si="55"/>
        <v>0</v>
      </c>
      <c r="T171" s="935">
        <f t="shared" si="55"/>
        <v>0</v>
      </c>
      <c r="U171" s="935">
        <f t="shared" si="55"/>
        <v>0</v>
      </c>
      <c r="V171" s="935">
        <f t="shared" si="55"/>
        <v>0</v>
      </c>
      <c r="W171" s="935">
        <f t="shared" si="55"/>
        <v>0</v>
      </c>
      <c r="X171" s="935">
        <f t="shared" si="55"/>
        <v>0</v>
      </c>
      <c r="Y171" s="935">
        <f t="shared" si="51"/>
        <v>0</v>
      </c>
      <c r="Z171" s="935">
        <f t="shared" si="52"/>
        <v>0</v>
      </c>
    </row>
    <row r="172" spans="1:26">
      <c r="A172" s="1016">
        <v>6299</v>
      </c>
      <c r="B172" s="938" t="s">
        <v>1910</v>
      </c>
      <c r="C172" s="897"/>
      <c r="D172" s="937">
        <v>0</v>
      </c>
      <c r="E172" s="937">
        <v>0</v>
      </c>
      <c r="F172" s="937">
        <v>0</v>
      </c>
      <c r="G172" s="937">
        <v>0</v>
      </c>
      <c r="H172" s="937">
        <v>0</v>
      </c>
      <c r="I172" s="937">
        <v>0</v>
      </c>
      <c r="J172" s="937">
        <v>0</v>
      </c>
      <c r="K172" s="897">
        <v>0</v>
      </c>
      <c r="L172" s="897">
        <v>0</v>
      </c>
      <c r="M172" s="897">
        <v>0</v>
      </c>
      <c r="N172" s="897">
        <v>0</v>
      </c>
      <c r="O172" s="897">
        <v>0</v>
      </c>
      <c r="P172" s="897">
        <f t="shared" si="54"/>
        <v>0</v>
      </c>
      <c r="Q172" s="898">
        <f t="shared" si="42"/>
        <v>0</v>
      </c>
      <c r="R172" s="936">
        <v>50000</v>
      </c>
      <c r="S172" s="935">
        <f t="shared" si="55"/>
        <v>50000</v>
      </c>
      <c r="T172" s="935">
        <f t="shared" si="55"/>
        <v>50000</v>
      </c>
      <c r="U172" s="935">
        <f t="shared" si="55"/>
        <v>50000</v>
      </c>
      <c r="V172" s="935">
        <f t="shared" si="55"/>
        <v>50000</v>
      </c>
      <c r="W172" s="935">
        <f t="shared" si="55"/>
        <v>50000</v>
      </c>
      <c r="X172" s="935">
        <f t="shared" si="55"/>
        <v>50000</v>
      </c>
      <c r="Y172" s="935">
        <f t="shared" si="51"/>
        <v>350000</v>
      </c>
      <c r="Z172" s="935">
        <f t="shared" si="52"/>
        <v>-350000</v>
      </c>
    </row>
    <row r="173" spans="1:26" hidden="1">
      <c r="A173" s="1016">
        <v>62991</v>
      </c>
      <c r="B173" s="1015" t="s">
        <v>1911</v>
      </c>
      <c r="C173" s="897"/>
      <c r="D173" s="937">
        <v>0</v>
      </c>
      <c r="E173" s="897">
        <f t="shared" ref="E173:H174" si="56">D173/12</f>
        <v>0</v>
      </c>
      <c r="F173" s="897">
        <f t="shared" si="56"/>
        <v>0</v>
      </c>
      <c r="G173" s="897">
        <f t="shared" si="56"/>
        <v>0</v>
      </c>
      <c r="H173" s="897">
        <f t="shared" si="56"/>
        <v>0</v>
      </c>
      <c r="I173" s="897"/>
      <c r="J173" s="897"/>
      <c r="K173" s="897"/>
      <c r="L173" s="897"/>
      <c r="M173" s="897"/>
      <c r="N173" s="897"/>
      <c r="O173" s="897"/>
      <c r="P173" s="897">
        <f>SUM(D173:H173)</f>
        <v>0</v>
      </c>
      <c r="Q173" s="898">
        <f t="shared" si="42"/>
        <v>0</v>
      </c>
      <c r="R173" s="936">
        <f>Q173/7</f>
        <v>0</v>
      </c>
      <c r="S173" s="935">
        <f t="shared" si="55"/>
        <v>0</v>
      </c>
      <c r="T173" s="935">
        <f t="shared" si="55"/>
        <v>0</v>
      </c>
      <c r="U173" s="935">
        <f t="shared" si="55"/>
        <v>0</v>
      </c>
      <c r="V173" s="935">
        <f t="shared" si="55"/>
        <v>0</v>
      </c>
      <c r="W173" s="935">
        <f t="shared" si="55"/>
        <v>0</v>
      </c>
      <c r="X173" s="935">
        <f t="shared" si="55"/>
        <v>0</v>
      </c>
      <c r="Y173" s="935">
        <f t="shared" si="51"/>
        <v>0</v>
      </c>
      <c r="Z173" s="935">
        <f t="shared" si="52"/>
        <v>0</v>
      </c>
    </row>
    <row r="174" spans="1:26" hidden="1">
      <c r="A174" s="1016">
        <v>62999</v>
      </c>
      <c r="B174" s="1015" t="s">
        <v>1288</v>
      </c>
      <c r="C174" s="897"/>
      <c r="D174" s="937">
        <v>0</v>
      </c>
      <c r="E174" s="897">
        <f t="shared" si="56"/>
        <v>0</v>
      </c>
      <c r="F174" s="897">
        <f t="shared" si="56"/>
        <v>0</v>
      </c>
      <c r="G174" s="897">
        <f t="shared" si="56"/>
        <v>0</v>
      </c>
      <c r="H174" s="897">
        <f t="shared" si="56"/>
        <v>0</v>
      </c>
      <c r="I174" s="897"/>
      <c r="J174" s="897"/>
      <c r="K174" s="897"/>
      <c r="L174" s="897"/>
      <c r="M174" s="897"/>
      <c r="N174" s="897"/>
      <c r="O174" s="897"/>
      <c r="P174" s="897">
        <f>SUM(D174:H174)</f>
        <v>0</v>
      </c>
      <c r="Q174" s="898">
        <f t="shared" si="42"/>
        <v>0</v>
      </c>
      <c r="R174" s="936">
        <f>Q174/7</f>
        <v>0</v>
      </c>
      <c r="S174" s="935">
        <f t="shared" si="55"/>
        <v>0</v>
      </c>
      <c r="T174" s="935">
        <f t="shared" si="55"/>
        <v>0</v>
      </c>
      <c r="U174" s="935">
        <f t="shared" si="55"/>
        <v>0</v>
      </c>
      <c r="V174" s="935">
        <f t="shared" si="55"/>
        <v>0</v>
      </c>
      <c r="W174" s="935">
        <f t="shared" si="55"/>
        <v>0</v>
      </c>
      <c r="X174" s="935">
        <f t="shared" si="55"/>
        <v>0</v>
      </c>
      <c r="Y174" s="935">
        <f t="shared" si="51"/>
        <v>0</v>
      </c>
      <c r="Z174" s="935">
        <f t="shared" si="52"/>
        <v>0</v>
      </c>
    </row>
    <row r="175" spans="1:26">
      <c r="A175" s="949" t="s">
        <v>1912</v>
      </c>
      <c r="B175" s="948" t="s">
        <v>1079</v>
      </c>
      <c r="C175" s="894">
        <f t="shared" ref="C175:P175" si="57">C176+C251</f>
        <v>0</v>
      </c>
      <c r="D175" s="947">
        <f>D176+D251</f>
        <v>0</v>
      </c>
      <c r="E175" s="894">
        <f t="shared" si="57"/>
        <v>0</v>
      </c>
      <c r="F175" s="894">
        <f t="shared" si="57"/>
        <v>0</v>
      </c>
      <c r="G175" s="894">
        <f t="shared" si="57"/>
        <v>0</v>
      </c>
      <c r="H175" s="894">
        <f t="shared" si="57"/>
        <v>0</v>
      </c>
      <c r="I175" s="894">
        <f t="shared" si="57"/>
        <v>0</v>
      </c>
      <c r="J175" s="894">
        <f t="shared" si="57"/>
        <v>0</v>
      </c>
      <c r="K175" s="894">
        <f t="shared" si="57"/>
        <v>0</v>
      </c>
      <c r="L175" s="894">
        <f t="shared" si="57"/>
        <v>0</v>
      </c>
      <c r="M175" s="894">
        <f t="shared" si="57"/>
        <v>0</v>
      </c>
      <c r="N175" s="894">
        <f>N176+N251</f>
        <v>0</v>
      </c>
      <c r="O175" s="894">
        <f>O176+O251</f>
        <v>0</v>
      </c>
      <c r="P175" s="894">
        <f t="shared" si="57"/>
        <v>0</v>
      </c>
      <c r="Q175" s="895">
        <f t="shared" si="42"/>
        <v>0</v>
      </c>
      <c r="R175" s="1014">
        <f>R176+R251</f>
        <v>0</v>
      </c>
      <c r="S175" s="989">
        <f t="shared" si="55"/>
        <v>0</v>
      </c>
      <c r="T175" s="989">
        <f t="shared" si="55"/>
        <v>0</v>
      </c>
      <c r="U175" s="989">
        <f t="shared" si="55"/>
        <v>0</v>
      </c>
      <c r="V175" s="989">
        <f t="shared" si="55"/>
        <v>0</v>
      </c>
      <c r="W175" s="989">
        <f t="shared" si="55"/>
        <v>0</v>
      </c>
      <c r="X175" s="989">
        <f t="shared" si="55"/>
        <v>0</v>
      </c>
      <c r="Y175" s="989">
        <f t="shared" si="51"/>
        <v>0</v>
      </c>
      <c r="Z175" s="989">
        <f t="shared" si="52"/>
        <v>0</v>
      </c>
    </row>
    <row r="176" spans="1:26">
      <c r="A176" s="945" t="s">
        <v>1913</v>
      </c>
      <c r="B176" s="964" t="s">
        <v>1914</v>
      </c>
      <c r="C176" s="913">
        <f t="shared" ref="C176:P176" si="58">C177+C246</f>
        <v>0</v>
      </c>
      <c r="D176" s="1013">
        <f>D177+D246</f>
        <v>0</v>
      </c>
      <c r="E176" s="913">
        <f t="shared" si="58"/>
        <v>0</v>
      </c>
      <c r="F176" s="913">
        <f t="shared" si="58"/>
        <v>0</v>
      </c>
      <c r="G176" s="913">
        <f t="shared" si="58"/>
        <v>0</v>
      </c>
      <c r="H176" s="913">
        <f t="shared" si="58"/>
        <v>0</v>
      </c>
      <c r="I176" s="913">
        <f t="shared" si="58"/>
        <v>0</v>
      </c>
      <c r="J176" s="913">
        <f t="shared" si="58"/>
        <v>0</v>
      </c>
      <c r="K176" s="913">
        <f t="shared" si="58"/>
        <v>0</v>
      </c>
      <c r="L176" s="913">
        <f t="shared" si="58"/>
        <v>0</v>
      </c>
      <c r="M176" s="913">
        <f t="shared" si="58"/>
        <v>0</v>
      </c>
      <c r="N176" s="913">
        <f>N177+N246</f>
        <v>0</v>
      </c>
      <c r="O176" s="913">
        <f>O177+O246</f>
        <v>0</v>
      </c>
      <c r="P176" s="913">
        <f t="shared" si="58"/>
        <v>0</v>
      </c>
      <c r="Q176" s="914">
        <f t="shared" si="42"/>
        <v>0</v>
      </c>
      <c r="R176" s="1012">
        <f>R177+R246</f>
        <v>0</v>
      </c>
      <c r="S176" s="1011">
        <f t="shared" si="55"/>
        <v>0</v>
      </c>
      <c r="T176" s="1011">
        <f t="shared" si="55"/>
        <v>0</v>
      </c>
      <c r="U176" s="1011">
        <f t="shared" si="55"/>
        <v>0</v>
      </c>
      <c r="V176" s="1011">
        <f t="shared" si="55"/>
        <v>0</v>
      </c>
      <c r="W176" s="1011">
        <f t="shared" si="55"/>
        <v>0</v>
      </c>
      <c r="X176" s="1011">
        <f t="shared" si="55"/>
        <v>0</v>
      </c>
      <c r="Y176" s="1011">
        <f t="shared" si="51"/>
        <v>0</v>
      </c>
      <c r="Z176" s="1011">
        <f t="shared" si="52"/>
        <v>0</v>
      </c>
    </row>
    <row r="177" spans="1:26" ht="13.5">
      <c r="A177" s="945" t="s">
        <v>1915</v>
      </c>
      <c r="B177" s="944" t="s">
        <v>1916</v>
      </c>
      <c r="C177" s="908">
        <f t="shared" ref="C177:P177" si="59">C178+C188</f>
        <v>0</v>
      </c>
      <c r="D177" s="943">
        <f>D178+D188</f>
        <v>0</v>
      </c>
      <c r="E177" s="908">
        <f t="shared" si="59"/>
        <v>0</v>
      </c>
      <c r="F177" s="908">
        <f t="shared" si="59"/>
        <v>0</v>
      </c>
      <c r="G177" s="908">
        <f t="shared" si="59"/>
        <v>0</v>
      </c>
      <c r="H177" s="908">
        <f t="shared" si="59"/>
        <v>0</v>
      </c>
      <c r="I177" s="908">
        <f t="shared" si="59"/>
        <v>0</v>
      </c>
      <c r="J177" s="908">
        <f t="shared" si="59"/>
        <v>0</v>
      </c>
      <c r="K177" s="908">
        <f t="shared" si="59"/>
        <v>0</v>
      </c>
      <c r="L177" s="908">
        <f t="shared" si="59"/>
        <v>0</v>
      </c>
      <c r="M177" s="908">
        <f t="shared" si="59"/>
        <v>0</v>
      </c>
      <c r="N177" s="908">
        <f>N178+N188</f>
        <v>0</v>
      </c>
      <c r="O177" s="908">
        <f>O178+O188</f>
        <v>0</v>
      </c>
      <c r="P177" s="908">
        <f t="shared" si="59"/>
        <v>0</v>
      </c>
      <c r="Q177" s="909">
        <f t="shared" si="42"/>
        <v>0</v>
      </c>
      <c r="R177" s="988">
        <f>R178+R188</f>
        <v>0</v>
      </c>
      <c r="S177" s="959">
        <f t="shared" si="55"/>
        <v>0</v>
      </c>
      <c r="T177" s="959">
        <f t="shared" si="55"/>
        <v>0</v>
      </c>
      <c r="U177" s="959">
        <f t="shared" si="55"/>
        <v>0</v>
      </c>
      <c r="V177" s="959">
        <f t="shared" si="55"/>
        <v>0</v>
      </c>
      <c r="W177" s="959">
        <f t="shared" si="55"/>
        <v>0</v>
      </c>
      <c r="X177" s="959">
        <f t="shared" si="55"/>
        <v>0</v>
      </c>
      <c r="Y177" s="959">
        <f t="shared" si="51"/>
        <v>0</v>
      </c>
      <c r="Z177" s="959">
        <f t="shared" si="52"/>
        <v>0</v>
      </c>
    </row>
    <row r="178" spans="1:26">
      <c r="A178" s="984">
        <v>6311</v>
      </c>
      <c r="B178" s="1010" t="s">
        <v>1917</v>
      </c>
      <c r="C178" s="897"/>
      <c r="D178" s="937">
        <v>0</v>
      </c>
      <c r="E178" s="897">
        <v>0</v>
      </c>
      <c r="F178" s="897">
        <v>0</v>
      </c>
      <c r="G178" s="897">
        <v>0</v>
      </c>
      <c r="H178" s="897">
        <v>0</v>
      </c>
      <c r="I178" s="897">
        <v>0</v>
      </c>
      <c r="J178" s="897">
        <v>0</v>
      </c>
      <c r="K178" s="897">
        <v>0</v>
      </c>
      <c r="L178" s="897">
        <v>0</v>
      </c>
      <c r="M178" s="897">
        <v>0</v>
      </c>
      <c r="N178" s="897">
        <v>0</v>
      </c>
      <c r="O178" s="897"/>
      <c r="P178" s="897">
        <f t="shared" ref="P178:P188" si="60">SUM(D178:O178)</f>
        <v>0</v>
      </c>
      <c r="Q178" s="898">
        <f t="shared" si="42"/>
        <v>0</v>
      </c>
      <c r="R178" s="936"/>
      <c r="S178" s="935">
        <f t="shared" ref="S178:X187" si="61">R178</f>
        <v>0</v>
      </c>
      <c r="T178" s="935">
        <f t="shared" si="61"/>
        <v>0</v>
      </c>
      <c r="U178" s="935">
        <f t="shared" si="61"/>
        <v>0</v>
      </c>
      <c r="V178" s="935">
        <f t="shared" si="61"/>
        <v>0</v>
      </c>
      <c r="W178" s="935">
        <f t="shared" si="61"/>
        <v>0</v>
      </c>
      <c r="X178" s="935">
        <f t="shared" si="61"/>
        <v>0</v>
      </c>
      <c r="Y178" s="935">
        <f t="shared" si="51"/>
        <v>0</v>
      </c>
      <c r="Z178" s="935">
        <f t="shared" si="52"/>
        <v>0</v>
      </c>
    </row>
    <row r="179" spans="1:26" hidden="1">
      <c r="A179" s="986">
        <v>63111</v>
      </c>
      <c r="B179" s="993" t="s">
        <v>1918</v>
      </c>
      <c r="C179" s="897"/>
      <c r="D179" s="937"/>
      <c r="E179" s="897"/>
      <c r="F179" s="897"/>
      <c r="G179" s="897"/>
      <c r="H179" s="897"/>
      <c r="I179" s="897"/>
      <c r="J179" s="897"/>
      <c r="K179" s="897"/>
      <c r="L179" s="897"/>
      <c r="M179" s="897"/>
      <c r="N179" s="897"/>
      <c r="O179" s="897"/>
      <c r="P179" s="897">
        <f t="shared" si="60"/>
        <v>0</v>
      </c>
      <c r="Q179" s="898">
        <f t="shared" si="42"/>
        <v>0</v>
      </c>
      <c r="R179" s="936">
        <f t="shared" ref="R179:R210" si="62">Q179/7</f>
        <v>0</v>
      </c>
      <c r="S179" s="935">
        <f t="shared" si="61"/>
        <v>0</v>
      </c>
      <c r="T179" s="935">
        <f t="shared" si="61"/>
        <v>0</v>
      </c>
      <c r="U179" s="935">
        <f t="shared" si="61"/>
        <v>0</v>
      </c>
      <c r="V179" s="935">
        <f t="shared" si="61"/>
        <v>0</v>
      </c>
      <c r="W179" s="935">
        <f t="shared" si="61"/>
        <v>0</v>
      </c>
      <c r="X179" s="935">
        <f t="shared" si="61"/>
        <v>0</v>
      </c>
      <c r="Y179" s="935">
        <f t="shared" si="51"/>
        <v>0</v>
      </c>
      <c r="Z179" s="935">
        <f t="shared" si="52"/>
        <v>0</v>
      </c>
    </row>
    <row r="180" spans="1:26" hidden="1">
      <c r="A180" s="986">
        <v>63112</v>
      </c>
      <c r="B180" s="993" t="s">
        <v>1919</v>
      </c>
      <c r="C180" s="897"/>
      <c r="D180" s="937"/>
      <c r="E180" s="897"/>
      <c r="F180" s="897"/>
      <c r="G180" s="897"/>
      <c r="H180" s="897"/>
      <c r="I180" s="897"/>
      <c r="J180" s="897"/>
      <c r="K180" s="897"/>
      <c r="L180" s="897"/>
      <c r="M180" s="897"/>
      <c r="N180" s="897"/>
      <c r="O180" s="897"/>
      <c r="P180" s="897">
        <f t="shared" si="60"/>
        <v>0</v>
      </c>
      <c r="Q180" s="898">
        <f t="shared" si="42"/>
        <v>0</v>
      </c>
      <c r="R180" s="936">
        <f t="shared" si="62"/>
        <v>0</v>
      </c>
      <c r="S180" s="935">
        <f t="shared" si="61"/>
        <v>0</v>
      </c>
      <c r="T180" s="935">
        <f t="shared" si="61"/>
        <v>0</v>
      </c>
      <c r="U180" s="935">
        <f t="shared" si="61"/>
        <v>0</v>
      </c>
      <c r="V180" s="935">
        <f t="shared" si="61"/>
        <v>0</v>
      </c>
      <c r="W180" s="935">
        <f t="shared" si="61"/>
        <v>0</v>
      </c>
      <c r="X180" s="935">
        <f t="shared" si="61"/>
        <v>0</v>
      </c>
      <c r="Y180" s="935">
        <f t="shared" si="51"/>
        <v>0</v>
      </c>
      <c r="Z180" s="935">
        <f t="shared" si="52"/>
        <v>0</v>
      </c>
    </row>
    <row r="181" spans="1:26" hidden="1">
      <c r="A181" s="986">
        <v>63113</v>
      </c>
      <c r="B181" s="993" t="s">
        <v>1250</v>
      </c>
      <c r="C181" s="897"/>
      <c r="D181" s="937"/>
      <c r="E181" s="897"/>
      <c r="F181" s="897"/>
      <c r="G181" s="897"/>
      <c r="H181" s="897"/>
      <c r="I181" s="897"/>
      <c r="J181" s="897"/>
      <c r="K181" s="897"/>
      <c r="L181" s="897"/>
      <c r="M181" s="897"/>
      <c r="N181" s="897"/>
      <c r="O181" s="897"/>
      <c r="P181" s="897">
        <f t="shared" si="60"/>
        <v>0</v>
      </c>
      <c r="Q181" s="898">
        <f t="shared" si="42"/>
        <v>0</v>
      </c>
      <c r="R181" s="936">
        <f t="shared" si="62"/>
        <v>0</v>
      </c>
      <c r="S181" s="935">
        <f t="shared" si="61"/>
        <v>0</v>
      </c>
      <c r="T181" s="935">
        <f t="shared" si="61"/>
        <v>0</v>
      </c>
      <c r="U181" s="935">
        <f t="shared" si="61"/>
        <v>0</v>
      </c>
      <c r="V181" s="935">
        <f t="shared" si="61"/>
        <v>0</v>
      </c>
      <c r="W181" s="935">
        <f t="shared" si="61"/>
        <v>0</v>
      </c>
      <c r="X181" s="935">
        <f t="shared" si="61"/>
        <v>0</v>
      </c>
      <c r="Y181" s="935">
        <f t="shared" si="51"/>
        <v>0</v>
      </c>
      <c r="Z181" s="935">
        <f t="shared" si="52"/>
        <v>0</v>
      </c>
    </row>
    <row r="182" spans="1:26" hidden="1">
      <c r="A182" s="986">
        <v>63114</v>
      </c>
      <c r="B182" s="993" t="s">
        <v>1920</v>
      </c>
      <c r="C182" s="897"/>
      <c r="D182" s="937"/>
      <c r="E182" s="897"/>
      <c r="F182" s="897"/>
      <c r="G182" s="897"/>
      <c r="H182" s="897"/>
      <c r="I182" s="897"/>
      <c r="J182" s="897"/>
      <c r="K182" s="897"/>
      <c r="L182" s="897"/>
      <c r="M182" s="897"/>
      <c r="N182" s="897"/>
      <c r="O182" s="897"/>
      <c r="P182" s="897">
        <f t="shared" si="60"/>
        <v>0</v>
      </c>
      <c r="Q182" s="898">
        <f t="shared" si="42"/>
        <v>0</v>
      </c>
      <c r="R182" s="936">
        <f t="shared" si="62"/>
        <v>0</v>
      </c>
      <c r="S182" s="935">
        <f t="shared" si="61"/>
        <v>0</v>
      </c>
      <c r="T182" s="935">
        <f t="shared" si="61"/>
        <v>0</v>
      </c>
      <c r="U182" s="935">
        <f t="shared" si="61"/>
        <v>0</v>
      </c>
      <c r="V182" s="935">
        <f t="shared" si="61"/>
        <v>0</v>
      </c>
      <c r="W182" s="935">
        <f t="shared" si="61"/>
        <v>0</v>
      </c>
      <c r="X182" s="935">
        <f t="shared" si="61"/>
        <v>0</v>
      </c>
      <c r="Y182" s="935">
        <f t="shared" si="51"/>
        <v>0</v>
      </c>
      <c r="Z182" s="935">
        <f t="shared" si="52"/>
        <v>0</v>
      </c>
    </row>
    <row r="183" spans="1:26" hidden="1">
      <c r="A183" s="986">
        <v>63115</v>
      </c>
      <c r="B183" s="993" t="s">
        <v>1921</v>
      </c>
      <c r="C183" s="897"/>
      <c r="D183" s="937"/>
      <c r="E183" s="897"/>
      <c r="F183" s="897"/>
      <c r="G183" s="897"/>
      <c r="H183" s="897"/>
      <c r="I183" s="897"/>
      <c r="J183" s="897"/>
      <c r="K183" s="897"/>
      <c r="L183" s="897"/>
      <c r="M183" s="897"/>
      <c r="N183" s="897"/>
      <c r="O183" s="897"/>
      <c r="P183" s="897">
        <f t="shared" si="60"/>
        <v>0</v>
      </c>
      <c r="Q183" s="898">
        <f t="shared" si="42"/>
        <v>0</v>
      </c>
      <c r="R183" s="936">
        <f t="shared" si="62"/>
        <v>0</v>
      </c>
      <c r="S183" s="935">
        <f t="shared" si="61"/>
        <v>0</v>
      </c>
      <c r="T183" s="935">
        <f t="shared" si="61"/>
        <v>0</v>
      </c>
      <c r="U183" s="935">
        <f t="shared" si="61"/>
        <v>0</v>
      </c>
      <c r="V183" s="935">
        <f t="shared" si="61"/>
        <v>0</v>
      </c>
      <c r="W183" s="935">
        <f t="shared" si="61"/>
        <v>0</v>
      </c>
      <c r="X183" s="935">
        <f t="shared" si="61"/>
        <v>0</v>
      </c>
      <c r="Y183" s="935">
        <f t="shared" si="51"/>
        <v>0</v>
      </c>
      <c r="Z183" s="935">
        <f t="shared" si="52"/>
        <v>0</v>
      </c>
    </row>
    <row r="184" spans="1:26" hidden="1">
      <c r="A184" s="986">
        <v>63116</v>
      </c>
      <c r="B184" s="993" t="s">
        <v>1922</v>
      </c>
      <c r="C184" s="897"/>
      <c r="D184" s="937"/>
      <c r="E184" s="897"/>
      <c r="F184" s="897"/>
      <c r="G184" s="897"/>
      <c r="H184" s="897"/>
      <c r="I184" s="897"/>
      <c r="J184" s="897"/>
      <c r="K184" s="897"/>
      <c r="L184" s="897"/>
      <c r="M184" s="897"/>
      <c r="N184" s="897"/>
      <c r="O184" s="897"/>
      <c r="P184" s="897">
        <f t="shared" si="60"/>
        <v>0</v>
      </c>
      <c r="Q184" s="898">
        <f t="shared" si="42"/>
        <v>0</v>
      </c>
      <c r="R184" s="936">
        <f t="shared" si="62"/>
        <v>0</v>
      </c>
      <c r="S184" s="935">
        <f t="shared" si="61"/>
        <v>0</v>
      </c>
      <c r="T184" s="935">
        <f t="shared" si="61"/>
        <v>0</v>
      </c>
      <c r="U184" s="935">
        <f t="shared" si="61"/>
        <v>0</v>
      </c>
      <c r="V184" s="935">
        <f t="shared" si="61"/>
        <v>0</v>
      </c>
      <c r="W184" s="935">
        <f t="shared" si="61"/>
        <v>0</v>
      </c>
      <c r="X184" s="935">
        <f t="shared" si="61"/>
        <v>0</v>
      </c>
      <c r="Y184" s="935">
        <f t="shared" si="51"/>
        <v>0</v>
      </c>
      <c r="Z184" s="935">
        <f t="shared" si="52"/>
        <v>0</v>
      </c>
    </row>
    <row r="185" spans="1:26" hidden="1">
      <c r="A185" s="986">
        <v>63117</v>
      </c>
      <c r="B185" s="993" t="s">
        <v>1923</v>
      </c>
      <c r="C185" s="897"/>
      <c r="D185" s="937"/>
      <c r="E185" s="897"/>
      <c r="F185" s="897"/>
      <c r="G185" s="897"/>
      <c r="H185" s="897"/>
      <c r="I185" s="897"/>
      <c r="J185" s="897"/>
      <c r="K185" s="897"/>
      <c r="L185" s="897"/>
      <c r="M185" s="897"/>
      <c r="N185" s="897"/>
      <c r="O185" s="897"/>
      <c r="P185" s="897">
        <f t="shared" si="60"/>
        <v>0</v>
      </c>
      <c r="Q185" s="898">
        <f t="shared" si="42"/>
        <v>0</v>
      </c>
      <c r="R185" s="936">
        <f t="shared" si="62"/>
        <v>0</v>
      </c>
      <c r="S185" s="935">
        <f t="shared" si="61"/>
        <v>0</v>
      </c>
      <c r="T185" s="935">
        <f t="shared" si="61"/>
        <v>0</v>
      </c>
      <c r="U185" s="935">
        <f t="shared" si="61"/>
        <v>0</v>
      </c>
      <c r="V185" s="935">
        <f t="shared" si="61"/>
        <v>0</v>
      </c>
      <c r="W185" s="935">
        <f t="shared" si="61"/>
        <v>0</v>
      </c>
      <c r="X185" s="935">
        <f t="shared" si="61"/>
        <v>0</v>
      </c>
      <c r="Y185" s="935">
        <f t="shared" si="51"/>
        <v>0</v>
      </c>
      <c r="Z185" s="935">
        <f t="shared" si="52"/>
        <v>0</v>
      </c>
    </row>
    <row r="186" spans="1:26" hidden="1">
      <c r="A186" s="986">
        <v>63118</v>
      </c>
      <c r="B186" s="993" t="s">
        <v>1924</v>
      </c>
      <c r="C186" s="897"/>
      <c r="D186" s="937"/>
      <c r="E186" s="897"/>
      <c r="F186" s="897"/>
      <c r="G186" s="897"/>
      <c r="H186" s="897"/>
      <c r="I186" s="897"/>
      <c r="J186" s="897"/>
      <c r="K186" s="897"/>
      <c r="L186" s="897"/>
      <c r="M186" s="897"/>
      <c r="N186" s="897"/>
      <c r="O186" s="897"/>
      <c r="P186" s="897">
        <f t="shared" si="60"/>
        <v>0</v>
      </c>
      <c r="Q186" s="898">
        <f t="shared" si="42"/>
        <v>0</v>
      </c>
      <c r="R186" s="936">
        <f t="shared" si="62"/>
        <v>0</v>
      </c>
      <c r="S186" s="935">
        <f t="shared" si="61"/>
        <v>0</v>
      </c>
      <c r="T186" s="935">
        <f t="shared" si="61"/>
        <v>0</v>
      </c>
      <c r="U186" s="935">
        <f t="shared" si="61"/>
        <v>0</v>
      </c>
      <c r="V186" s="935">
        <f t="shared" si="61"/>
        <v>0</v>
      </c>
      <c r="W186" s="935">
        <f t="shared" si="61"/>
        <v>0</v>
      </c>
      <c r="X186" s="935">
        <f t="shared" si="61"/>
        <v>0</v>
      </c>
      <c r="Y186" s="935">
        <f t="shared" si="51"/>
        <v>0</v>
      </c>
      <c r="Z186" s="935">
        <f t="shared" si="52"/>
        <v>0</v>
      </c>
    </row>
    <row r="187" spans="1:26" hidden="1">
      <c r="A187" s="986">
        <v>63119</v>
      </c>
      <c r="B187" s="993" t="s">
        <v>1925</v>
      </c>
      <c r="C187" s="897"/>
      <c r="D187" s="937"/>
      <c r="E187" s="897"/>
      <c r="F187" s="897"/>
      <c r="G187" s="897"/>
      <c r="H187" s="897"/>
      <c r="I187" s="897"/>
      <c r="J187" s="897"/>
      <c r="K187" s="897"/>
      <c r="L187" s="897"/>
      <c r="M187" s="897"/>
      <c r="N187" s="897"/>
      <c r="O187" s="897"/>
      <c r="P187" s="897">
        <f t="shared" si="60"/>
        <v>0</v>
      </c>
      <c r="Q187" s="898">
        <f t="shared" si="42"/>
        <v>0</v>
      </c>
      <c r="R187" s="936">
        <f t="shared" si="62"/>
        <v>0</v>
      </c>
      <c r="S187" s="935">
        <f t="shared" si="61"/>
        <v>0</v>
      </c>
      <c r="T187" s="935">
        <f t="shared" si="61"/>
        <v>0</v>
      </c>
      <c r="U187" s="935">
        <f t="shared" si="61"/>
        <v>0</v>
      </c>
      <c r="V187" s="935">
        <f t="shared" si="61"/>
        <v>0</v>
      </c>
      <c r="W187" s="935">
        <f t="shared" si="61"/>
        <v>0</v>
      </c>
      <c r="X187" s="935">
        <f t="shared" si="61"/>
        <v>0</v>
      </c>
      <c r="Y187" s="935">
        <f t="shared" si="51"/>
        <v>0</v>
      </c>
      <c r="Z187" s="935">
        <f t="shared" si="52"/>
        <v>0</v>
      </c>
    </row>
    <row r="188" spans="1:26">
      <c r="A188" s="984">
        <v>6312</v>
      </c>
      <c r="B188" s="1010" t="s">
        <v>1926</v>
      </c>
      <c r="C188" s="897"/>
      <c r="D188" s="937">
        <v>0</v>
      </c>
      <c r="E188" s="937">
        <v>0</v>
      </c>
      <c r="F188" s="937">
        <v>0</v>
      </c>
      <c r="G188" s="937">
        <v>0</v>
      </c>
      <c r="H188" s="937">
        <v>0</v>
      </c>
      <c r="I188" s="937">
        <v>0</v>
      </c>
      <c r="J188" s="937">
        <v>0</v>
      </c>
      <c r="K188" s="937">
        <v>0</v>
      </c>
      <c r="L188" s="937">
        <v>0</v>
      </c>
      <c r="M188" s="937">
        <v>0</v>
      </c>
      <c r="N188" s="937">
        <v>0</v>
      </c>
      <c r="O188" s="937">
        <v>0</v>
      </c>
      <c r="P188" s="897">
        <f t="shared" si="60"/>
        <v>0</v>
      </c>
      <c r="Q188" s="898">
        <f t="shared" si="42"/>
        <v>0</v>
      </c>
      <c r="R188" s="936">
        <f t="shared" si="62"/>
        <v>0</v>
      </c>
      <c r="S188" s="935">
        <f t="shared" ref="S188:X197" si="63">R188</f>
        <v>0</v>
      </c>
      <c r="T188" s="935">
        <f t="shared" si="63"/>
        <v>0</v>
      </c>
      <c r="U188" s="935">
        <f t="shared" si="63"/>
        <v>0</v>
      </c>
      <c r="V188" s="935">
        <f t="shared" si="63"/>
        <v>0</v>
      </c>
      <c r="W188" s="935">
        <f t="shared" si="63"/>
        <v>0</v>
      </c>
      <c r="X188" s="935">
        <f t="shared" si="63"/>
        <v>0</v>
      </c>
      <c r="Y188" s="935">
        <f t="shared" si="51"/>
        <v>0</v>
      </c>
      <c r="Z188" s="935">
        <f t="shared" si="52"/>
        <v>0</v>
      </c>
    </row>
    <row r="189" spans="1:26" hidden="1">
      <c r="A189" s="986">
        <v>63121</v>
      </c>
      <c r="B189" s="1009" t="s">
        <v>1927</v>
      </c>
      <c r="C189" s="897"/>
      <c r="D189" s="937">
        <f t="shared" ref="D189:H198" si="64">C189/12</f>
        <v>0</v>
      </c>
      <c r="E189" s="897">
        <f t="shared" si="64"/>
        <v>0</v>
      </c>
      <c r="F189" s="897">
        <f t="shared" si="64"/>
        <v>0</v>
      </c>
      <c r="G189" s="897">
        <f t="shared" si="64"/>
        <v>0</v>
      </c>
      <c r="H189" s="897">
        <f t="shared" si="64"/>
        <v>0</v>
      </c>
      <c r="I189" s="897"/>
      <c r="J189" s="897"/>
      <c r="K189" s="897"/>
      <c r="L189" s="897"/>
      <c r="M189" s="897"/>
      <c r="N189" s="897"/>
      <c r="O189" s="897"/>
      <c r="P189" s="897">
        <f t="shared" ref="P189:P220" si="65">SUM(D189:H189)</f>
        <v>0</v>
      </c>
      <c r="Q189" s="898">
        <f t="shared" si="42"/>
        <v>0</v>
      </c>
      <c r="R189" s="936">
        <f t="shared" si="62"/>
        <v>0</v>
      </c>
      <c r="S189" s="935">
        <f t="shared" si="63"/>
        <v>0</v>
      </c>
      <c r="T189" s="935">
        <f t="shared" si="63"/>
        <v>0</v>
      </c>
      <c r="U189" s="935">
        <f t="shared" si="63"/>
        <v>0</v>
      </c>
      <c r="V189" s="935">
        <f t="shared" si="63"/>
        <v>0</v>
      </c>
      <c r="W189" s="935">
        <f t="shared" si="63"/>
        <v>0</v>
      </c>
      <c r="X189" s="935">
        <f t="shared" si="63"/>
        <v>0</v>
      </c>
      <c r="Y189" s="935">
        <f t="shared" si="51"/>
        <v>0</v>
      </c>
      <c r="Z189" s="935">
        <f t="shared" si="52"/>
        <v>0</v>
      </c>
    </row>
    <row r="190" spans="1:26" hidden="1">
      <c r="A190" s="1008" t="s">
        <v>1928</v>
      </c>
      <c r="B190" s="1007" t="s">
        <v>1929</v>
      </c>
      <c r="C190" s="897"/>
      <c r="D190" s="937">
        <f t="shared" si="64"/>
        <v>0</v>
      </c>
      <c r="E190" s="897">
        <f t="shared" si="64"/>
        <v>0</v>
      </c>
      <c r="F190" s="897">
        <f t="shared" si="64"/>
        <v>0</v>
      </c>
      <c r="G190" s="897">
        <f t="shared" si="64"/>
        <v>0</v>
      </c>
      <c r="H190" s="897">
        <f t="shared" si="64"/>
        <v>0</v>
      </c>
      <c r="I190" s="897"/>
      <c r="J190" s="897"/>
      <c r="K190" s="897"/>
      <c r="L190" s="897"/>
      <c r="M190" s="897"/>
      <c r="N190" s="897"/>
      <c r="O190" s="897"/>
      <c r="P190" s="897">
        <f t="shared" si="65"/>
        <v>0</v>
      </c>
      <c r="Q190" s="898">
        <f t="shared" si="42"/>
        <v>0</v>
      </c>
      <c r="R190" s="936">
        <f t="shared" si="62"/>
        <v>0</v>
      </c>
      <c r="S190" s="935">
        <f t="shared" si="63"/>
        <v>0</v>
      </c>
      <c r="T190" s="935">
        <f t="shared" si="63"/>
        <v>0</v>
      </c>
      <c r="U190" s="935">
        <f t="shared" si="63"/>
        <v>0</v>
      </c>
      <c r="V190" s="935">
        <f t="shared" si="63"/>
        <v>0</v>
      </c>
      <c r="W190" s="935">
        <f t="shared" si="63"/>
        <v>0</v>
      </c>
      <c r="X190" s="935">
        <f t="shared" si="63"/>
        <v>0</v>
      </c>
      <c r="Y190" s="935">
        <f t="shared" si="51"/>
        <v>0</v>
      </c>
      <c r="Z190" s="935">
        <f t="shared" si="52"/>
        <v>0</v>
      </c>
    </row>
    <row r="191" spans="1:26" hidden="1">
      <c r="A191" s="1008" t="s">
        <v>1930</v>
      </c>
      <c r="B191" s="1007" t="s">
        <v>1931</v>
      </c>
      <c r="C191" s="897"/>
      <c r="D191" s="937">
        <f t="shared" si="64"/>
        <v>0</v>
      </c>
      <c r="E191" s="897">
        <f t="shared" si="64"/>
        <v>0</v>
      </c>
      <c r="F191" s="897">
        <f t="shared" si="64"/>
        <v>0</v>
      </c>
      <c r="G191" s="897">
        <f t="shared" si="64"/>
        <v>0</v>
      </c>
      <c r="H191" s="897">
        <f t="shared" si="64"/>
        <v>0</v>
      </c>
      <c r="I191" s="897"/>
      <c r="J191" s="897"/>
      <c r="K191" s="897"/>
      <c r="L191" s="897"/>
      <c r="M191" s="897"/>
      <c r="N191" s="897"/>
      <c r="O191" s="897"/>
      <c r="P191" s="897">
        <f t="shared" si="65"/>
        <v>0</v>
      </c>
      <c r="Q191" s="898">
        <f t="shared" si="42"/>
        <v>0</v>
      </c>
      <c r="R191" s="936">
        <f t="shared" si="62"/>
        <v>0</v>
      </c>
      <c r="S191" s="935">
        <f t="shared" si="63"/>
        <v>0</v>
      </c>
      <c r="T191" s="935">
        <f t="shared" si="63"/>
        <v>0</v>
      </c>
      <c r="U191" s="935">
        <f t="shared" si="63"/>
        <v>0</v>
      </c>
      <c r="V191" s="935">
        <f t="shared" si="63"/>
        <v>0</v>
      </c>
      <c r="W191" s="935">
        <f t="shared" si="63"/>
        <v>0</v>
      </c>
      <c r="X191" s="935">
        <f t="shared" si="63"/>
        <v>0</v>
      </c>
      <c r="Y191" s="935">
        <f t="shared" si="51"/>
        <v>0</v>
      </c>
      <c r="Z191" s="935">
        <f t="shared" si="52"/>
        <v>0</v>
      </c>
    </row>
    <row r="192" spans="1:26" hidden="1">
      <c r="A192" s="1008" t="s">
        <v>1932</v>
      </c>
      <c r="B192" s="1007" t="s">
        <v>1933</v>
      </c>
      <c r="C192" s="897"/>
      <c r="D192" s="937">
        <f t="shared" si="64"/>
        <v>0</v>
      </c>
      <c r="E192" s="897">
        <f t="shared" si="64"/>
        <v>0</v>
      </c>
      <c r="F192" s="897">
        <f t="shared" si="64"/>
        <v>0</v>
      </c>
      <c r="G192" s="897">
        <f t="shared" si="64"/>
        <v>0</v>
      </c>
      <c r="H192" s="897">
        <f t="shared" si="64"/>
        <v>0</v>
      </c>
      <c r="I192" s="897"/>
      <c r="J192" s="897"/>
      <c r="K192" s="897"/>
      <c r="L192" s="897"/>
      <c r="M192" s="897"/>
      <c r="N192" s="897"/>
      <c r="O192" s="897"/>
      <c r="P192" s="897">
        <f t="shared" si="65"/>
        <v>0</v>
      </c>
      <c r="Q192" s="898">
        <f t="shared" si="42"/>
        <v>0</v>
      </c>
      <c r="R192" s="936">
        <f t="shared" si="62"/>
        <v>0</v>
      </c>
      <c r="S192" s="935">
        <f t="shared" si="63"/>
        <v>0</v>
      </c>
      <c r="T192" s="935">
        <f t="shared" si="63"/>
        <v>0</v>
      </c>
      <c r="U192" s="935">
        <f t="shared" si="63"/>
        <v>0</v>
      </c>
      <c r="V192" s="935">
        <f t="shared" si="63"/>
        <v>0</v>
      </c>
      <c r="W192" s="935">
        <f t="shared" si="63"/>
        <v>0</v>
      </c>
      <c r="X192" s="935">
        <f t="shared" si="63"/>
        <v>0</v>
      </c>
      <c r="Y192" s="935">
        <f t="shared" si="51"/>
        <v>0</v>
      </c>
      <c r="Z192" s="935">
        <f t="shared" si="52"/>
        <v>0</v>
      </c>
    </row>
    <row r="193" spans="1:26" hidden="1">
      <c r="A193" s="1008" t="s">
        <v>1934</v>
      </c>
      <c r="B193" s="1007" t="s">
        <v>1935</v>
      </c>
      <c r="C193" s="897"/>
      <c r="D193" s="937">
        <f t="shared" si="64"/>
        <v>0</v>
      </c>
      <c r="E193" s="897">
        <f t="shared" si="64"/>
        <v>0</v>
      </c>
      <c r="F193" s="897">
        <f t="shared" si="64"/>
        <v>0</v>
      </c>
      <c r="G193" s="897">
        <f t="shared" si="64"/>
        <v>0</v>
      </c>
      <c r="H193" s="897">
        <f t="shared" si="64"/>
        <v>0</v>
      </c>
      <c r="I193" s="897"/>
      <c r="J193" s="897"/>
      <c r="K193" s="897"/>
      <c r="L193" s="897"/>
      <c r="M193" s="897"/>
      <c r="N193" s="897"/>
      <c r="O193" s="897"/>
      <c r="P193" s="897">
        <f t="shared" si="65"/>
        <v>0</v>
      </c>
      <c r="Q193" s="898">
        <f t="shared" si="42"/>
        <v>0</v>
      </c>
      <c r="R193" s="936">
        <f t="shared" si="62"/>
        <v>0</v>
      </c>
      <c r="S193" s="935">
        <f t="shared" si="63"/>
        <v>0</v>
      </c>
      <c r="T193" s="935">
        <f t="shared" si="63"/>
        <v>0</v>
      </c>
      <c r="U193" s="935">
        <f t="shared" si="63"/>
        <v>0</v>
      </c>
      <c r="V193" s="935">
        <f t="shared" si="63"/>
        <v>0</v>
      </c>
      <c r="W193" s="935">
        <f t="shared" si="63"/>
        <v>0</v>
      </c>
      <c r="X193" s="935">
        <f t="shared" si="63"/>
        <v>0</v>
      </c>
      <c r="Y193" s="935">
        <f t="shared" si="51"/>
        <v>0</v>
      </c>
      <c r="Z193" s="935">
        <f t="shared" si="52"/>
        <v>0</v>
      </c>
    </row>
    <row r="194" spans="1:26" hidden="1">
      <c r="A194" s="1008" t="s">
        <v>1936</v>
      </c>
      <c r="B194" s="1007" t="s">
        <v>1937</v>
      </c>
      <c r="C194" s="897"/>
      <c r="D194" s="937">
        <f t="shared" si="64"/>
        <v>0</v>
      </c>
      <c r="E194" s="897">
        <f t="shared" si="64"/>
        <v>0</v>
      </c>
      <c r="F194" s="897">
        <f t="shared" si="64"/>
        <v>0</v>
      </c>
      <c r="G194" s="897">
        <f t="shared" si="64"/>
        <v>0</v>
      </c>
      <c r="H194" s="897">
        <f t="shared" si="64"/>
        <v>0</v>
      </c>
      <c r="I194" s="897"/>
      <c r="J194" s="897"/>
      <c r="K194" s="897"/>
      <c r="L194" s="897"/>
      <c r="M194" s="897"/>
      <c r="N194" s="897"/>
      <c r="O194" s="897"/>
      <c r="P194" s="897">
        <f t="shared" si="65"/>
        <v>0</v>
      </c>
      <c r="Q194" s="898">
        <f t="shared" si="42"/>
        <v>0</v>
      </c>
      <c r="R194" s="936">
        <f t="shared" si="62"/>
        <v>0</v>
      </c>
      <c r="S194" s="935">
        <f t="shared" si="63"/>
        <v>0</v>
      </c>
      <c r="T194" s="935">
        <f t="shared" si="63"/>
        <v>0</v>
      </c>
      <c r="U194" s="935">
        <f t="shared" si="63"/>
        <v>0</v>
      </c>
      <c r="V194" s="935">
        <f t="shared" si="63"/>
        <v>0</v>
      </c>
      <c r="W194" s="935">
        <f t="shared" si="63"/>
        <v>0</v>
      </c>
      <c r="X194" s="935">
        <f t="shared" si="63"/>
        <v>0</v>
      </c>
      <c r="Y194" s="935">
        <f t="shared" si="51"/>
        <v>0</v>
      </c>
      <c r="Z194" s="935">
        <f t="shared" si="52"/>
        <v>0</v>
      </c>
    </row>
    <row r="195" spans="1:26" hidden="1">
      <c r="A195" s="1008" t="s">
        <v>1938</v>
      </c>
      <c r="B195" s="1007" t="s">
        <v>1939</v>
      </c>
      <c r="C195" s="897"/>
      <c r="D195" s="937">
        <f t="shared" si="64"/>
        <v>0</v>
      </c>
      <c r="E195" s="897">
        <f t="shared" si="64"/>
        <v>0</v>
      </c>
      <c r="F195" s="897">
        <f t="shared" si="64"/>
        <v>0</v>
      </c>
      <c r="G195" s="897">
        <f t="shared" si="64"/>
        <v>0</v>
      </c>
      <c r="H195" s="897">
        <f t="shared" si="64"/>
        <v>0</v>
      </c>
      <c r="I195" s="897"/>
      <c r="J195" s="897"/>
      <c r="K195" s="897"/>
      <c r="L195" s="897"/>
      <c r="M195" s="897"/>
      <c r="N195" s="897"/>
      <c r="O195" s="897"/>
      <c r="P195" s="897">
        <f t="shared" si="65"/>
        <v>0</v>
      </c>
      <c r="Q195" s="898">
        <f t="shared" si="42"/>
        <v>0</v>
      </c>
      <c r="R195" s="936">
        <f t="shared" si="62"/>
        <v>0</v>
      </c>
      <c r="S195" s="935">
        <f t="shared" si="63"/>
        <v>0</v>
      </c>
      <c r="T195" s="935">
        <f t="shared" si="63"/>
        <v>0</v>
      </c>
      <c r="U195" s="935">
        <f t="shared" si="63"/>
        <v>0</v>
      </c>
      <c r="V195" s="935">
        <f t="shared" si="63"/>
        <v>0</v>
      </c>
      <c r="W195" s="935">
        <f t="shared" si="63"/>
        <v>0</v>
      </c>
      <c r="X195" s="935">
        <f t="shared" si="63"/>
        <v>0</v>
      </c>
      <c r="Y195" s="935">
        <f t="shared" si="51"/>
        <v>0</v>
      </c>
      <c r="Z195" s="935">
        <f t="shared" si="52"/>
        <v>0</v>
      </c>
    </row>
    <row r="196" spans="1:26" hidden="1">
      <c r="A196" s="1008" t="s">
        <v>1940</v>
      </c>
      <c r="B196" s="1007" t="s">
        <v>1941</v>
      </c>
      <c r="C196" s="897"/>
      <c r="D196" s="937">
        <f t="shared" si="64"/>
        <v>0</v>
      </c>
      <c r="E196" s="897">
        <f t="shared" si="64"/>
        <v>0</v>
      </c>
      <c r="F196" s="897">
        <f t="shared" si="64"/>
        <v>0</v>
      </c>
      <c r="G196" s="897">
        <f t="shared" si="64"/>
        <v>0</v>
      </c>
      <c r="H196" s="897">
        <f t="shared" si="64"/>
        <v>0</v>
      </c>
      <c r="I196" s="897"/>
      <c r="J196" s="897"/>
      <c r="K196" s="897"/>
      <c r="L196" s="897"/>
      <c r="M196" s="897"/>
      <c r="N196" s="897"/>
      <c r="O196" s="897"/>
      <c r="P196" s="897">
        <f t="shared" si="65"/>
        <v>0</v>
      </c>
      <c r="Q196" s="898">
        <f t="shared" si="42"/>
        <v>0</v>
      </c>
      <c r="R196" s="936">
        <f t="shared" si="62"/>
        <v>0</v>
      </c>
      <c r="S196" s="935">
        <f t="shared" si="63"/>
        <v>0</v>
      </c>
      <c r="T196" s="935">
        <f t="shared" si="63"/>
        <v>0</v>
      </c>
      <c r="U196" s="935">
        <f t="shared" si="63"/>
        <v>0</v>
      </c>
      <c r="V196" s="935">
        <f t="shared" si="63"/>
        <v>0</v>
      </c>
      <c r="W196" s="935">
        <f t="shared" si="63"/>
        <v>0</v>
      </c>
      <c r="X196" s="935">
        <f t="shared" si="63"/>
        <v>0</v>
      </c>
      <c r="Y196" s="935">
        <f t="shared" si="51"/>
        <v>0</v>
      </c>
      <c r="Z196" s="935">
        <f t="shared" si="52"/>
        <v>0</v>
      </c>
    </row>
    <row r="197" spans="1:26" hidden="1">
      <c r="A197" s="986">
        <v>63122</v>
      </c>
      <c r="B197" s="1009" t="s">
        <v>1942</v>
      </c>
      <c r="C197" s="897"/>
      <c r="D197" s="937">
        <f t="shared" si="64"/>
        <v>0</v>
      </c>
      <c r="E197" s="897">
        <f t="shared" si="64"/>
        <v>0</v>
      </c>
      <c r="F197" s="897">
        <f t="shared" si="64"/>
        <v>0</v>
      </c>
      <c r="G197" s="897">
        <f t="shared" si="64"/>
        <v>0</v>
      </c>
      <c r="H197" s="897">
        <f t="shared" si="64"/>
        <v>0</v>
      </c>
      <c r="I197" s="897"/>
      <c r="J197" s="897"/>
      <c r="K197" s="897"/>
      <c r="L197" s="897"/>
      <c r="M197" s="897"/>
      <c r="N197" s="897"/>
      <c r="O197" s="897"/>
      <c r="P197" s="897">
        <f t="shared" si="65"/>
        <v>0</v>
      </c>
      <c r="Q197" s="898">
        <f t="shared" si="42"/>
        <v>0</v>
      </c>
      <c r="R197" s="936">
        <f t="shared" si="62"/>
        <v>0</v>
      </c>
      <c r="S197" s="935">
        <f t="shared" si="63"/>
        <v>0</v>
      </c>
      <c r="T197" s="935">
        <f t="shared" si="63"/>
        <v>0</v>
      </c>
      <c r="U197" s="935">
        <f t="shared" si="63"/>
        <v>0</v>
      </c>
      <c r="V197" s="935">
        <f t="shared" si="63"/>
        <v>0</v>
      </c>
      <c r="W197" s="935">
        <f t="shared" si="63"/>
        <v>0</v>
      </c>
      <c r="X197" s="935">
        <f t="shared" si="63"/>
        <v>0</v>
      </c>
      <c r="Y197" s="935">
        <f t="shared" si="51"/>
        <v>0</v>
      </c>
      <c r="Z197" s="935">
        <f t="shared" si="52"/>
        <v>0</v>
      </c>
    </row>
    <row r="198" spans="1:26" hidden="1">
      <c r="A198" s="1008" t="s">
        <v>1943</v>
      </c>
      <c r="B198" s="1007" t="s">
        <v>1944</v>
      </c>
      <c r="C198" s="897"/>
      <c r="D198" s="937">
        <f t="shared" si="64"/>
        <v>0</v>
      </c>
      <c r="E198" s="897">
        <f t="shared" si="64"/>
        <v>0</v>
      </c>
      <c r="F198" s="897">
        <f t="shared" si="64"/>
        <v>0</v>
      </c>
      <c r="G198" s="897">
        <f t="shared" si="64"/>
        <v>0</v>
      </c>
      <c r="H198" s="897">
        <f t="shared" si="64"/>
        <v>0</v>
      </c>
      <c r="I198" s="897"/>
      <c r="J198" s="897"/>
      <c r="K198" s="897"/>
      <c r="L198" s="897"/>
      <c r="M198" s="897"/>
      <c r="N198" s="897"/>
      <c r="O198" s="897"/>
      <c r="P198" s="897">
        <f t="shared" si="65"/>
        <v>0</v>
      </c>
      <c r="Q198" s="898">
        <f t="shared" si="42"/>
        <v>0</v>
      </c>
      <c r="R198" s="936">
        <f t="shared" si="62"/>
        <v>0</v>
      </c>
      <c r="S198" s="935">
        <f t="shared" ref="S198:X207" si="66">R198</f>
        <v>0</v>
      </c>
      <c r="T198" s="935">
        <f t="shared" si="66"/>
        <v>0</v>
      </c>
      <c r="U198" s="935">
        <f t="shared" si="66"/>
        <v>0</v>
      </c>
      <c r="V198" s="935">
        <f t="shared" si="66"/>
        <v>0</v>
      </c>
      <c r="W198" s="935">
        <f t="shared" si="66"/>
        <v>0</v>
      </c>
      <c r="X198" s="935">
        <f t="shared" si="66"/>
        <v>0</v>
      </c>
      <c r="Y198" s="935">
        <f t="shared" si="51"/>
        <v>0</v>
      </c>
      <c r="Z198" s="935">
        <f t="shared" si="52"/>
        <v>0</v>
      </c>
    </row>
    <row r="199" spans="1:26" hidden="1">
      <c r="A199" s="1008" t="s">
        <v>1945</v>
      </c>
      <c r="B199" s="1007" t="s">
        <v>1946</v>
      </c>
      <c r="C199" s="897"/>
      <c r="D199" s="937">
        <f t="shared" ref="D199:H208" si="67">C199/12</f>
        <v>0</v>
      </c>
      <c r="E199" s="897">
        <f t="shared" si="67"/>
        <v>0</v>
      </c>
      <c r="F199" s="897">
        <f t="shared" si="67"/>
        <v>0</v>
      </c>
      <c r="G199" s="897">
        <f t="shared" si="67"/>
        <v>0</v>
      </c>
      <c r="H199" s="897">
        <f t="shared" si="67"/>
        <v>0</v>
      </c>
      <c r="I199" s="897"/>
      <c r="J199" s="897"/>
      <c r="K199" s="897"/>
      <c r="L199" s="897"/>
      <c r="M199" s="897"/>
      <c r="N199" s="897"/>
      <c r="O199" s="897"/>
      <c r="P199" s="897">
        <f t="shared" si="65"/>
        <v>0</v>
      </c>
      <c r="Q199" s="898">
        <f t="shared" si="42"/>
        <v>0</v>
      </c>
      <c r="R199" s="936">
        <f t="shared" si="62"/>
        <v>0</v>
      </c>
      <c r="S199" s="935">
        <f t="shared" si="66"/>
        <v>0</v>
      </c>
      <c r="T199" s="935">
        <f t="shared" si="66"/>
        <v>0</v>
      </c>
      <c r="U199" s="935">
        <f t="shared" si="66"/>
        <v>0</v>
      </c>
      <c r="V199" s="935">
        <f t="shared" si="66"/>
        <v>0</v>
      </c>
      <c r="W199" s="935">
        <f t="shared" si="66"/>
        <v>0</v>
      </c>
      <c r="X199" s="935">
        <f t="shared" si="66"/>
        <v>0</v>
      </c>
      <c r="Y199" s="935">
        <f t="shared" si="51"/>
        <v>0</v>
      </c>
      <c r="Z199" s="935">
        <f t="shared" si="52"/>
        <v>0</v>
      </c>
    </row>
    <row r="200" spans="1:26" hidden="1">
      <c r="A200" s="1008" t="s">
        <v>1947</v>
      </c>
      <c r="B200" s="1007" t="s">
        <v>1948</v>
      </c>
      <c r="C200" s="897"/>
      <c r="D200" s="937">
        <f t="shared" si="67"/>
        <v>0</v>
      </c>
      <c r="E200" s="897">
        <f t="shared" si="67"/>
        <v>0</v>
      </c>
      <c r="F200" s="897">
        <f t="shared" si="67"/>
        <v>0</v>
      </c>
      <c r="G200" s="897">
        <f t="shared" si="67"/>
        <v>0</v>
      </c>
      <c r="H200" s="897">
        <f t="shared" si="67"/>
        <v>0</v>
      </c>
      <c r="I200" s="897"/>
      <c r="J200" s="897"/>
      <c r="K200" s="897"/>
      <c r="L200" s="897"/>
      <c r="M200" s="897"/>
      <c r="N200" s="897"/>
      <c r="O200" s="897"/>
      <c r="P200" s="897">
        <f t="shared" si="65"/>
        <v>0</v>
      </c>
      <c r="Q200" s="898">
        <f t="shared" si="42"/>
        <v>0</v>
      </c>
      <c r="R200" s="936">
        <f t="shared" si="62"/>
        <v>0</v>
      </c>
      <c r="S200" s="935">
        <f t="shared" si="66"/>
        <v>0</v>
      </c>
      <c r="T200" s="935">
        <f t="shared" si="66"/>
        <v>0</v>
      </c>
      <c r="U200" s="935">
        <f t="shared" si="66"/>
        <v>0</v>
      </c>
      <c r="V200" s="935">
        <f t="shared" si="66"/>
        <v>0</v>
      </c>
      <c r="W200" s="935">
        <f t="shared" si="66"/>
        <v>0</v>
      </c>
      <c r="X200" s="935">
        <f t="shared" si="66"/>
        <v>0</v>
      </c>
      <c r="Y200" s="935">
        <f t="shared" si="51"/>
        <v>0</v>
      </c>
      <c r="Z200" s="935">
        <f t="shared" si="52"/>
        <v>0</v>
      </c>
    </row>
    <row r="201" spans="1:26" hidden="1">
      <c r="A201" s="1008" t="s">
        <v>1949</v>
      </c>
      <c r="B201" s="1007" t="s">
        <v>1950</v>
      </c>
      <c r="C201" s="897"/>
      <c r="D201" s="937">
        <f t="shared" si="67"/>
        <v>0</v>
      </c>
      <c r="E201" s="897">
        <f t="shared" si="67"/>
        <v>0</v>
      </c>
      <c r="F201" s="897">
        <f t="shared" si="67"/>
        <v>0</v>
      </c>
      <c r="G201" s="897">
        <f t="shared" si="67"/>
        <v>0</v>
      </c>
      <c r="H201" s="897">
        <f t="shared" si="67"/>
        <v>0</v>
      </c>
      <c r="I201" s="897"/>
      <c r="J201" s="897"/>
      <c r="K201" s="897"/>
      <c r="L201" s="897"/>
      <c r="M201" s="897"/>
      <c r="N201" s="897"/>
      <c r="O201" s="897"/>
      <c r="P201" s="897">
        <f t="shared" si="65"/>
        <v>0</v>
      </c>
      <c r="Q201" s="898">
        <f t="shared" si="42"/>
        <v>0</v>
      </c>
      <c r="R201" s="936">
        <f t="shared" si="62"/>
        <v>0</v>
      </c>
      <c r="S201" s="935">
        <f t="shared" si="66"/>
        <v>0</v>
      </c>
      <c r="T201" s="935">
        <f t="shared" si="66"/>
        <v>0</v>
      </c>
      <c r="U201" s="935">
        <f t="shared" si="66"/>
        <v>0</v>
      </c>
      <c r="V201" s="935">
        <f t="shared" si="66"/>
        <v>0</v>
      </c>
      <c r="W201" s="935">
        <f t="shared" si="66"/>
        <v>0</v>
      </c>
      <c r="X201" s="935">
        <f t="shared" si="66"/>
        <v>0</v>
      </c>
      <c r="Y201" s="935">
        <f t="shared" si="51"/>
        <v>0</v>
      </c>
      <c r="Z201" s="935">
        <f t="shared" si="52"/>
        <v>0</v>
      </c>
    </row>
    <row r="202" spans="1:26" hidden="1">
      <c r="A202" s="1008" t="s">
        <v>1951</v>
      </c>
      <c r="B202" s="1007" t="s">
        <v>1952</v>
      </c>
      <c r="C202" s="897"/>
      <c r="D202" s="937">
        <f t="shared" si="67"/>
        <v>0</v>
      </c>
      <c r="E202" s="897">
        <f t="shared" si="67"/>
        <v>0</v>
      </c>
      <c r="F202" s="897">
        <f t="shared" si="67"/>
        <v>0</v>
      </c>
      <c r="G202" s="897">
        <f t="shared" si="67"/>
        <v>0</v>
      </c>
      <c r="H202" s="897">
        <f t="shared" si="67"/>
        <v>0</v>
      </c>
      <c r="I202" s="897"/>
      <c r="J202" s="897"/>
      <c r="K202" s="897"/>
      <c r="L202" s="897"/>
      <c r="M202" s="897"/>
      <c r="N202" s="897"/>
      <c r="O202" s="897"/>
      <c r="P202" s="897">
        <f t="shared" si="65"/>
        <v>0</v>
      </c>
      <c r="Q202" s="898">
        <f t="shared" si="42"/>
        <v>0</v>
      </c>
      <c r="R202" s="936">
        <f t="shared" si="62"/>
        <v>0</v>
      </c>
      <c r="S202" s="935">
        <f t="shared" si="66"/>
        <v>0</v>
      </c>
      <c r="T202" s="935">
        <f t="shared" si="66"/>
        <v>0</v>
      </c>
      <c r="U202" s="935">
        <f t="shared" si="66"/>
        <v>0</v>
      </c>
      <c r="V202" s="935">
        <f t="shared" si="66"/>
        <v>0</v>
      </c>
      <c r="W202" s="935">
        <f t="shared" si="66"/>
        <v>0</v>
      </c>
      <c r="X202" s="935">
        <f t="shared" si="66"/>
        <v>0</v>
      </c>
      <c r="Y202" s="935">
        <f t="shared" si="51"/>
        <v>0</v>
      </c>
      <c r="Z202" s="935">
        <f t="shared" si="52"/>
        <v>0</v>
      </c>
    </row>
    <row r="203" spans="1:26" hidden="1">
      <c r="A203" s="1008" t="s">
        <v>1953</v>
      </c>
      <c r="B203" s="1007" t="s">
        <v>1954</v>
      </c>
      <c r="C203" s="897"/>
      <c r="D203" s="937">
        <f t="shared" si="67"/>
        <v>0</v>
      </c>
      <c r="E203" s="897">
        <f t="shared" si="67"/>
        <v>0</v>
      </c>
      <c r="F203" s="897">
        <f t="shared" si="67"/>
        <v>0</v>
      </c>
      <c r="G203" s="897">
        <f t="shared" si="67"/>
        <v>0</v>
      </c>
      <c r="H203" s="897">
        <f t="shared" si="67"/>
        <v>0</v>
      </c>
      <c r="I203" s="897"/>
      <c r="J203" s="897"/>
      <c r="K203" s="897"/>
      <c r="L203" s="897"/>
      <c r="M203" s="897"/>
      <c r="N203" s="897"/>
      <c r="O203" s="897"/>
      <c r="P203" s="897">
        <f t="shared" si="65"/>
        <v>0</v>
      </c>
      <c r="Q203" s="898">
        <f t="shared" si="42"/>
        <v>0</v>
      </c>
      <c r="R203" s="936">
        <f t="shared" si="62"/>
        <v>0</v>
      </c>
      <c r="S203" s="935">
        <f t="shared" si="66"/>
        <v>0</v>
      </c>
      <c r="T203" s="935">
        <f t="shared" si="66"/>
        <v>0</v>
      </c>
      <c r="U203" s="935">
        <f t="shared" si="66"/>
        <v>0</v>
      </c>
      <c r="V203" s="935">
        <f t="shared" si="66"/>
        <v>0</v>
      </c>
      <c r="W203" s="935">
        <f t="shared" si="66"/>
        <v>0</v>
      </c>
      <c r="X203" s="935">
        <f t="shared" si="66"/>
        <v>0</v>
      </c>
      <c r="Y203" s="935">
        <f t="shared" si="51"/>
        <v>0</v>
      </c>
      <c r="Z203" s="935">
        <f t="shared" si="52"/>
        <v>0</v>
      </c>
    </row>
    <row r="204" spans="1:26" hidden="1">
      <c r="A204" s="986">
        <v>63123</v>
      </c>
      <c r="B204" s="1009" t="s">
        <v>1955</v>
      </c>
      <c r="C204" s="897"/>
      <c r="D204" s="937">
        <f t="shared" si="67"/>
        <v>0</v>
      </c>
      <c r="E204" s="897">
        <f t="shared" si="67"/>
        <v>0</v>
      </c>
      <c r="F204" s="897">
        <f t="shared" si="67"/>
        <v>0</v>
      </c>
      <c r="G204" s="897">
        <f t="shared" si="67"/>
        <v>0</v>
      </c>
      <c r="H204" s="897">
        <f t="shared" si="67"/>
        <v>0</v>
      </c>
      <c r="I204" s="897"/>
      <c r="J204" s="897"/>
      <c r="K204" s="897"/>
      <c r="L204" s="897"/>
      <c r="M204" s="897"/>
      <c r="N204" s="897"/>
      <c r="O204" s="897"/>
      <c r="P204" s="897">
        <f t="shared" si="65"/>
        <v>0</v>
      </c>
      <c r="Q204" s="898">
        <f t="shared" si="42"/>
        <v>0</v>
      </c>
      <c r="R204" s="936">
        <f t="shared" si="62"/>
        <v>0</v>
      </c>
      <c r="S204" s="935">
        <f t="shared" si="66"/>
        <v>0</v>
      </c>
      <c r="T204" s="935">
        <f t="shared" si="66"/>
        <v>0</v>
      </c>
      <c r="U204" s="935">
        <f t="shared" si="66"/>
        <v>0</v>
      </c>
      <c r="V204" s="935">
        <f t="shared" si="66"/>
        <v>0</v>
      </c>
      <c r="W204" s="935">
        <f t="shared" si="66"/>
        <v>0</v>
      </c>
      <c r="X204" s="935">
        <f t="shared" si="66"/>
        <v>0</v>
      </c>
      <c r="Y204" s="935">
        <f t="shared" si="51"/>
        <v>0</v>
      </c>
      <c r="Z204" s="935">
        <f t="shared" si="52"/>
        <v>0</v>
      </c>
    </row>
    <row r="205" spans="1:26" hidden="1">
      <c r="A205" s="1008" t="s">
        <v>1956</v>
      </c>
      <c r="B205" s="1007" t="s">
        <v>1957</v>
      </c>
      <c r="C205" s="897"/>
      <c r="D205" s="937">
        <f t="shared" si="67"/>
        <v>0</v>
      </c>
      <c r="E205" s="897">
        <f t="shared" si="67"/>
        <v>0</v>
      </c>
      <c r="F205" s="897">
        <f t="shared" si="67"/>
        <v>0</v>
      </c>
      <c r="G205" s="897">
        <f t="shared" si="67"/>
        <v>0</v>
      </c>
      <c r="H205" s="897">
        <f t="shared" si="67"/>
        <v>0</v>
      </c>
      <c r="I205" s="897"/>
      <c r="J205" s="897"/>
      <c r="K205" s="897"/>
      <c r="L205" s="897"/>
      <c r="M205" s="897"/>
      <c r="N205" s="897"/>
      <c r="O205" s="897"/>
      <c r="P205" s="897">
        <f t="shared" si="65"/>
        <v>0</v>
      </c>
      <c r="Q205" s="898">
        <f t="shared" si="42"/>
        <v>0</v>
      </c>
      <c r="R205" s="936">
        <f t="shared" si="62"/>
        <v>0</v>
      </c>
      <c r="S205" s="935">
        <f t="shared" si="66"/>
        <v>0</v>
      </c>
      <c r="T205" s="935">
        <f t="shared" si="66"/>
        <v>0</v>
      </c>
      <c r="U205" s="935">
        <f t="shared" si="66"/>
        <v>0</v>
      </c>
      <c r="V205" s="935">
        <f t="shared" si="66"/>
        <v>0</v>
      </c>
      <c r="W205" s="935">
        <f t="shared" si="66"/>
        <v>0</v>
      </c>
      <c r="X205" s="935">
        <f t="shared" si="66"/>
        <v>0</v>
      </c>
      <c r="Y205" s="935">
        <f t="shared" si="51"/>
        <v>0</v>
      </c>
      <c r="Z205" s="935">
        <f t="shared" si="52"/>
        <v>0</v>
      </c>
    </row>
    <row r="206" spans="1:26" hidden="1">
      <c r="A206" s="1008" t="s">
        <v>1958</v>
      </c>
      <c r="B206" s="1007" t="s">
        <v>1959</v>
      </c>
      <c r="C206" s="897"/>
      <c r="D206" s="937">
        <f t="shared" si="67"/>
        <v>0</v>
      </c>
      <c r="E206" s="897">
        <f t="shared" si="67"/>
        <v>0</v>
      </c>
      <c r="F206" s="897">
        <f t="shared" si="67"/>
        <v>0</v>
      </c>
      <c r="G206" s="897">
        <f t="shared" si="67"/>
        <v>0</v>
      </c>
      <c r="H206" s="897">
        <f t="shared" si="67"/>
        <v>0</v>
      </c>
      <c r="I206" s="897"/>
      <c r="J206" s="897"/>
      <c r="K206" s="897"/>
      <c r="L206" s="897"/>
      <c r="M206" s="897"/>
      <c r="N206" s="897"/>
      <c r="O206" s="897"/>
      <c r="P206" s="897">
        <f t="shared" si="65"/>
        <v>0</v>
      </c>
      <c r="Q206" s="898">
        <f t="shared" si="42"/>
        <v>0</v>
      </c>
      <c r="R206" s="936">
        <f t="shared" si="62"/>
        <v>0</v>
      </c>
      <c r="S206" s="935">
        <f t="shared" si="66"/>
        <v>0</v>
      </c>
      <c r="T206" s="935">
        <f t="shared" si="66"/>
        <v>0</v>
      </c>
      <c r="U206" s="935">
        <f t="shared" si="66"/>
        <v>0</v>
      </c>
      <c r="V206" s="935">
        <f t="shared" si="66"/>
        <v>0</v>
      </c>
      <c r="W206" s="935">
        <f t="shared" si="66"/>
        <v>0</v>
      </c>
      <c r="X206" s="935">
        <f t="shared" si="66"/>
        <v>0</v>
      </c>
      <c r="Y206" s="935">
        <f t="shared" si="51"/>
        <v>0</v>
      </c>
      <c r="Z206" s="935">
        <f t="shared" si="52"/>
        <v>0</v>
      </c>
    </row>
    <row r="207" spans="1:26" hidden="1">
      <c r="A207" s="1008" t="s">
        <v>1960</v>
      </c>
      <c r="B207" s="1007" t="s">
        <v>1961</v>
      </c>
      <c r="C207" s="897"/>
      <c r="D207" s="937">
        <f t="shared" si="67"/>
        <v>0</v>
      </c>
      <c r="E207" s="897">
        <f t="shared" si="67"/>
        <v>0</v>
      </c>
      <c r="F207" s="897">
        <f t="shared" si="67"/>
        <v>0</v>
      </c>
      <c r="G207" s="897">
        <f t="shared" si="67"/>
        <v>0</v>
      </c>
      <c r="H207" s="897">
        <f t="shared" si="67"/>
        <v>0</v>
      </c>
      <c r="I207" s="897"/>
      <c r="J207" s="897"/>
      <c r="K207" s="897"/>
      <c r="L207" s="897"/>
      <c r="M207" s="897"/>
      <c r="N207" s="897"/>
      <c r="O207" s="897"/>
      <c r="P207" s="897">
        <f t="shared" si="65"/>
        <v>0</v>
      </c>
      <c r="Q207" s="898">
        <f t="shared" si="42"/>
        <v>0</v>
      </c>
      <c r="R207" s="936">
        <f t="shared" si="62"/>
        <v>0</v>
      </c>
      <c r="S207" s="935">
        <f t="shared" si="66"/>
        <v>0</v>
      </c>
      <c r="T207" s="935">
        <f t="shared" si="66"/>
        <v>0</v>
      </c>
      <c r="U207" s="935">
        <f t="shared" si="66"/>
        <v>0</v>
      </c>
      <c r="V207" s="935">
        <f t="shared" si="66"/>
        <v>0</v>
      </c>
      <c r="W207" s="935">
        <f t="shared" si="66"/>
        <v>0</v>
      </c>
      <c r="X207" s="935">
        <f t="shared" si="66"/>
        <v>0</v>
      </c>
      <c r="Y207" s="935">
        <f t="shared" si="51"/>
        <v>0</v>
      </c>
      <c r="Z207" s="935">
        <f t="shared" si="52"/>
        <v>0</v>
      </c>
    </row>
    <row r="208" spans="1:26" hidden="1">
      <c r="A208" s="1008" t="s">
        <v>1962</v>
      </c>
      <c r="B208" s="1007" t="s">
        <v>1963</v>
      </c>
      <c r="C208" s="897"/>
      <c r="D208" s="937">
        <f t="shared" si="67"/>
        <v>0</v>
      </c>
      <c r="E208" s="897">
        <f t="shared" si="67"/>
        <v>0</v>
      </c>
      <c r="F208" s="897">
        <f t="shared" si="67"/>
        <v>0</v>
      </c>
      <c r="G208" s="897">
        <f t="shared" si="67"/>
        <v>0</v>
      </c>
      <c r="H208" s="897">
        <f t="shared" si="67"/>
        <v>0</v>
      </c>
      <c r="I208" s="897"/>
      <c r="J208" s="897"/>
      <c r="K208" s="897"/>
      <c r="L208" s="897"/>
      <c r="M208" s="897"/>
      <c r="N208" s="897"/>
      <c r="O208" s="897"/>
      <c r="P208" s="897">
        <f t="shared" si="65"/>
        <v>0</v>
      </c>
      <c r="Q208" s="898">
        <f t="shared" si="42"/>
        <v>0</v>
      </c>
      <c r="R208" s="936">
        <f t="shared" si="62"/>
        <v>0</v>
      </c>
      <c r="S208" s="935">
        <f t="shared" ref="S208:X217" si="68">R208</f>
        <v>0</v>
      </c>
      <c r="T208" s="935">
        <f t="shared" si="68"/>
        <v>0</v>
      </c>
      <c r="U208" s="935">
        <f t="shared" si="68"/>
        <v>0</v>
      </c>
      <c r="V208" s="935">
        <f t="shared" si="68"/>
        <v>0</v>
      </c>
      <c r="W208" s="935">
        <f t="shared" si="68"/>
        <v>0</v>
      </c>
      <c r="X208" s="935">
        <f t="shared" si="68"/>
        <v>0</v>
      </c>
      <c r="Y208" s="935">
        <f t="shared" si="51"/>
        <v>0</v>
      </c>
      <c r="Z208" s="935">
        <f t="shared" si="52"/>
        <v>0</v>
      </c>
    </row>
    <row r="209" spans="1:26" hidden="1">
      <c r="A209" s="1008" t="s">
        <v>1964</v>
      </c>
      <c r="B209" s="1007" t="s">
        <v>1965</v>
      </c>
      <c r="C209" s="897"/>
      <c r="D209" s="937">
        <f t="shared" ref="D209:H218" si="69">C209/12</f>
        <v>0</v>
      </c>
      <c r="E209" s="897">
        <f t="shared" si="69"/>
        <v>0</v>
      </c>
      <c r="F209" s="897">
        <f t="shared" si="69"/>
        <v>0</v>
      </c>
      <c r="G209" s="897">
        <f t="shared" si="69"/>
        <v>0</v>
      </c>
      <c r="H209" s="897">
        <f t="shared" si="69"/>
        <v>0</v>
      </c>
      <c r="I209" s="897"/>
      <c r="J209" s="897"/>
      <c r="K209" s="897"/>
      <c r="L209" s="897"/>
      <c r="M209" s="897"/>
      <c r="N209" s="897"/>
      <c r="O209" s="897"/>
      <c r="P209" s="897">
        <f t="shared" si="65"/>
        <v>0</v>
      </c>
      <c r="Q209" s="898">
        <f t="shared" ref="Q209:Q272" si="70">C209-P209</f>
        <v>0</v>
      </c>
      <c r="R209" s="936">
        <f t="shared" si="62"/>
        <v>0</v>
      </c>
      <c r="S209" s="935">
        <f t="shared" si="68"/>
        <v>0</v>
      </c>
      <c r="T209" s="935">
        <f t="shared" si="68"/>
        <v>0</v>
      </c>
      <c r="U209" s="935">
        <f t="shared" si="68"/>
        <v>0</v>
      </c>
      <c r="V209" s="935">
        <f t="shared" si="68"/>
        <v>0</v>
      </c>
      <c r="W209" s="935">
        <f t="shared" si="68"/>
        <v>0</v>
      </c>
      <c r="X209" s="935">
        <f t="shared" si="68"/>
        <v>0</v>
      </c>
      <c r="Y209" s="935">
        <f t="shared" si="51"/>
        <v>0</v>
      </c>
      <c r="Z209" s="935">
        <f t="shared" si="52"/>
        <v>0</v>
      </c>
    </row>
    <row r="210" spans="1:26" hidden="1">
      <c r="A210" s="1008" t="s">
        <v>1966</v>
      </c>
      <c r="B210" s="1007" t="s">
        <v>1967</v>
      </c>
      <c r="C210" s="897"/>
      <c r="D210" s="937">
        <f t="shared" si="69"/>
        <v>0</v>
      </c>
      <c r="E210" s="897">
        <f t="shared" si="69"/>
        <v>0</v>
      </c>
      <c r="F210" s="897">
        <f t="shared" si="69"/>
        <v>0</v>
      </c>
      <c r="G210" s="897">
        <f t="shared" si="69"/>
        <v>0</v>
      </c>
      <c r="H210" s="897">
        <f t="shared" si="69"/>
        <v>0</v>
      </c>
      <c r="I210" s="897"/>
      <c r="J210" s="897"/>
      <c r="K210" s="897"/>
      <c r="L210" s="897"/>
      <c r="M210" s="897"/>
      <c r="N210" s="897"/>
      <c r="O210" s="897"/>
      <c r="P210" s="897">
        <f t="shared" si="65"/>
        <v>0</v>
      </c>
      <c r="Q210" s="898">
        <f t="shared" si="70"/>
        <v>0</v>
      </c>
      <c r="R210" s="936">
        <f t="shared" si="62"/>
        <v>0</v>
      </c>
      <c r="S210" s="935">
        <f t="shared" si="68"/>
        <v>0</v>
      </c>
      <c r="T210" s="935">
        <f t="shared" si="68"/>
        <v>0</v>
      </c>
      <c r="U210" s="935">
        <f t="shared" si="68"/>
        <v>0</v>
      </c>
      <c r="V210" s="935">
        <f t="shared" si="68"/>
        <v>0</v>
      </c>
      <c r="W210" s="935">
        <f t="shared" si="68"/>
        <v>0</v>
      </c>
      <c r="X210" s="935">
        <f t="shared" si="68"/>
        <v>0</v>
      </c>
      <c r="Y210" s="935">
        <f t="shared" si="51"/>
        <v>0</v>
      </c>
      <c r="Z210" s="935">
        <f t="shared" si="52"/>
        <v>0</v>
      </c>
    </row>
    <row r="211" spans="1:26" hidden="1">
      <c r="A211" s="1008" t="s">
        <v>1968</v>
      </c>
      <c r="B211" s="1007" t="s">
        <v>1969</v>
      </c>
      <c r="C211" s="897"/>
      <c r="D211" s="937">
        <f t="shared" si="69"/>
        <v>0</v>
      </c>
      <c r="E211" s="897">
        <f t="shared" si="69"/>
        <v>0</v>
      </c>
      <c r="F211" s="897">
        <f t="shared" si="69"/>
        <v>0</v>
      </c>
      <c r="G211" s="897">
        <f t="shared" si="69"/>
        <v>0</v>
      </c>
      <c r="H211" s="897">
        <f t="shared" si="69"/>
        <v>0</v>
      </c>
      <c r="I211" s="897"/>
      <c r="J211" s="897"/>
      <c r="K211" s="897"/>
      <c r="L211" s="897"/>
      <c r="M211" s="897"/>
      <c r="N211" s="897"/>
      <c r="O211" s="897"/>
      <c r="P211" s="897">
        <f t="shared" si="65"/>
        <v>0</v>
      </c>
      <c r="Q211" s="898">
        <f t="shared" si="70"/>
        <v>0</v>
      </c>
      <c r="R211" s="936">
        <f t="shared" ref="R211:R242" si="71">Q211/7</f>
        <v>0</v>
      </c>
      <c r="S211" s="935">
        <f t="shared" si="68"/>
        <v>0</v>
      </c>
      <c r="T211" s="935">
        <f t="shared" si="68"/>
        <v>0</v>
      </c>
      <c r="U211" s="935">
        <f t="shared" si="68"/>
        <v>0</v>
      </c>
      <c r="V211" s="935">
        <f t="shared" si="68"/>
        <v>0</v>
      </c>
      <c r="W211" s="935">
        <f t="shared" si="68"/>
        <v>0</v>
      </c>
      <c r="X211" s="935">
        <f t="shared" si="68"/>
        <v>0</v>
      </c>
      <c r="Y211" s="935">
        <f t="shared" si="51"/>
        <v>0</v>
      </c>
      <c r="Z211" s="935">
        <f t="shared" si="52"/>
        <v>0</v>
      </c>
    </row>
    <row r="212" spans="1:26" hidden="1">
      <c r="A212" s="1008" t="s">
        <v>1970</v>
      </c>
      <c r="B212" s="1007" t="s">
        <v>1971</v>
      </c>
      <c r="C212" s="897"/>
      <c r="D212" s="937">
        <f t="shared" si="69"/>
        <v>0</v>
      </c>
      <c r="E212" s="897">
        <f t="shared" si="69"/>
        <v>0</v>
      </c>
      <c r="F212" s="897">
        <f t="shared" si="69"/>
        <v>0</v>
      </c>
      <c r="G212" s="897">
        <f t="shared" si="69"/>
        <v>0</v>
      </c>
      <c r="H212" s="897">
        <f t="shared" si="69"/>
        <v>0</v>
      </c>
      <c r="I212" s="897"/>
      <c r="J212" s="897"/>
      <c r="K212" s="897"/>
      <c r="L212" s="897"/>
      <c r="M212" s="897"/>
      <c r="N212" s="897"/>
      <c r="O212" s="897"/>
      <c r="P212" s="897">
        <f t="shared" si="65"/>
        <v>0</v>
      </c>
      <c r="Q212" s="898">
        <f t="shared" si="70"/>
        <v>0</v>
      </c>
      <c r="R212" s="936">
        <f t="shared" si="71"/>
        <v>0</v>
      </c>
      <c r="S212" s="935">
        <f t="shared" si="68"/>
        <v>0</v>
      </c>
      <c r="T212" s="935">
        <f t="shared" si="68"/>
        <v>0</v>
      </c>
      <c r="U212" s="935">
        <f t="shared" si="68"/>
        <v>0</v>
      </c>
      <c r="V212" s="935">
        <f t="shared" si="68"/>
        <v>0</v>
      </c>
      <c r="W212" s="935">
        <f t="shared" si="68"/>
        <v>0</v>
      </c>
      <c r="X212" s="935">
        <f t="shared" si="68"/>
        <v>0</v>
      </c>
      <c r="Y212" s="935">
        <f t="shared" si="51"/>
        <v>0</v>
      </c>
      <c r="Z212" s="935">
        <f t="shared" si="52"/>
        <v>0</v>
      </c>
    </row>
    <row r="213" spans="1:26" hidden="1">
      <c r="A213" s="1008" t="s">
        <v>1972</v>
      </c>
      <c r="B213" s="1007" t="s">
        <v>1973</v>
      </c>
      <c r="C213" s="897"/>
      <c r="D213" s="937">
        <f t="shared" si="69"/>
        <v>0</v>
      </c>
      <c r="E213" s="897">
        <f t="shared" si="69"/>
        <v>0</v>
      </c>
      <c r="F213" s="897">
        <f t="shared" si="69"/>
        <v>0</v>
      </c>
      <c r="G213" s="897">
        <f t="shared" si="69"/>
        <v>0</v>
      </c>
      <c r="H213" s="897">
        <f t="shared" si="69"/>
        <v>0</v>
      </c>
      <c r="I213" s="897"/>
      <c r="J213" s="897"/>
      <c r="K213" s="897"/>
      <c r="L213" s="897"/>
      <c r="M213" s="897"/>
      <c r="N213" s="897"/>
      <c r="O213" s="897"/>
      <c r="P213" s="897">
        <f t="shared" si="65"/>
        <v>0</v>
      </c>
      <c r="Q213" s="898">
        <f t="shared" si="70"/>
        <v>0</v>
      </c>
      <c r="R213" s="936">
        <f t="shared" si="71"/>
        <v>0</v>
      </c>
      <c r="S213" s="935">
        <f t="shared" si="68"/>
        <v>0</v>
      </c>
      <c r="T213" s="935">
        <f t="shared" si="68"/>
        <v>0</v>
      </c>
      <c r="U213" s="935">
        <f t="shared" si="68"/>
        <v>0</v>
      </c>
      <c r="V213" s="935">
        <f t="shared" si="68"/>
        <v>0</v>
      </c>
      <c r="W213" s="935">
        <f t="shared" si="68"/>
        <v>0</v>
      </c>
      <c r="X213" s="935">
        <f t="shared" si="68"/>
        <v>0</v>
      </c>
      <c r="Y213" s="935">
        <f t="shared" si="51"/>
        <v>0</v>
      </c>
      <c r="Z213" s="935">
        <f t="shared" si="52"/>
        <v>0</v>
      </c>
    </row>
    <row r="214" spans="1:26" hidden="1">
      <c r="A214" s="1008" t="s">
        <v>1974</v>
      </c>
      <c r="B214" s="1007" t="s">
        <v>1975</v>
      </c>
      <c r="C214" s="897"/>
      <c r="D214" s="937">
        <f t="shared" si="69"/>
        <v>0</v>
      </c>
      <c r="E214" s="897">
        <f t="shared" si="69"/>
        <v>0</v>
      </c>
      <c r="F214" s="897">
        <f t="shared" si="69"/>
        <v>0</v>
      </c>
      <c r="G214" s="897">
        <f t="shared" si="69"/>
        <v>0</v>
      </c>
      <c r="H214" s="897">
        <f t="shared" si="69"/>
        <v>0</v>
      </c>
      <c r="I214" s="897"/>
      <c r="J214" s="897"/>
      <c r="K214" s="897"/>
      <c r="L214" s="897"/>
      <c r="M214" s="897"/>
      <c r="N214" s="897"/>
      <c r="O214" s="897"/>
      <c r="P214" s="897">
        <f t="shared" si="65"/>
        <v>0</v>
      </c>
      <c r="Q214" s="898">
        <f t="shared" si="70"/>
        <v>0</v>
      </c>
      <c r="R214" s="936">
        <f t="shared" si="71"/>
        <v>0</v>
      </c>
      <c r="S214" s="935">
        <f t="shared" si="68"/>
        <v>0</v>
      </c>
      <c r="T214" s="935">
        <f t="shared" si="68"/>
        <v>0</v>
      </c>
      <c r="U214" s="935">
        <f t="shared" si="68"/>
        <v>0</v>
      </c>
      <c r="V214" s="935">
        <f t="shared" si="68"/>
        <v>0</v>
      </c>
      <c r="W214" s="935">
        <f t="shared" si="68"/>
        <v>0</v>
      </c>
      <c r="X214" s="935">
        <f t="shared" si="68"/>
        <v>0</v>
      </c>
      <c r="Y214" s="935">
        <f t="shared" si="51"/>
        <v>0</v>
      </c>
      <c r="Z214" s="935">
        <f t="shared" si="52"/>
        <v>0</v>
      </c>
    </row>
    <row r="215" spans="1:26" hidden="1">
      <c r="A215" s="1008" t="s">
        <v>1976</v>
      </c>
      <c r="B215" s="1007" t="s">
        <v>1977</v>
      </c>
      <c r="C215" s="897"/>
      <c r="D215" s="937">
        <f t="shared" si="69"/>
        <v>0</v>
      </c>
      <c r="E215" s="897">
        <f t="shared" si="69"/>
        <v>0</v>
      </c>
      <c r="F215" s="897">
        <f t="shared" si="69"/>
        <v>0</v>
      </c>
      <c r="G215" s="897">
        <f t="shared" si="69"/>
        <v>0</v>
      </c>
      <c r="H215" s="897">
        <f t="shared" si="69"/>
        <v>0</v>
      </c>
      <c r="I215" s="897"/>
      <c r="J215" s="897"/>
      <c r="K215" s="897"/>
      <c r="L215" s="897"/>
      <c r="M215" s="897"/>
      <c r="N215" s="897"/>
      <c r="O215" s="897"/>
      <c r="P215" s="897">
        <f t="shared" si="65"/>
        <v>0</v>
      </c>
      <c r="Q215" s="898">
        <f t="shared" si="70"/>
        <v>0</v>
      </c>
      <c r="R215" s="936">
        <f t="shared" si="71"/>
        <v>0</v>
      </c>
      <c r="S215" s="935">
        <f t="shared" si="68"/>
        <v>0</v>
      </c>
      <c r="T215" s="935">
        <f t="shared" si="68"/>
        <v>0</v>
      </c>
      <c r="U215" s="935">
        <f t="shared" si="68"/>
        <v>0</v>
      </c>
      <c r="V215" s="935">
        <f t="shared" si="68"/>
        <v>0</v>
      </c>
      <c r="W215" s="935">
        <f t="shared" si="68"/>
        <v>0</v>
      </c>
      <c r="X215" s="935">
        <f t="shared" si="68"/>
        <v>0</v>
      </c>
      <c r="Y215" s="935">
        <f t="shared" si="51"/>
        <v>0</v>
      </c>
      <c r="Z215" s="935">
        <f t="shared" si="52"/>
        <v>0</v>
      </c>
    </row>
    <row r="216" spans="1:26" hidden="1">
      <c r="A216" s="1008" t="s">
        <v>1978</v>
      </c>
      <c r="B216" s="1007" t="s">
        <v>1979</v>
      </c>
      <c r="C216" s="897"/>
      <c r="D216" s="937">
        <f t="shared" si="69"/>
        <v>0</v>
      </c>
      <c r="E216" s="897">
        <f t="shared" si="69"/>
        <v>0</v>
      </c>
      <c r="F216" s="897">
        <f t="shared" si="69"/>
        <v>0</v>
      </c>
      <c r="G216" s="897">
        <f t="shared" si="69"/>
        <v>0</v>
      </c>
      <c r="H216" s="897">
        <f t="shared" si="69"/>
        <v>0</v>
      </c>
      <c r="I216" s="897"/>
      <c r="J216" s="897"/>
      <c r="K216" s="897"/>
      <c r="L216" s="897"/>
      <c r="M216" s="897"/>
      <c r="N216" s="897"/>
      <c r="O216" s="897"/>
      <c r="P216" s="897">
        <f t="shared" si="65"/>
        <v>0</v>
      </c>
      <c r="Q216" s="898">
        <f t="shared" si="70"/>
        <v>0</v>
      </c>
      <c r="R216" s="936">
        <f t="shared" si="71"/>
        <v>0</v>
      </c>
      <c r="S216" s="935">
        <f t="shared" si="68"/>
        <v>0</v>
      </c>
      <c r="T216" s="935">
        <f t="shared" si="68"/>
        <v>0</v>
      </c>
      <c r="U216" s="935">
        <f t="shared" si="68"/>
        <v>0</v>
      </c>
      <c r="V216" s="935">
        <f t="shared" si="68"/>
        <v>0</v>
      </c>
      <c r="W216" s="935">
        <f t="shared" si="68"/>
        <v>0</v>
      </c>
      <c r="X216" s="935">
        <f t="shared" si="68"/>
        <v>0</v>
      </c>
      <c r="Y216" s="935">
        <f t="shared" si="51"/>
        <v>0</v>
      </c>
      <c r="Z216" s="935">
        <f t="shared" si="52"/>
        <v>0</v>
      </c>
    </row>
    <row r="217" spans="1:26" hidden="1">
      <c r="A217" s="1008" t="s">
        <v>1980</v>
      </c>
      <c r="B217" s="1007" t="s">
        <v>1981</v>
      </c>
      <c r="C217" s="897"/>
      <c r="D217" s="937">
        <f t="shared" si="69"/>
        <v>0</v>
      </c>
      <c r="E217" s="897">
        <f t="shared" si="69"/>
        <v>0</v>
      </c>
      <c r="F217" s="897">
        <f t="shared" si="69"/>
        <v>0</v>
      </c>
      <c r="G217" s="897">
        <f t="shared" si="69"/>
        <v>0</v>
      </c>
      <c r="H217" s="897">
        <f t="shared" si="69"/>
        <v>0</v>
      </c>
      <c r="I217" s="897"/>
      <c r="J217" s="897"/>
      <c r="K217" s="897"/>
      <c r="L217" s="897"/>
      <c r="M217" s="897"/>
      <c r="N217" s="897"/>
      <c r="O217" s="897"/>
      <c r="P217" s="897">
        <f t="shared" si="65"/>
        <v>0</v>
      </c>
      <c r="Q217" s="898">
        <f t="shared" si="70"/>
        <v>0</v>
      </c>
      <c r="R217" s="936">
        <f t="shared" si="71"/>
        <v>0</v>
      </c>
      <c r="S217" s="935">
        <f t="shared" si="68"/>
        <v>0</v>
      </c>
      <c r="T217" s="935">
        <f t="shared" si="68"/>
        <v>0</v>
      </c>
      <c r="U217" s="935">
        <f t="shared" si="68"/>
        <v>0</v>
      </c>
      <c r="V217" s="935">
        <f t="shared" si="68"/>
        <v>0</v>
      </c>
      <c r="W217" s="935">
        <f t="shared" si="68"/>
        <v>0</v>
      </c>
      <c r="X217" s="935">
        <f t="shared" si="68"/>
        <v>0</v>
      </c>
      <c r="Y217" s="935">
        <f t="shared" si="51"/>
        <v>0</v>
      </c>
      <c r="Z217" s="935">
        <f t="shared" si="52"/>
        <v>0</v>
      </c>
    </row>
    <row r="218" spans="1:26" hidden="1">
      <c r="A218" s="1008" t="s">
        <v>1982</v>
      </c>
      <c r="B218" s="1007" t="s">
        <v>1983</v>
      </c>
      <c r="C218" s="897"/>
      <c r="D218" s="937">
        <f t="shared" si="69"/>
        <v>0</v>
      </c>
      <c r="E218" s="897">
        <f t="shared" si="69"/>
        <v>0</v>
      </c>
      <c r="F218" s="897">
        <f t="shared" si="69"/>
        <v>0</v>
      </c>
      <c r="G218" s="897">
        <f t="shared" si="69"/>
        <v>0</v>
      </c>
      <c r="H218" s="897">
        <f t="shared" si="69"/>
        <v>0</v>
      </c>
      <c r="I218" s="897"/>
      <c r="J218" s="897"/>
      <c r="K218" s="897"/>
      <c r="L218" s="897"/>
      <c r="M218" s="897"/>
      <c r="N218" s="897"/>
      <c r="O218" s="897"/>
      <c r="P218" s="897">
        <f t="shared" si="65"/>
        <v>0</v>
      </c>
      <c r="Q218" s="898">
        <f t="shared" si="70"/>
        <v>0</v>
      </c>
      <c r="R218" s="936">
        <f t="shared" si="71"/>
        <v>0</v>
      </c>
      <c r="S218" s="935">
        <f t="shared" ref="S218:X227" si="72">R218</f>
        <v>0</v>
      </c>
      <c r="T218" s="935">
        <f t="shared" si="72"/>
        <v>0</v>
      </c>
      <c r="U218" s="935">
        <f t="shared" si="72"/>
        <v>0</v>
      </c>
      <c r="V218" s="935">
        <f t="shared" si="72"/>
        <v>0</v>
      </c>
      <c r="W218" s="935">
        <f t="shared" si="72"/>
        <v>0</v>
      </c>
      <c r="X218" s="935">
        <f t="shared" si="72"/>
        <v>0</v>
      </c>
      <c r="Y218" s="935">
        <f t="shared" si="51"/>
        <v>0</v>
      </c>
      <c r="Z218" s="935">
        <f t="shared" si="52"/>
        <v>0</v>
      </c>
    </row>
    <row r="219" spans="1:26" hidden="1">
      <c r="A219" s="1008" t="s">
        <v>1984</v>
      </c>
      <c r="B219" s="1007" t="s">
        <v>1985</v>
      </c>
      <c r="C219" s="897"/>
      <c r="D219" s="937">
        <f t="shared" ref="D219:H228" si="73">C219/12</f>
        <v>0</v>
      </c>
      <c r="E219" s="897">
        <f t="shared" si="73"/>
        <v>0</v>
      </c>
      <c r="F219" s="897">
        <f t="shared" si="73"/>
        <v>0</v>
      </c>
      <c r="G219" s="897">
        <f t="shared" si="73"/>
        <v>0</v>
      </c>
      <c r="H219" s="897">
        <f t="shared" si="73"/>
        <v>0</v>
      </c>
      <c r="I219" s="897"/>
      <c r="J219" s="897"/>
      <c r="K219" s="897"/>
      <c r="L219" s="897"/>
      <c r="M219" s="897"/>
      <c r="N219" s="897"/>
      <c r="O219" s="897"/>
      <c r="P219" s="897">
        <f t="shared" si="65"/>
        <v>0</v>
      </c>
      <c r="Q219" s="898">
        <f t="shared" si="70"/>
        <v>0</v>
      </c>
      <c r="R219" s="936">
        <f t="shared" si="71"/>
        <v>0</v>
      </c>
      <c r="S219" s="935">
        <f t="shared" si="72"/>
        <v>0</v>
      </c>
      <c r="T219" s="935">
        <f t="shared" si="72"/>
        <v>0</v>
      </c>
      <c r="U219" s="935">
        <f t="shared" si="72"/>
        <v>0</v>
      </c>
      <c r="V219" s="935">
        <f t="shared" si="72"/>
        <v>0</v>
      </c>
      <c r="W219" s="935">
        <f t="shared" si="72"/>
        <v>0</v>
      </c>
      <c r="X219" s="935">
        <f t="shared" si="72"/>
        <v>0</v>
      </c>
      <c r="Y219" s="935">
        <f t="shared" si="51"/>
        <v>0</v>
      </c>
      <c r="Z219" s="935">
        <f t="shared" si="52"/>
        <v>0</v>
      </c>
    </row>
    <row r="220" spans="1:26" hidden="1">
      <c r="A220" s="986">
        <v>63129</v>
      </c>
      <c r="B220" s="1009" t="s">
        <v>1986</v>
      </c>
      <c r="C220" s="897"/>
      <c r="D220" s="937">
        <f t="shared" si="73"/>
        <v>0</v>
      </c>
      <c r="E220" s="897">
        <f t="shared" si="73"/>
        <v>0</v>
      </c>
      <c r="F220" s="897">
        <f t="shared" si="73"/>
        <v>0</v>
      </c>
      <c r="G220" s="897">
        <f t="shared" si="73"/>
        <v>0</v>
      </c>
      <c r="H220" s="897">
        <f t="shared" si="73"/>
        <v>0</v>
      </c>
      <c r="I220" s="897"/>
      <c r="J220" s="897"/>
      <c r="K220" s="897"/>
      <c r="L220" s="897"/>
      <c r="M220" s="897"/>
      <c r="N220" s="897"/>
      <c r="O220" s="897"/>
      <c r="P220" s="897">
        <f t="shared" si="65"/>
        <v>0</v>
      </c>
      <c r="Q220" s="898">
        <f t="shared" si="70"/>
        <v>0</v>
      </c>
      <c r="R220" s="936">
        <f t="shared" si="71"/>
        <v>0</v>
      </c>
      <c r="S220" s="935">
        <f t="shared" si="72"/>
        <v>0</v>
      </c>
      <c r="T220" s="935">
        <f t="shared" si="72"/>
        <v>0</v>
      </c>
      <c r="U220" s="935">
        <f t="shared" si="72"/>
        <v>0</v>
      </c>
      <c r="V220" s="935">
        <f t="shared" si="72"/>
        <v>0</v>
      </c>
      <c r="W220" s="935">
        <f t="shared" si="72"/>
        <v>0</v>
      </c>
      <c r="X220" s="935">
        <f t="shared" si="72"/>
        <v>0</v>
      </c>
      <c r="Y220" s="935">
        <f t="shared" si="51"/>
        <v>0</v>
      </c>
      <c r="Z220" s="935">
        <f t="shared" si="52"/>
        <v>0</v>
      </c>
    </row>
    <row r="221" spans="1:26" hidden="1">
      <c r="A221" s="1008" t="s">
        <v>1987</v>
      </c>
      <c r="B221" s="1007" t="s">
        <v>1988</v>
      </c>
      <c r="C221" s="897"/>
      <c r="D221" s="937">
        <f t="shared" si="73"/>
        <v>0</v>
      </c>
      <c r="E221" s="897">
        <f t="shared" si="73"/>
        <v>0</v>
      </c>
      <c r="F221" s="897">
        <f t="shared" si="73"/>
        <v>0</v>
      </c>
      <c r="G221" s="897">
        <f t="shared" si="73"/>
        <v>0</v>
      </c>
      <c r="H221" s="897">
        <f t="shared" si="73"/>
        <v>0</v>
      </c>
      <c r="I221" s="897"/>
      <c r="J221" s="897"/>
      <c r="K221" s="897"/>
      <c r="L221" s="897"/>
      <c r="M221" s="897"/>
      <c r="N221" s="897"/>
      <c r="O221" s="897"/>
      <c r="P221" s="897">
        <f t="shared" ref="P221:P245" si="74">SUM(D221:H221)</f>
        <v>0</v>
      </c>
      <c r="Q221" s="898">
        <f t="shared" si="70"/>
        <v>0</v>
      </c>
      <c r="R221" s="936">
        <f t="shared" si="71"/>
        <v>0</v>
      </c>
      <c r="S221" s="935">
        <f t="shared" si="72"/>
        <v>0</v>
      </c>
      <c r="T221" s="935">
        <f t="shared" si="72"/>
        <v>0</v>
      </c>
      <c r="U221" s="935">
        <f t="shared" si="72"/>
        <v>0</v>
      </c>
      <c r="V221" s="935">
        <f t="shared" si="72"/>
        <v>0</v>
      </c>
      <c r="W221" s="935">
        <f t="shared" si="72"/>
        <v>0</v>
      </c>
      <c r="X221" s="935">
        <f t="shared" si="72"/>
        <v>0</v>
      </c>
      <c r="Y221" s="935">
        <f t="shared" si="51"/>
        <v>0</v>
      </c>
      <c r="Z221" s="935">
        <f t="shared" si="52"/>
        <v>0</v>
      </c>
    </row>
    <row r="222" spans="1:26" hidden="1">
      <c r="A222" s="1008" t="s">
        <v>1989</v>
      </c>
      <c r="B222" s="1007" t="s">
        <v>1990</v>
      </c>
      <c r="C222" s="897"/>
      <c r="D222" s="937">
        <f t="shared" si="73"/>
        <v>0</v>
      </c>
      <c r="E222" s="897">
        <f t="shared" si="73"/>
        <v>0</v>
      </c>
      <c r="F222" s="897">
        <f t="shared" si="73"/>
        <v>0</v>
      </c>
      <c r="G222" s="897">
        <f t="shared" si="73"/>
        <v>0</v>
      </c>
      <c r="H222" s="897">
        <f t="shared" si="73"/>
        <v>0</v>
      </c>
      <c r="I222" s="897"/>
      <c r="J222" s="897"/>
      <c r="K222" s="897"/>
      <c r="L222" s="897"/>
      <c r="M222" s="897"/>
      <c r="N222" s="897"/>
      <c r="O222" s="897"/>
      <c r="P222" s="897">
        <f t="shared" si="74"/>
        <v>0</v>
      </c>
      <c r="Q222" s="898">
        <f t="shared" si="70"/>
        <v>0</v>
      </c>
      <c r="R222" s="936">
        <f t="shared" si="71"/>
        <v>0</v>
      </c>
      <c r="S222" s="935">
        <f t="shared" si="72"/>
        <v>0</v>
      </c>
      <c r="T222" s="935">
        <f t="shared" si="72"/>
        <v>0</v>
      </c>
      <c r="U222" s="935">
        <f t="shared" si="72"/>
        <v>0</v>
      </c>
      <c r="V222" s="935">
        <f t="shared" si="72"/>
        <v>0</v>
      </c>
      <c r="W222" s="935">
        <f t="shared" si="72"/>
        <v>0</v>
      </c>
      <c r="X222" s="935">
        <f t="shared" si="72"/>
        <v>0</v>
      </c>
      <c r="Y222" s="935">
        <f t="shared" si="51"/>
        <v>0</v>
      </c>
      <c r="Z222" s="935">
        <f t="shared" si="52"/>
        <v>0</v>
      </c>
    </row>
    <row r="223" spans="1:26" hidden="1">
      <c r="A223" s="1008" t="s">
        <v>1991</v>
      </c>
      <c r="B223" s="1007" t="s">
        <v>1992</v>
      </c>
      <c r="C223" s="897"/>
      <c r="D223" s="937">
        <f t="shared" si="73"/>
        <v>0</v>
      </c>
      <c r="E223" s="897">
        <f t="shared" si="73"/>
        <v>0</v>
      </c>
      <c r="F223" s="897">
        <f t="shared" si="73"/>
        <v>0</v>
      </c>
      <c r="G223" s="897">
        <f t="shared" si="73"/>
        <v>0</v>
      </c>
      <c r="H223" s="897">
        <f t="shared" si="73"/>
        <v>0</v>
      </c>
      <c r="I223" s="897"/>
      <c r="J223" s="897"/>
      <c r="K223" s="897"/>
      <c r="L223" s="897"/>
      <c r="M223" s="897"/>
      <c r="N223" s="897"/>
      <c r="O223" s="897"/>
      <c r="P223" s="897">
        <f t="shared" si="74"/>
        <v>0</v>
      </c>
      <c r="Q223" s="898">
        <f t="shared" si="70"/>
        <v>0</v>
      </c>
      <c r="R223" s="936">
        <f t="shared" si="71"/>
        <v>0</v>
      </c>
      <c r="S223" s="935">
        <f t="shared" si="72"/>
        <v>0</v>
      </c>
      <c r="T223" s="935">
        <f t="shared" si="72"/>
        <v>0</v>
      </c>
      <c r="U223" s="935">
        <f t="shared" si="72"/>
        <v>0</v>
      </c>
      <c r="V223" s="935">
        <f t="shared" si="72"/>
        <v>0</v>
      </c>
      <c r="W223" s="935">
        <f t="shared" si="72"/>
        <v>0</v>
      </c>
      <c r="X223" s="935">
        <f t="shared" si="72"/>
        <v>0</v>
      </c>
      <c r="Y223" s="935">
        <f t="shared" si="51"/>
        <v>0</v>
      </c>
      <c r="Z223" s="935">
        <f t="shared" si="52"/>
        <v>0</v>
      </c>
    </row>
    <row r="224" spans="1:26" hidden="1">
      <c r="A224" s="1008" t="s">
        <v>1993</v>
      </c>
      <c r="B224" s="1007" t="s">
        <v>1994</v>
      </c>
      <c r="C224" s="897"/>
      <c r="D224" s="937">
        <f t="shared" si="73"/>
        <v>0</v>
      </c>
      <c r="E224" s="897">
        <f t="shared" si="73"/>
        <v>0</v>
      </c>
      <c r="F224" s="897">
        <f t="shared" si="73"/>
        <v>0</v>
      </c>
      <c r="G224" s="897">
        <f t="shared" si="73"/>
        <v>0</v>
      </c>
      <c r="H224" s="897">
        <f t="shared" si="73"/>
        <v>0</v>
      </c>
      <c r="I224" s="897"/>
      <c r="J224" s="897"/>
      <c r="K224" s="897"/>
      <c r="L224" s="897"/>
      <c r="M224" s="897"/>
      <c r="N224" s="897"/>
      <c r="O224" s="897"/>
      <c r="P224" s="897">
        <f t="shared" si="74"/>
        <v>0</v>
      </c>
      <c r="Q224" s="898">
        <f t="shared" si="70"/>
        <v>0</v>
      </c>
      <c r="R224" s="936">
        <f t="shared" si="71"/>
        <v>0</v>
      </c>
      <c r="S224" s="935">
        <f t="shared" si="72"/>
        <v>0</v>
      </c>
      <c r="T224" s="935">
        <f t="shared" si="72"/>
        <v>0</v>
      </c>
      <c r="U224" s="935">
        <f t="shared" si="72"/>
        <v>0</v>
      </c>
      <c r="V224" s="935">
        <f t="shared" si="72"/>
        <v>0</v>
      </c>
      <c r="W224" s="935">
        <f t="shared" si="72"/>
        <v>0</v>
      </c>
      <c r="X224" s="935">
        <f t="shared" si="72"/>
        <v>0</v>
      </c>
      <c r="Y224" s="935">
        <f t="shared" si="51"/>
        <v>0</v>
      </c>
      <c r="Z224" s="935">
        <f t="shared" si="52"/>
        <v>0</v>
      </c>
    </row>
    <row r="225" spans="1:26" hidden="1">
      <c r="A225" s="1008" t="s">
        <v>1995</v>
      </c>
      <c r="B225" s="1007" t="s">
        <v>1996</v>
      </c>
      <c r="C225" s="897"/>
      <c r="D225" s="937">
        <f t="shared" si="73"/>
        <v>0</v>
      </c>
      <c r="E225" s="897">
        <f t="shared" si="73"/>
        <v>0</v>
      </c>
      <c r="F225" s="897">
        <f t="shared" si="73"/>
        <v>0</v>
      </c>
      <c r="G225" s="897">
        <f t="shared" si="73"/>
        <v>0</v>
      </c>
      <c r="H225" s="897">
        <f t="shared" si="73"/>
        <v>0</v>
      </c>
      <c r="I225" s="897"/>
      <c r="J225" s="897"/>
      <c r="K225" s="897"/>
      <c r="L225" s="897"/>
      <c r="M225" s="897"/>
      <c r="N225" s="897"/>
      <c r="O225" s="897"/>
      <c r="P225" s="897">
        <f t="shared" si="74"/>
        <v>0</v>
      </c>
      <c r="Q225" s="898">
        <f t="shared" si="70"/>
        <v>0</v>
      </c>
      <c r="R225" s="936">
        <f t="shared" si="71"/>
        <v>0</v>
      </c>
      <c r="S225" s="935">
        <f t="shared" si="72"/>
        <v>0</v>
      </c>
      <c r="T225" s="935">
        <f t="shared" si="72"/>
        <v>0</v>
      </c>
      <c r="U225" s="935">
        <f t="shared" si="72"/>
        <v>0</v>
      </c>
      <c r="V225" s="935">
        <f t="shared" si="72"/>
        <v>0</v>
      </c>
      <c r="W225" s="935">
        <f t="shared" si="72"/>
        <v>0</v>
      </c>
      <c r="X225" s="935">
        <f t="shared" si="72"/>
        <v>0</v>
      </c>
      <c r="Y225" s="935">
        <f t="shared" si="51"/>
        <v>0</v>
      </c>
      <c r="Z225" s="935">
        <f t="shared" si="52"/>
        <v>0</v>
      </c>
    </row>
    <row r="226" spans="1:26" hidden="1">
      <c r="A226" s="1008" t="s">
        <v>1997</v>
      </c>
      <c r="B226" s="1007" t="s">
        <v>1998</v>
      </c>
      <c r="C226" s="897"/>
      <c r="D226" s="937">
        <f t="shared" si="73"/>
        <v>0</v>
      </c>
      <c r="E226" s="897">
        <f t="shared" si="73"/>
        <v>0</v>
      </c>
      <c r="F226" s="897">
        <f t="shared" si="73"/>
        <v>0</v>
      </c>
      <c r="G226" s="897">
        <f t="shared" si="73"/>
        <v>0</v>
      </c>
      <c r="H226" s="897">
        <f t="shared" si="73"/>
        <v>0</v>
      </c>
      <c r="I226" s="897"/>
      <c r="J226" s="897"/>
      <c r="K226" s="897"/>
      <c r="L226" s="897"/>
      <c r="M226" s="897"/>
      <c r="N226" s="897"/>
      <c r="O226" s="897"/>
      <c r="P226" s="897">
        <f t="shared" si="74"/>
        <v>0</v>
      </c>
      <c r="Q226" s="898">
        <f t="shared" si="70"/>
        <v>0</v>
      </c>
      <c r="R226" s="936">
        <f t="shared" si="71"/>
        <v>0</v>
      </c>
      <c r="S226" s="935">
        <f t="shared" si="72"/>
        <v>0</v>
      </c>
      <c r="T226" s="935">
        <f t="shared" si="72"/>
        <v>0</v>
      </c>
      <c r="U226" s="935">
        <f t="shared" si="72"/>
        <v>0</v>
      </c>
      <c r="V226" s="935">
        <f t="shared" si="72"/>
        <v>0</v>
      </c>
      <c r="W226" s="935">
        <f t="shared" si="72"/>
        <v>0</v>
      </c>
      <c r="X226" s="935">
        <f t="shared" si="72"/>
        <v>0</v>
      </c>
      <c r="Y226" s="935">
        <f t="shared" ref="Y226:Y289" si="75">SUM(R226:X226)</f>
        <v>0</v>
      </c>
      <c r="Z226" s="935">
        <f t="shared" ref="Z226:Z289" si="76">Q226-Y226</f>
        <v>0</v>
      </c>
    </row>
    <row r="227" spans="1:26" hidden="1">
      <c r="A227" s="1008" t="s">
        <v>1999</v>
      </c>
      <c r="B227" s="1007" t="s">
        <v>2000</v>
      </c>
      <c r="C227" s="897"/>
      <c r="D227" s="937">
        <f t="shared" si="73"/>
        <v>0</v>
      </c>
      <c r="E227" s="897">
        <f t="shared" si="73"/>
        <v>0</v>
      </c>
      <c r="F227" s="897">
        <f t="shared" si="73"/>
        <v>0</v>
      </c>
      <c r="G227" s="897">
        <f t="shared" si="73"/>
        <v>0</v>
      </c>
      <c r="H227" s="897">
        <f t="shared" si="73"/>
        <v>0</v>
      </c>
      <c r="I227" s="897"/>
      <c r="J227" s="897"/>
      <c r="K227" s="897"/>
      <c r="L227" s="897"/>
      <c r="M227" s="897"/>
      <c r="N227" s="897"/>
      <c r="O227" s="897"/>
      <c r="P227" s="897">
        <f t="shared" si="74"/>
        <v>0</v>
      </c>
      <c r="Q227" s="898">
        <f t="shared" si="70"/>
        <v>0</v>
      </c>
      <c r="R227" s="936">
        <f t="shared" si="71"/>
        <v>0</v>
      </c>
      <c r="S227" s="935">
        <f t="shared" si="72"/>
        <v>0</v>
      </c>
      <c r="T227" s="935">
        <f t="shared" si="72"/>
        <v>0</v>
      </c>
      <c r="U227" s="935">
        <f t="shared" si="72"/>
        <v>0</v>
      </c>
      <c r="V227" s="935">
        <f t="shared" si="72"/>
        <v>0</v>
      </c>
      <c r="W227" s="935">
        <f t="shared" si="72"/>
        <v>0</v>
      </c>
      <c r="X227" s="935">
        <f t="shared" si="72"/>
        <v>0</v>
      </c>
      <c r="Y227" s="935">
        <f t="shared" si="75"/>
        <v>0</v>
      </c>
      <c r="Z227" s="935">
        <f t="shared" si="76"/>
        <v>0</v>
      </c>
    </row>
    <row r="228" spans="1:26" hidden="1">
      <c r="A228" s="1008" t="s">
        <v>2001</v>
      </c>
      <c r="B228" s="1007" t="s">
        <v>2002</v>
      </c>
      <c r="C228" s="897"/>
      <c r="D228" s="937">
        <f t="shared" si="73"/>
        <v>0</v>
      </c>
      <c r="E228" s="897">
        <f t="shared" si="73"/>
        <v>0</v>
      </c>
      <c r="F228" s="897">
        <f t="shared" si="73"/>
        <v>0</v>
      </c>
      <c r="G228" s="897">
        <f t="shared" si="73"/>
        <v>0</v>
      </c>
      <c r="H228" s="897">
        <f t="shared" si="73"/>
        <v>0</v>
      </c>
      <c r="I228" s="897"/>
      <c r="J228" s="897"/>
      <c r="K228" s="897"/>
      <c r="L228" s="897"/>
      <c r="M228" s="897"/>
      <c r="N228" s="897"/>
      <c r="O228" s="897"/>
      <c r="P228" s="897">
        <f t="shared" si="74"/>
        <v>0</v>
      </c>
      <c r="Q228" s="898">
        <f t="shared" si="70"/>
        <v>0</v>
      </c>
      <c r="R228" s="936">
        <f t="shared" si="71"/>
        <v>0</v>
      </c>
      <c r="S228" s="935">
        <f t="shared" ref="S228:X237" si="77">R228</f>
        <v>0</v>
      </c>
      <c r="T228" s="935">
        <f t="shared" si="77"/>
        <v>0</v>
      </c>
      <c r="U228" s="935">
        <f t="shared" si="77"/>
        <v>0</v>
      </c>
      <c r="V228" s="935">
        <f t="shared" si="77"/>
        <v>0</v>
      </c>
      <c r="W228" s="935">
        <f t="shared" si="77"/>
        <v>0</v>
      </c>
      <c r="X228" s="935">
        <f t="shared" si="77"/>
        <v>0</v>
      </c>
      <c r="Y228" s="935">
        <f t="shared" si="75"/>
        <v>0</v>
      </c>
      <c r="Z228" s="935">
        <f t="shared" si="76"/>
        <v>0</v>
      </c>
    </row>
    <row r="229" spans="1:26" hidden="1">
      <c r="A229" s="1008" t="s">
        <v>2003</v>
      </c>
      <c r="B229" s="1007" t="s">
        <v>2004</v>
      </c>
      <c r="C229" s="897"/>
      <c r="D229" s="937">
        <f t="shared" ref="D229:H238" si="78">C229/12</f>
        <v>0</v>
      </c>
      <c r="E229" s="897">
        <f t="shared" si="78"/>
        <v>0</v>
      </c>
      <c r="F229" s="897">
        <f t="shared" si="78"/>
        <v>0</v>
      </c>
      <c r="G229" s="897">
        <f t="shared" si="78"/>
        <v>0</v>
      </c>
      <c r="H229" s="897">
        <f t="shared" si="78"/>
        <v>0</v>
      </c>
      <c r="I229" s="897"/>
      <c r="J229" s="897"/>
      <c r="K229" s="897"/>
      <c r="L229" s="897"/>
      <c r="M229" s="897"/>
      <c r="N229" s="897"/>
      <c r="O229" s="897"/>
      <c r="P229" s="897">
        <f t="shared" si="74"/>
        <v>0</v>
      </c>
      <c r="Q229" s="898">
        <f t="shared" si="70"/>
        <v>0</v>
      </c>
      <c r="R229" s="936">
        <f t="shared" si="71"/>
        <v>0</v>
      </c>
      <c r="S229" s="935">
        <f t="shared" si="77"/>
        <v>0</v>
      </c>
      <c r="T229" s="935">
        <f t="shared" si="77"/>
        <v>0</v>
      </c>
      <c r="U229" s="935">
        <f t="shared" si="77"/>
        <v>0</v>
      </c>
      <c r="V229" s="935">
        <f t="shared" si="77"/>
        <v>0</v>
      </c>
      <c r="W229" s="935">
        <f t="shared" si="77"/>
        <v>0</v>
      </c>
      <c r="X229" s="935">
        <f t="shared" si="77"/>
        <v>0</v>
      </c>
      <c r="Y229" s="935">
        <f t="shared" si="75"/>
        <v>0</v>
      </c>
      <c r="Z229" s="935">
        <f t="shared" si="76"/>
        <v>0</v>
      </c>
    </row>
    <row r="230" spans="1:26" hidden="1">
      <c r="A230" s="1008" t="s">
        <v>2005</v>
      </c>
      <c r="B230" s="1007" t="s">
        <v>2006</v>
      </c>
      <c r="C230" s="897"/>
      <c r="D230" s="937">
        <f t="shared" si="78"/>
        <v>0</v>
      </c>
      <c r="E230" s="897">
        <f t="shared" si="78"/>
        <v>0</v>
      </c>
      <c r="F230" s="897">
        <f t="shared" si="78"/>
        <v>0</v>
      </c>
      <c r="G230" s="897">
        <f t="shared" si="78"/>
        <v>0</v>
      </c>
      <c r="H230" s="897">
        <f t="shared" si="78"/>
        <v>0</v>
      </c>
      <c r="I230" s="897"/>
      <c r="J230" s="897"/>
      <c r="K230" s="897"/>
      <c r="L230" s="897"/>
      <c r="M230" s="897"/>
      <c r="N230" s="897"/>
      <c r="O230" s="897"/>
      <c r="P230" s="897">
        <f t="shared" si="74"/>
        <v>0</v>
      </c>
      <c r="Q230" s="898">
        <f t="shared" si="70"/>
        <v>0</v>
      </c>
      <c r="R230" s="936">
        <f t="shared" si="71"/>
        <v>0</v>
      </c>
      <c r="S230" s="935">
        <f t="shared" si="77"/>
        <v>0</v>
      </c>
      <c r="T230" s="935">
        <f t="shared" si="77"/>
        <v>0</v>
      </c>
      <c r="U230" s="935">
        <f t="shared" si="77"/>
        <v>0</v>
      </c>
      <c r="V230" s="935">
        <f t="shared" si="77"/>
        <v>0</v>
      </c>
      <c r="W230" s="935">
        <f t="shared" si="77"/>
        <v>0</v>
      </c>
      <c r="X230" s="935">
        <f t="shared" si="77"/>
        <v>0</v>
      </c>
      <c r="Y230" s="935">
        <f t="shared" si="75"/>
        <v>0</v>
      </c>
      <c r="Z230" s="935">
        <f t="shared" si="76"/>
        <v>0</v>
      </c>
    </row>
    <row r="231" spans="1:26" hidden="1">
      <c r="A231" s="951">
        <v>632</v>
      </c>
      <c r="B231" s="992" t="s">
        <v>2007</v>
      </c>
      <c r="C231" s="897"/>
      <c r="D231" s="937">
        <f t="shared" si="78"/>
        <v>0</v>
      </c>
      <c r="E231" s="897">
        <f t="shared" si="78"/>
        <v>0</v>
      </c>
      <c r="F231" s="897">
        <f t="shared" si="78"/>
        <v>0</v>
      </c>
      <c r="G231" s="897">
        <f t="shared" si="78"/>
        <v>0</v>
      </c>
      <c r="H231" s="897">
        <f t="shared" si="78"/>
        <v>0</v>
      </c>
      <c r="I231" s="897"/>
      <c r="J231" s="897"/>
      <c r="K231" s="897"/>
      <c r="L231" s="897"/>
      <c r="M231" s="897"/>
      <c r="N231" s="897"/>
      <c r="O231" s="897"/>
      <c r="P231" s="897">
        <f t="shared" si="74"/>
        <v>0</v>
      </c>
      <c r="Q231" s="898">
        <f t="shared" si="70"/>
        <v>0</v>
      </c>
      <c r="R231" s="936">
        <f t="shared" si="71"/>
        <v>0</v>
      </c>
      <c r="S231" s="935">
        <f t="shared" si="77"/>
        <v>0</v>
      </c>
      <c r="T231" s="935">
        <f t="shared" si="77"/>
        <v>0</v>
      </c>
      <c r="U231" s="935">
        <f t="shared" si="77"/>
        <v>0</v>
      </c>
      <c r="V231" s="935">
        <f t="shared" si="77"/>
        <v>0</v>
      </c>
      <c r="W231" s="935">
        <f t="shared" si="77"/>
        <v>0</v>
      </c>
      <c r="X231" s="935">
        <f t="shared" si="77"/>
        <v>0</v>
      </c>
      <c r="Y231" s="935">
        <f t="shared" si="75"/>
        <v>0</v>
      </c>
      <c r="Z231" s="935">
        <f t="shared" si="76"/>
        <v>0</v>
      </c>
    </row>
    <row r="232" spans="1:26" hidden="1">
      <c r="A232" s="984">
        <v>6321</v>
      </c>
      <c r="B232" s="991" t="s">
        <v>2008</v>
      </c>
      <c r="C232" s="897"/>
      <c r="D232" s="937">
        <f t="shared" si="78"/>
        <v>0</v>
      </c>
      <c r="E232" s="897">
        <f t="shared" si="78"/>
        <v>0</v>
      </c>
      <c r="F232" s="897">
        <f t="shared" si="78"/>
        <v>0</v>
      </c>
      <c r="G232" s="897">
        <f t="shared" si="78"/>
        <v>0</v>
      </c>
      <c r="H232" s="897">
        <f t="shared" si="78"/>
        <v>0</v>
      </c>
      <c r="I232" s="897"/>
      <c r="J232" s="897"/>
      <c r="K232" s="897"/>
      <c r="L232" s="897"/>
      <c r="M232" s="897"/>
      <c r="N232" s="897"/>
      <c r="O232" s="897"/>
      <c r="P232" s="897">
        <f t="shared" si="74"/>
        <v>0</v>
      </c>
      <c r="Q232" s="898">
        <f t="shared" si="70"/>
        <v>0</v>
      </c>
      <c r="R232" s="936">
        <f t="shared" si="71"/>
        <v>0</v>
      </c>
      <c r="S232" s="935">
        <f t="shared" si="77"/>
        <v>0</v>
      </c>
      <c r="T232" s="935">
        <f t="shared" si="77"/>
        <v>0</v>
      </c>
      <c r="U232" s="935">
        <f t="shared" si="77"/>
        <v>0</v>
      </c>
      <c r="V232" s="935">
        <f t="shared" si="77"/>
        <v>0</v>
      </c>
      <c r="W232" s="935">
        <f t="shared" si="77"/>
        <v>0</v>
      </c>
      <c r="X232" s="935">
        <f t="shared" si="77"/>
        <v>0</v>
      </c>
      <c r="Y232" s="935">
        <f t="shared" si="75"/>
        <v>0</v>
      </c>
      <c r="Z232" s="935">
        <f t="shared" si="76"/>
        <v>0</v>
      </c>
    </row>
    <row r="233" spans="1:26" hidden="1">
      <c r="A233" s="984">
        <v>6322</v>
      </c>
      <c r="B233" s="991" t="s">
        <v>2009</v>
      </c>
      <c r="C233" s="897"/>
      <c r="D233" s="937">
        <f t="shared" si="78"/>
        <v>0</v>
      </c>
      <c r="E233" s="897">
        <f t="shared" si="78"/>
        <v>0</v>
      </c>
      <c r="F233" s="897">
        <f t="shared" si="78"/>
        <v>0</v>
      </c>
      <c r="G233" s="897">
        <f t="shared" si="78"/>
        <v>0</v>
      </c>
      <c r="H233" s="897">
        <f t="shared" si="78"/>
        <v>0</v>
      </c>
      <c r="I233" s="897"/>
      <c r="J233" s="897"/>
      <c r="K233" s="897"/>
      <c r="L233" s="897"/>
      <c r="M233" s="897"/>
      <c r="N233" s="897"/>
      <c r="O233" s="897"/>
      <c r="P233" s="897">
        <f t="shared" si="74"/>
        <v>0</v>
      </c>
      <c r="Q233" s="898">
        <f t="shared" si="70"/>
        <v>0</v>
      </c>
      <c r="R233" s="936">
        <f t="shared" si="71"/>
        <v>0</v>
      </c>
      <c r="S233" s="935">
        <f t="shared" si="77"/>
        <v>0</v>
      </c>
      <c r="T233" s="935">
        <f t="shared" si="77"/>
        <v>0</v>
      </c>
      <c r="U233" s="935">
        <f t="shared" si="77"/>
        <v>0</v>
      </c>
      <c r="V233" s="935">
        <f t="shared" si="77"/>
        <v>0</v>
      </c>
      <c r="W233" s="935">
        <f t="shared" si="77"/>
        <v>0</v>
      </c>
      <c r="X233" s="935">
        <f t="shared" si="77"/>
        <v>0</v>
      </c>
      <c r="Y233" s="935">
        <f t="shared" si="75"/>
        <v>0</v>
      </c>
      <c r="Z233" s="935">
        <f t="shared" si="76"/>
        <v>0</v>
      </c>
    </row>
    <row r="234" spans="1:26" hidden="1">
      <c r="A234" s="984">
        <v>6323</v>
      </c>
      <c r="B234" s="1006" t="s">
        <v>2010</v>
      </c>
      <c r="C234" s="897"/>
      <c r="D234" s="937">
        <f t="shared" si="78"/>
        <v>0</v>
      </c>
      <c r="E234" s="897">
        <f t="shared" si="78"/>
        <v>0</v>
      </c>
      <c r="F234" s="897">
        <f t="shared" si="78"/>
        <v>0</v>
      </c>
      <c r="G234" s="897">
        <f t="shared" si="78"/>
        <v>0</v>
      </c>
      <c r="H234" s="897">
        <f t="shared" si="78"/>
        <v>0</v>
      </c>
      <c r="I234" s="897"/>
      <c r="J234" s="897"/>
      <c r="K234" s="897"/>
      <c r="L234" s="897"/>
      <c r="M234" s="897"/>
      <c r="N234" s="897"/>
      <c r="O234" s="897"/>
      <c r="P234" s="897">
        <f t="shared" si="74"/>
        <v>0</v>
      </c>
      <c r="Q234" s="898">
        <f t="shared" si="70"/>
        <v>0</v>
      </c>
      <c r="R234" s="936">
        <f t="shared" si="71"/>
        <v>0</v>
      </c>
      <c r="S234" s="935">
        <f t="shared" si="77"/>
        <v>0</v>
      </c>
      <c r="T234" s="935">
        <f t="shared" si="77"/>
        <v>0</v>
      </c>
      <c r="U234" s="935">
        <f t="shared" si="77"/>
        <v>0</v>
      </c>
      <c r="V234" s="935">
        <f t="shared" si="77"/>
        <v>0</v>
      </c>
      <c r="W234" s="935">
        <f t="shared" si="77"/>
        <v>0</v>
      </c>
      <c r="X234" s="935">
        <f t="shared" si="77"/>
        <v>0</v>
      </c>
      <c r="Y234" s="935">
        <f t="shared" si="75"/>
        <v>0</v>
      </c>
      <c r="Z234" s="935">
        <f t="shared" si="76"/>
        <v>0</v>
      </c>
    </row>
    <row r="235" spans="1:26" hidden="1">
      <c r="A235" s="984">
        <v>6324</v>
      </c>
      <c r="B235" s="1006" t="s">
        <v>2011</v>
      </c>
      <c r="C235" s="897"/>
      <c r="D235" s="937">
        <f t="shared" si="78"/>
        <v>0</v>
      </c>
      <c r="E235" s="897">
        <f t="shared" si="78"/>
        <v>0</v>
      </c>
      <c r="F235" s="897">
        <f t="shared" si="78"/>
        <v>0</v>
      </c>
      <c r="G235" s="897">
        <f t="shared" si="78"/>
        <v>0</v>
      </c>
      <c r="H235" s="897">
        <f t="shared" si="78"/>
        <v>0</v>
      </c>
      <c r="I235" s="897"/>
      <c r="J235" s="897"/>
      <c r="K235" s="897"/>
      <c r="L235" s="897"/>
      <c r="M235" s="897"/>
      <c r="N235" s="897"/>
      <c r="O235" s="897"/>
      <c r="P235" s="897">
        <f t="shared" si="74"/>
        <v>0</v>
      </c>
      <c r="Q235" s="898">
        <f t="shared" si="70"/>
        <v>0</v>
      </c>
      <c r="R235" s="936">
        <f t="shared" si="71"/>
        <v>0</v>
      </c>
      <c r="S235" s="935">
        <f t="shared" si="77"/>
        <v>0</v>
      </c>
      <c r="T235" s="935">
        <f t="shared" si="77"/>
        <v>0</v>
      </c>
      <c r="U235" s="935">
        <f t="shared" si="77"/>
        <v>0</v>
      </c>
      <c r="V235" s="935">
        <f t="shared" si="77"/>
        <v>0</v>
      </c>
      <c r="W235" s="935">
        <f t="shared" si="77"/>
        <v>0</v>
      </c>
      <c r="X235" s="935">
        <f t="shared" si="77"/>
        <v>0</v>
      </c>
      <c r="Y235" s="935">
        <f t="shared" si="75"/>
        <v>0</v>
      </c>
      <c r="Z235" s="935">
        <f t="shared" si="76"/>
        <v>0</v>
      </c>
    </row>
    <row r="236" spans="1:26" hidden="1">
      <c r="A236" s="984">
        <v>6325</v>
      </c>
      <c r="B236" s="1006" t="s">
        <v>2012</v>
      </c>
      <c r="C236" s="897"/>
      <c r="D236" s="937">
        <f t="shared" si="78"/>
        <v>0</v>
      </c>
      <c r="E236" s="897">
        <f t="shared" si="78"/>
        <v>0</v>
      </c>
      <c r="F236" s="897">
        <f t="shared" si="78"/>
        <v>0</v>
      </c>
      <c r="G236" s="897">
        <f t="shared" si="78"/>
        <v>0</v>
      </c>
      <c r="H236" s="897">
        <f t="shared" si="78"/>
        <v>0</v>
      </c>
      <c r="I236" s="897"/>
      <c r="J236" s="897"/>
      <c r="K236" s="897"/>
      <c r="L236" s="897"/>
      <c r="M236" s="897"/>
      <c r="N236" s="897"/>
      <c r="O236" s="897"/>
      <c r="P236" s="897">
        <f t="shared" si="74"/>
        <v>0</v>
      </c>
      <c r="Q236" s="898">
        <f t="shared" si="70"/>
        <v>0</v>
      </c>
      <c r="R236" s="936">
        <f t="shared" si="71"/>
        <v>0</v>
      </c>
      <c r="S236" s="935">
        <f t="shared" si="77"/>
        <v>0</v>
      </c>
      <c r="T236" s="935">
        <f t="shared" si="77"/>
        <v>0</v>
      </c>
      <c r="U236" s="935">
        <f t="shared" si="77"/>
        <v>0</v>
      </c>
      <c r="V236" s="935">
        <f t="shared" si="77"/>
        <v>0</v>
      </c>
      <c r="W236" s="935">
        <f t="shared" si="77"/>
        <v>0</v>
      </c>
      <c r="X236" s="935">
        <f t="shared" si="77"/>
        <v>0</v>
      </c>
      <c r="Y236" s="935">
        <f t="shared" si="75"/>
        <v>0</v>
      </c>
      <c r="Z236" s="935">
        <f t="shared" si="76"/>
        <v>0</v>
      </c>
    </row>
    <row r="237" spans="1:26" hidden="1">
      <c r="A237" s="984">
        <v>6328</v>
      </c>
      <c r="B237" s="1006" t="s">
        <v>2013</v>
      </c>
      <c r="C237" s="897"/>
      <c r="D237" s="937">
        <f t="shared" si="78"/>
        <v>0</v>
      </c>
      <c r="E237" s="897">
        <f t="shared" si="78"/>
        <v>0</v>
      </c>
      <c r="F237" s="897">
        <f t="shared" si="78"/>
        <v>0</v>
      </c>
      <c r="G237" s="897">
        <f t="shared" si="78"/>
        <v>0</v>
      </c>
      <c r="H237" s="897">
        <f t="shared" si="78"/>
        <v>0</v>
      </c>
      <c r="I237" s="897"/>
      <c r="J237" s="897"/>
      <c r="K237" s="897"/>
      <c r="L237" s="897"/>
      <c r="M237" s="897"/>
      <c r="N237" s="897"/>
      <c r="O237" s="897"/>
      <c r="P237" s="897">
        <f t="shared" si="74"/>
        <v>0</v>
      </c>
      <c r="Q237" s="898">
        <f t="shared" si="70"/>
        <v>0</v>
      </c>
      <c r="R237" s="936">
        <f t="shared" si="71"/>
        <v>0</v>
      </c>
      <c r="S237" s="935">
        <f t="shared" si="77"/>
        <v>0</v>
      </c>
      <c r="T237" s="935">
        <f t="shared" si="77"/>
        <v>0</v>
      </c>
      <c r="U237" s="935">
        <f t="shared" si="77"/>
        <v>0</v>
      </c>
      <c r="V237" s="935">
        <f t="shared" si="77"/>
        <v>0</v>
      </c>
      <c r="W237" s="935">
        <f t="shared" si="77"/>
        <v>0</v>
      </c>
      <c r="X237" s="935">
        <f t="shared" si="77"/>
        <v>0</v>
      </c>
      <c r="Y237" s="935">
        <f t="shared" si="75"/>
        <v>0</v>
      </c>
      <c r="Z237" s="935">
        <f t="shared" si="76"/>
        <v>0</v>
      </c>
    </row>
    <row r="238" spans="1:26" hidden="1">
      <c r="A238" s="951">
        <v>633</v>
      </c>
      <c r="B238" s="992" t="s">
        <v>2014</v>
      </c>
      <c r="C238" s="897"/>
      <c r="D238" s="937">
        <f t="shared" si="78"/>
        <v>0</v>
      </c>
      <c r="E238" s="897">
        <f t="shared" si="78"/>
        <v>0</v>
      </c>
      <c r="F238" s="897">
        <f t="shared" si="78"/>
        <v>0</v>
      </c>
      <c r="G238" s="897">
        <f t="shared" si="78"/>
        <v>0</v>
      </c>
      <c r="H238" s="897">
        <f t="shared" si="78"/>
        <v>0</v>
      </c>
      <c r="I238" s="897"/>
      <c r="J238" s="897"/>
      <c r="K238" s="897"/>
      <c r="L238" s="897"/>
      <c r="M238" s="897"/>
      <c r="N238" s="897"/>
      <c r="O238" s="897"/>
      <c r="P238" s="897">
        <f t="shared" si="74"/>
        <v>0</v>
      </c>
      <c r="Q238" s="898">
        <f t="shared" si="70"/>
        <v>0</v>
      </c>
      <c r="R238" s="936">
        <f t="shared" si="71"/>
        <v>0</v>
      </c>
      <c r="S238" s="935">
        <f t="shared" ref="S238:X247" si="79">R238</f>
        <v>0</v>
      </c>
      <c r="T238" s="935">
        <f t="shared" si="79"/>
        <v>0</v>
      </c>
      <c r="U238" s="935">
        <f t="shared" si="79"/>
        <v>0</v>
      </c>
      <c r="V238" s="935">
        <f t="shared" si="79"/>
        <v>0</v>
      </c>
      <c r="W238" s="935">
        <f t="shared" si="79"/>
        <v>0</v>
      </c>
      <c r="X238" s="935">
        <f t="shared" si="79"/>
        <v>0</v>
      </c>
      <c r="Y238" s="935">
        <f t="shared" si="75"/>
        <v>0</v>
      </c>
      <c r="Z238" s="935">
        <f t="shared" si="76"/>
        <v>0</v>
      </c>
    </row>
    <row r="239" spans="1:26" hidden="1">
      <c r="A239" s="984">
        <v>6331</v>
      </c>
      <c r="B239" s="991" t="s">
        <v>2015</v>
      </c>
      <c r="C239" s="897"/>
      <c r="D239" s="937">
        <f t="shared" ref="D239:H245" si="80">C239/12</f>
        <v>0</v>
      </c>
      <c r="E239" s="897">
        <f t="shared" si="80"/>
        <v>0</v>
      </c>
      <c r="F239" s="897">
        <f t="shared" si="80"/>
        <v>0</v>
      </c>
      <c r="G239" s="897">
        <f t="shared" si="80"/>
        <v>0</v>
      </c>
      <c r="H239" s="897">
        <f t="shared" si="80"/>
        <v>0</v>
      </c>
      <c r="I239" s="897"/>
      <c r="J239" s="897"/>
      <c r="K239" s="897"/>
      <c r="L239" s="897"/>
      <c r="M239" s="897"/>
      <c r="N239" s="897"/>
      <c r="O239" s="897"/>
      <c r="P239" s="897">
        <f t="shared" si="74"/>
        <v>0</v>
      </c>
      <c r="Q239" s="898">
        <f t="shared" si="70"/>
        <v>0</v>
      </c>
      <c r="R239" s="936">
        <f t="shared" si="71"/>
        <v>0</v>
      </c>
      <c r="S239" s="935">
        <f t="shared" si="79"/>
        <v>0</v>
      </c>
      <c r="T239" s="935">
        <f t="shared" si="79"/>
        <v>0</v>
      </c>
      <c r="U239" s="935">
        <f t="shared" si="79"/>
        <v>0</v>
      </c>
      <c r="V239" s="935">
        <f t="shared" si="79"/>
        <v>0</v>
      </c>
      <c r="W239" s="935">
        <f t="shared" si="79"/>
        <v>0</v>
      </c>
      <c r="X239" s="935">
        <f t="shared" si="79"/>
        <v>0</v>
      </c>
      <c r="Y239" s="935">
        <f t="shared" si="75"/>
        <v>0</v>
      </c>
      <c r="Z239" s="935">
        <f t="shared" si="76"/>
        <v>0</v>
      </c>
    </row>
    <row r="240" spans="1:26" hidden="1">
      <c r="A240" s="984">
        <v>6334</v>
      </c>
      <c r="B240" s="991" t="s">
        <v>2016</v>
      </c>
      <c r="C240" s="897"/>
      <c r="D240" s="937">
        <f t="shared" si="80"/>
        <v>0</v>
      </c>
      <c r="E240" s="897">
        <f t="shared" si="80"/>
        <v>0</v>
      </c>
      <c r="F240" s="897">
        <f t="shared" si="80"/>
        <v>0</v>
      </c>
      <c r="G240" s="897">
        <f t="shared" si="80"/>
        <v>0</v>
      </c>
      <c r="H240" s="897">
        <f t="shared" si="80"/>
        <v>0</v>
      </c>
      <c r="I240" s="897"/>
      <c r="J240" s="897"/>
      <c r="K240" s="897"/>
      <c r="L240" s="897"/>
      <c r="M240" s="897"/>
      <c r="N240" s="897"/>
      <c r="O240" s="897"/>
      <c r="P240" s="897">
        <f t="shared" si="74"/>
        <v>0</v>
      </c>
      <c r="Q240" s="898">
        <f t="shared" si="70"/>
        <v>0</v>
      </c>
      <c r="R240" s="936">
        <f t="shared" si="71"/>
        <v>0</v>
      </c>
      <c r="S240" s="935">
        <f t="shared" si="79"/>
        <v>0</v>
      </c>
      <c r="T240" s="935">
        <f t="shared" si="79"/>
        <v>0</v>
      </c>
      <c r="U240" s="935">
        <f t="shared" si="79"/>
        <v>0</v>
      </c>
      <c r="V240" s="935">
        <f t="shared" si="79"/>
        <v>0</v>
      </c>
      <c r="W240" s="935">
        <f t="shared" si="79"/>
        <v>0</v>
      </c>
      <c r="X240" s="935">
        <f t="shared" si="79"/>
        <v>0</v>
      </c>
      <c r="Y240" s="935">
        <f t="shared" si="75"/>
        <v>0</v>
      </c>
      <c r="Z240" s="935">
        <f t="shared" si="76"/>
        <v>0</v>
      </c>
    </row>
    <row r="241" spans="1:26" hidden="1">
      <c r="A241" s="951">
        <v>634</v>
      </c>
      <c r="B241" s="992" t="s">
        <v>2017</v>
      </c>
      <c r="C241" s="897"/>
      <c r="D241" s="937">
        <f t="shared" si="80"/>
        <v>0</v>
      </c>
      <c r="E241" s="897">
        <f t="shared" si="80"/>
        <v>0</v>
      </c>
      <c r="F241" s="897">
        <f t="shared" si="80"/>
        <v>0</v>
      </c>
      <c r="G241" s="897">
        <f t="shared" si="80"/>
        <v>0</v>
      </c>
      <c r="H241" s="897">
        <f t="shared" si="80"/>
        <v>0</v>
      </c>
      <c r="I241" s="897"/>
      <c r="J241" s="897"/>
      <c r="K241" s="897"/>
      <c r="L241" s="897"/>
      <c r="M241" s="897"/>
      <c r="N241" s="897"/>
      <c r="O241" s="897"/>
      <c r="P241" s="897">
        <f t="shared" si="74"/>
        <v>0</v>
      </c>
      <c r="Q241" s="898">
        <f t="shared" si="70"/>
        <v>0</v>
      </c>
      <c r="R241" s="936">
        <f t="shared" si="71"/>
        <v>0</v>
      </c>
      <c r="S241" s="935">
        <f t="shared" si="79"/>
        <v>0</v>
      </c>
      <c r="T241" s="935">
        <f t="shared" si="79"/>
        <v>0</v>
      </c>
      <c r="U241" s="935">
        <f t="shared" si="79"/>
        <v>0</v>
      </c>
      <c r="V241" s="935">
        <f t="shared" si="79"/>
        <v>0</v>
      </c>
      <c r="W241" s="935">
        <f t="shared" si="79"/>
        <v>0</v>
      </c>
      <c r="X241" s="935">
        <f t="shared" si="79"/>
        <v>0</v>
      </c>
      <c r="Y241" s="935">
        <f t="shared" si="75"/>
        <v>0</v>
      </c>
      <c r="Z241" s="935">
        <f t="shared" si="76"/>
        <v>0</v>
      </c>
    </row>
    <row r="242" spans="1:26" hidden="1">
      <c r="A242" s="984">
        <v>6341</v>
      </c>
      <c r="B242" s="991" t="s">
        <v>2018</v>
      </c>
      <c r="C242" s="897"/>
      <c r="D242" s="937">
        <f t="shared" si="80"/>
        <v>0</v>
      </c>
      <c r="E242" s="897">
        <f t="shared" si="80"/>
        <v>0</v>
      </c>
      <c r="F242" s="897">
        <f t="shared" si="80"/>
        <v>0</v>
      </c>
      <c r="G242" s="897">
        <f t="shared" si="80"/>
        <v>0</v>
      </c>
      <c r="H242" s="897">
        <f t="shared" si="80"/>
        <v>0</v>
      </c>
      <c r="I242" s="897"/>
      <c r="J242" s="897"/>
      <c r="K242" s="897"/>
      <c r="L242" s="897"/>
      <c r="M242" s="897"/>
      <c r="N242" s="897"/>
      <c r="O242" s="897"/>
      <c r="P242" s="897">
        <f t="shared" si="74"/>
        <v>0</v>
      </c>
      <c r="Q242" s="898">
        <f t="shared" si="70"/>
        <v>0</v>
      </c>
      <c r="R242" s="936">
        <f t="shared" si="71"/>
        <v>0</v>
      </c>
      <c r="S242" s="935">
        <f t="shared" si="79"/>
        <v>0</v>
      </c>
      <c r="T242" s="935">
        <f t="shared" si="79"/>
        <v>0</v>
      </c>
      <c r="U242" s="935">
        <f t="shared" si="79"/>
        <v>0</v>
      </c>
      <c r="V242" s="935">
        <f t="shared" si="79"/>
        <v>0</v>
      </c>
      <c r="W242" s="935">
        <f t="shared" si="79"/>
        <v>0</v>
      </c>
      <c r="X242" s="935">
        <f t="shared" si="79"/>
        <v>0</v>
      </c>
      <c r="Y242" s="935">
        <f t="shared" si="75"/>
        <v>0</v>
      </c>
      <c r="Z242" s="935">
        <f t="shared" si="76"/>
        <v>0</v>
      </c>
    </row>
    <row r="243" spans="1:26" hidden="1">
      <c r="A243" s="984">
        <v>6342</v>
      </c>
      <c r="B243" s="991" t="s">
        <v>2019</v>
      </c>
      <c r="C243" s="897"/>
      <c r="D243" s="937">
        <f t="shared" si="80"/>
        <v>0</v>
      </c>
      <c r="E243" s="897">
        <f t="shared" si="80"/>
        <v>0</v>
      </c>
      <c r="F243" s="897">
        <f t="shared" si="80"/>
        <v>0</v>
      </c>
      <c r="G243" s="897">
        <f t="shared" si="80"/>
        <v>0</v>
      </c>
      <c r="H243" s="897">
        <f t="shared" si="80"/>
        <v>0</v>
      </c>
      <c r="I243" s="897"/>
      <c r="J243" s="897"/>
      <c r="K243" s="897"/>
      <c r="L243" s="897"/>
      <c r="M243" s="897"/>
      <c r="N243" s="897"/>
      <c r="O243" s="897"/>
      <c r="P243" s="897">
        <f t="shared" si="74"/>
        <v>0</v>
      </c>
      <c r="Q243" s="898">
        <f t="shared" si="70"/>
        <v>0</v>
      </c>
      <c r="R243" s="936">
        <f>Q243/7</f>
        <v>0</v>
      </c>
      <c r="S243" s="935">
        <f t="shared" si="79"/>
        <v>0</v>
      </c>
      <c r="T243" s="935">
        <f t="shared" si="79"/>
        <v>0</v>
      </c>
      <c r="U243" s="935">
        <f t="shared" si="79"/>
        <v>0</v>
      </c>
      <c r="V243" s="935">
        <f t="shared" si="79"/>
        <v>0</v>
      </c>
      <c r="W243" s="935">
        <f t="shared" si="79"/>
        <v>0</v>
      </c>
      <c r="X243" s="935">
        <f t="shared" si="79"/>
        <v>0</v>
      </c>
      <c r="Y243" s="935">
        <f t="shared" si="75"/>
        <v>0</v>
      </c>
      <c r="Z243" s="935">
        <f t="shared" si="76"/>
        <v>0</v>
      </c>
    </row>
    <row r="244" spans="1:26" hidden="1">
      <c r="A244" s="984">
        <v>6343</v>
      </c>
      <c r="B244" s="991" t="s">
        <v>2020</v>
      </c>
      <c r="C244" s="897"/>
      <c r="D244" s="937">
        <f t="shared" si="80"/>
        <v>0</v>
      </c>
      <c r="E244" s="897">
        <f t="shared" si="80"/>
        <v>0</v>
      </c>
      <c r="F244" s="897">
        <f t="shared" si="80"/>
        <v>0</v>
      </c>
      <c r="G244" s="897">
        <f t="shared" si="80"/>
        <v>0</v>
      </c>
      <c r="H244" s="897">
        <f t="shared" si="80"/>
        <v>0</v>
      </c>
      <c r="I244" s="897"/>
      <c r="J244" s="897"/>
      <c r="K244" s="897"/>
      <c r="L244" s="897"/>
      <c r="M244" s="897"/>
      <c r="N244" s="897"/>
      <c r="O244" s="897"/>
      <c r="P244" s="897">
        <f t="shared" si="74"/>
        <v>0</v>
      </c>
      <c r="Q244" s="898">
        <f t="shared" si="70"/>
        <v>0</v>
      </c>
      <c r="R244" s="936">
        <f>Q244/7</f>
        <v>0</v>
      </c>
      <c r="S244" s="935">
        <f t="shared" si="79"/>
        <v>0</v>
      </c>
      <c r="T244" s="935">
        <f t="shared" si="79"/>
        <v>0</v>
      </c>
      <c r="U244" s="935">
        <f t="shared" si="79"/>
        <v>0</v>
      </c>
      <c r="V244" s="935">
        <f t="shared" si="79"/>
        <v>0</v>
      </c>
      <c r="W244" s="935">
        <f t="shared" si="79"/>
        <v>0</v>
      </c>
      <c r="X244" s="935">
        <f t="shared" si="79"/>
        <v>0</v>
      </c>
      <c r="Y244" s="935">
        <f t="shared" si="75"/>
        <v>0</v>
      </c>
      <c r="Z244" s="935">
        <f t="shared" si="76"/>
        <v>0</v>
      </c>
    </row>
    <row r="245" spans="1:26" hidden="1">
      <c r="A245" s="984">
        <v>6349</v>
      </c>
      <c r="B245" s="991" t="s">
        <v>2021</v>
      </c>
      <c r="C245" s="897"/>
      <c r="D245" s="937">
        <f t="shared" si="80"/>
        <v>0</v>
      </c>
      <c r="E245" s="897">
        <f t="shared" si="80"/>
        <v>0</v>
      </c>
      <c r="F245" s="897">
        <f t="shared" si="80"/>
        <v>0</v>
      </c>
      <c r="G245" s="897">
        <f t="shared" si="80"/>
        <v>0</v>
      </c>
      <c r="H245" s="897">
        <f t="shared" si="80"/>
        <v>0</v>
      </c>
      <c r="I245" s="897"/>
      <c r="J245" s="897"/>
      <c r="K245" s="897"/>
      <c r="L245" s="897"/>
      <c r="M245" s="897"/>
      <c r="N245" s="897"/>
      <c r="O245" s="897"/>
      <c r="P245" s="897">
        <f t="shared" si="74"/>
        <v>0</v>
      </c>
      <c r="Q245" s="898">
        <f t="shared" si="70"/>
        <v>0</v>
      </c>
      <c r="R245" s="936">
        <f>Q245/7</f>
        <v>0</v>
      </c>
      <c r="S245" s="935">
        <f t="shared" si="79"/>
        <v>0</v>
      </c>
      <c r="T245" s="935">
        <f t="shared" si="79"/>
        <v>0</v>
      </c>
      <c r="U245" s="935">
        <f t="shared" si="79"/>
        <v>0</v>
      </c>
      <c r="V245" s="935">
        <f t="shared" si="79"/>
        <v>0</v>
      </c>
      <c r="W245" s="935">
        <f t="shared" si="79"/>
        <v>0</v>
      </c>
      <c r="X245" s="935">
        <f t="shared" si="79"/>
        <v>0</v>
      </c>
      <c r="Y245" s="935">
        <f t="shared" si="75"/>
        <v>0</v>
      </c>
      <c r="Z245" s="935">
        <f t="shared" si="76"/>
        <v>0</v>
      </c>
    </row>
    <row r="246" spans="1:26" ht="13.5">
      <c r="A246" s="945" t="s">
        <v>2022</v>
      </c>
      <c r="B246" s="944" t="s">
        <v>2023</v>
      </c>
      <c r="C246" s="908">
        <f t="shared" ref="C246:I246" si="81">C247</f>
        <v>0</v>
      </c>
      <c r="D246" s="943">
        <f t="shared" si="81"/>
        <v>0</v>
      </c>
      <c r="E246" s="908">
        <f t="shared" si="81"/>
        <v>0</v>
      </c>
      <c r="F246" s="908">
        <f t="shared" si="81"/>
        <v>0</v>
      </c>
      <c r="G246" s="908">
        <f t="shared" si="81"/>
        <v>0</v>
      </c>
      <c r="H246" s="908">
        <f t="shared" si="81"/>
        <v>0</v>
      </c>
      <c r="I246" s="908">
        <f t="shared" si="81"/>
        <v>0</v>
      </c>
      <c r="J246" s="908">
        <f t="shared" ref="J246:P246" si="82">J247</f>
        <v>0</v>
      </c>
      <c r="K246" s="908">
        <f t="shared" si="82"/>
        <v>0</v>
      </c>
      <c r="L246" s="908">
        <f t="shared" si="82"/>
        <v>0</v>
      </c>
      <c r="M246" s="908">
        <f t="shared" si="82"/>
        <v>0</v>
      </c>
      <c r="N246" s="908">
        <f>N247</f>
        <v>0</v>
      </c>
      <c r="O246" s="908">
        <f>O247</f>
        <v>0</v>
      </c>
      <c r="P246" s="908">
        <f t="shared" si="82"/>
        <v>0</v>
      </c>
      <c r="Q246" s="909">
        <f t="shared" si="70"/>
        <v>0</v>
      </c>
      <c r="R246" s="960">
        <f>Q246/7</f>
        <v>0</v>
      </c>
      <c r="S246" s="959">
        <f t="shared" si="79"/>
        <v>0</v>
      </c>
      <c r="T246" s="959">
        <f t="shared" si="79"/>
        <v>0</v>
      </c>
      <c r="U246" s="959">
        <f t="shared" si="79"/>
        <v>0</v>
      </c>
      <c r="V246" s="959">
        <f t="shared" si="79"/>
        <v>0</v>
      </c>
      <c r="W246" s="959">
        <f t="shared" si="79"/>
        <v>0</v>
      </c>
      <c r="X246" s="959">
        <f t="shared" si="79"/>
        <v>0</v>
      </c>
      <c r="Y246" s="959">
        <f t="shared" si="75"/>
        <v>0</v>
      </c>
      <c r="Z246" s="959">
        <f t="shared" si="76"/>
        <v>0</v>
      </c>
    </row>
    <row r="247" spans="1:26">
      <c r="A247" s="958">
        <v>6391</v>
      </c>
      <c r="B247" s="981" t="s">
        <v>2024</v>
      </c>
      <c r="C247" s="897"/>
      <c r="D247" s="937">
        <v>0</v>
      </c>
      <c r="E247" s="897">
        <v>0</v>
      </c>
      <c r="F247" s="897">
        <v>0</v>
      </c>
      <c r="G247" s="897">
        <v>0</v>
      </c>
      <c r="H247" s="915">
        <v>0</v>
      </c>
      <c r="I247" s="915">
        <v>0</v>
      </c>
      <c r="J247" s="915"/>
      <c r="K247" s="915">
        <v>0</v>
      </c>
      <c r="L247" s="915">
        <v>0</v>
      </c>
      <c r="M247" s="915">
        <v>0</v>
      </c>
      <c r="N247" s="915">
        <v>0</v>
      </c>
      <c r="O247" s="915">
        <v>0</v>
      </c>
      <c r="P247" s="915">
        <f>SUM(D247:O247)</f>
        <v>0</v>
      </c>
      <c r="Q247" s="1005">
        <f t="shared" si="70"/>
        <v>0</v>
      </c>
      <c r="R247" s="1004">
        <f>P247/5</f>
        <v>0</v>
      </c>
      <c r="S247" s="1003">
        <f t="shared" si="79"/>
        <v>0</v>
      </c>
      <c r="T247" s="1003">
        <f t="shared" si="79"/>
        <v>0</v>
      </c>
      <c r="U247" s="1003">
        <f t="shared" si="79"/>
        <v>0</v>
      </c>
      <c r="V247" s="1003">
        <f t="shared" si="79"/>
        <v>0</v>
      </c>
      <c r="W247" s="1003">
        <f t="shared" si="79"/>
        <v>0</v>
      </c>
      <c r="X247" s="1003">
        <f t="shared" si="79"/>
        <v>0</v>
      </c>
      <c r="Y247" s="1003">
        <f t="shared" si="75"/>
        <v>0</v>
      </c>
      <c r="Z247" s="1003">
        <f t="shared" si="76"/>
        <v>0</v>
      </c>
    </row>
    <row r="248" spans="1:26" hidden="1">
      <c r="A248" s="958">
        <v>63911</v>
      </c>
      <c r="B248" s="991" t="s">
        <v>2025</v>
      </c>
      <c r="C248" s="897"/>
      <c r="D248" s="937">
        <f t="shared" ref="D248:H250" si="83">C248/12</f>
        <v>0</v>
      </c>
      <c r="E248" s="897">
        <f t="shared" si="83"/>
        <v>0</v>
      </c>
      <c r="F248" s="897">
        <f t="shared" si="83"/>
        <v>0</v>
      </c>
      <c r="G248" s="897">
        <f t="shared" si="83"/>
        <v>0</v>
      </c>
      <c r="H248" s="897">
        <f t="shared" si="83"/>
        <v>0</v>
      </c>
      <c r="I248" s="897"/>
      <c r="J248" s="897"/>
      <c r="K248" s="897"/>
      <c r="L248" s="897"/>
      <c r="M248" s="897"/>
      <c r="N248" s="897"/>
      <c r="O248" s="897"/>
      <c r="P248" s="897">
        <f>SUM(D248:H248)</f>
        <v>0</v>
      </c>
      <c r="Q248" s="898">
        <f t="shared" si="70"/>
        <v>0</v>
      </c>
      <c r="R248" s="936">
        <f>Q248/7</f>
        <v>0</v>
      </c>
      <c r="S248" s="935">
        <f t="shared" ref="S248:X257" si="84">R248</f>
        <v>0</v>
      </c>
      <c r="T248" s="935">
        <f t="shared" si="84"/>
        <v>0</v>
      </c>
      <c r="U248" s="935">
        <f t="shared" si="84"/>
        <v>0</v>
      </c>
      <c r="V248" s="935">
        <f t="shared" si="84"/>
        <v>0</v>
      </c>
      <c r="W248" s="935">
        <f t="shared" si="84"/>
        <v>0</v>
      </c>
      <c r="X248" s="935">
        <f t="shared" si="84"/>
        <v>0</v>
      </c>
      <c r="Y248" s="935">
        <f t="shared" si="75"/>
        <v>0</v>
      </c>
      <c r="Z248" s="935">
        <f t="shared" si="76"/>
        <v>0</v>
      </c>
    </row>
    <row r="249" spans="1:26" hidden="1">
      <c r="A249" s="958">
        <v>63912</v>
      </c>
      <c r="B249" s="991" t="s">
        <v>2024</v>
      </c>
      <c r="C249" s="897"/>
      <c r="D249" s="937">
        <f t="shared" si="83"/>
        <v>0</v>
      </c>
      <c r="E249" s="897">
        <f t="shared" si="83"/>
        <v>0</v>
      </c>
      <c r="F249" s="897">
        <f t="shared" si="83"/>
        <v>0</v>
      </c>
      <c r="G249" s="897">
        <f t="shared" si="83"/>
        <v>0</v>
      </c>
      <c r="H249" s="897">
        <f t="shared" si="83"/>
        <v>0</v>
      </c>
      <c r="I249" s="897"/>
      <c r="J249" s="897"/>
      <c r="K249" s="897"/>
      <c r="L249" s="897"/>
      <c r="M249" s="897"/>
      <c r="N249" s="897"/>
      <c r="O249" s="897"/>
      <c r="P249" s="897">
        <f>SUM(D249:H249)</f>
        <v>0</v>
      </c>
      <c r="Q249" s="898">
        <f t="shared" si="70"/>
        <v>0</v>
      </c>
      <c r="R249" s="936">
        <f>Q249/7</f>
        <v>0</v>
      </c>
      <c r="S249" s="935">
        <f t="shared" si="84"/>
        <v>0</v>
      </c>
      <c r="T249" s="935">
        <f t="shared" si="84"/>
        <v>0</v>
      </c>
      <c r="U249" s="935">
        <f t="shared" si="84"/>
        <v>0</v>
      </c>
      <c r="V249" s="935">
        <f t="shared" si="84"/>
        <v>0</v>
      </c>
      <c r="W249" s="935">
        <f t="shared" si="84"/>
        <v>0</v>
      </c>
      <c r="X249" s="935">
        <f t="shared" si="84"/>
        <v>0</v>
      </c>
      <c r="Y249" s="935">
        <f t="shared" si="75"/>
        <v>0</v>
      </c>
      <c r="Z249" s="935">
        <f t="shared" si="76"/>
        <v>0</v>
      </c>
    </row>
    <row r="250" spans="1:26" hidden="1">
      <c r="A250" s="958">
        <v>63913</v>
      </c>
      <c r="B250" s="991" t="s">
        <v>2026</v>
      </c>
      <c r="C250" s="897"/>
      <c r="D250" s="937">
        <f t="shared" si="83"/>
        <v>0</v>
      </c>
      <c r="E250" s="897">
        <f t="shared" si="83"/>
        <v>0</v>
      </c>
      <c r="F250" s="897">
        <f t="shared" si="83"/>
        <v>0</v>
      </c>
      <c r="G250" s="897">
        <f t="shared" si="83"/>
        <v>0</v>
      </c>
      <c r="H250" s="897">
        <f t="shared" si="83"/>
        <v>0</v>
      </c>
      <c r="I250" s="897"/>
      <c r="J250" s="897"/>
      <c r="K250" s="897"/>
      <c r="L250" s="897"/>
      <c r="M250" s="897"/>
      <c r="N250" s="897"/>
      <c r="O250" s="897"/>
      <c r="P250" s="897">
        <f>SUM(D250:H250)</f>
        <v>0</v>
      </c>
      <c r="Q250" s="898">
        <f t="shared" si="70"/>
        <v>0</v>
      </c>
      <c r="R250" s="936">
        <f>Q250/7</f>
        <v>0</v>
      </c>
      <c r="S250" s="935">
        <f t="shared" si="84"/>
        <v>0</v>
      </c>
      <c r="T250" s="935">
        <f t="shared" si="84"/>
        <v>0</v>
      </c>
      <c r="U250" s="935">
        <f t="shared" si="84"/>
        <v>0</v>
      </c>
      <c r="V250" s="935">
        <f t="shared" si="84"/>
        <v>0</v>
      </c>
      <c r="W250" s="935">
        <f t="shared" si="84"/>
        <v>0</v>
      </c>
      <c r="X250" s="935">
        <f t="shared" si="84"/>
        <v>0</v>
      </c>
      <c r="Y250" s="935">
        <f t="shared" si="75"/>
        <v>0</v>
      </c>
      <c r="Z250" s="935">
        <f t="shared" si="76"/>
        <v>0</v>
      </c>
    </row>
    <row r="251" spans="1:26">
      <c r="A251" s="945" t="s">
        <v>2027</v>
      </c>
      <c r="B251" s="964" t="s">
        <v>2028</v>
      </c>
      <c r="C251" s="916">
        <f t="shared" ref="C251:P251" si="85">C252+C262+C278+C292+C319</f>
        <v>0</v>
      </c>
      <c r="D251" s="963">
        <f>D252+D262+D278+D292+D319</f>
        <v>0</v>
      </c>
      <c r="E251" s="916">
        <f t="shared" si="85"/>
        <v>0</v>
      </c>
      <c r="F251" s="916">
        <f t="shared" si="85"/>
        <v>0</v>
      </c>
      <c r="G251" s="916">
        <f t="shared" si="85"/>
        <v>0</v>
      </c>
      <c r="H251" s="916">
        <f t="shared" si="85"/>
        <v>0</v>
      </c>
      <c r="I251" s="916">
        <f t="shared" si="85"/>
        <v>0</v>
      </c>
      <c r="J251" s="916">
        <f t="shared" si="85"/>
        <v>0</v>
      </c>
      <c r="K251" s="916">
        <f t="shared" si="85"/>
        <v>0</v>
      </c>
      <c r="L251" s="916">
        <f t="shared" si="85"/>
        <v>0</v>
      </c>
      <c r="M251" s="916">
        <f t="shared" si="85"/>
        <v>0</v>
      </c>
      <c r="N251" s="916">
        <f>N252+N262+N278+N292+N319</f>
        <v>0</v>
      </c>
      <c r="O251" s="916">
        <f>O252+O262+O278+O292+O319</f>
        <v>0</v>
      </c>
      <c r="P251" s="916">
        <f t="shared" si="85"/>
        <v>0</v>
      </c>
      <c r="Q251" s="917">
        <f t="shared" si="70"/>
        <v>0</v>
      </c>
      <c r="R251" s="1002">
        <f>R252+R262+R278+R292+R319</f>
        <v>0</v>
      </c>
      <c r="S251" s="961">
        <f t="shared" si="84"/>
        <v>0</v>
      </c>
      <c r="T251" s="961">
        <f t="shared" si="84"/>
        <v>0</v>
      </c>
      <c r="U251" s="961">
        <f t="shared" si="84"/>
        <v>0</v>
      </c>
      <c r="V251" s="961">
        <f t="shared" si="84"/>
        <v>0</v>
      </c>
      <c r="W251" s="961">
        <f t="shared" si="84"/>
        <v>0</v>
      </c>
      <c r="X251" s="961">
        <f t="shared" si="84"/>
        <v>0</v>
      </c>
      <c r="Y251" s="961">
        <f t="shared" si="75"/>
        <v>0</v>
      </c>
      <c r="Z251" s="961">
        <f t="shared" si="76"/>
        <v>0</v>
      </c>
    </row>
    <row r="252" spans="1:26" ht="13.5">
      <c r="A252" s="945">
        <v>641</v>
      </c>
      <c r="B252" s="944" t="s">
        <v>2029</v>
      </c>
      <c r="C252" s="908">
        <f t="shared" ref="C252:P252" si="86">SUM(C253:C260)</f>
        <v>0</v>
      </c>
      <c r="D252" s="943">
        <f t="shared" si="86"/>
        <v>0</v>
      </c>
      <c r="E252" s="908">
        <f t="shared" si="86"/>
        <v>0</v>
      </c>
      <c r="F252" s="908">
        <f t="shared" si="86"/>
        <v>0</v>
      </c>
      <c r="G252" s="908">
        <f t="shared" si="86"/>
        <v>0</v>
      </c>
      <c r="H252" s="908">
        <f t="shared" si="86"/>
        <v>0</v>
      </c>
      <c r="I252" s="908">
        <f t="shared" si="86"/>
        <v>0</v>
      </c>
      <c r="J252" s="908">
        <f t="shared" si="86"/>
        <v>0</v>
      </c>
      <c r="K252" s="908">
        <f t="shared" si="86"/>
        <v>0</v>
      </c>
      <c r="L252" s="908">
        <f t="shared" si="86"/>
        <v>0</v>
      </c>
      <c r="M252" s="908">
        <f t="shared" si="86"/>
        <v>0</v>
      </c>
      <c r="N252" s="908">
        <f t="shared" si="86"/>
        <v>0</v>
      </c>
      <c r="O252" s="908">
        <f t="shared" si="86"/>
        <v>0</v>
      </c>
      <c r="P252" s="908">
        <f t="shared" si="86"/>
        <v>0</v>
      </c>
      <c r="Q252" s="909">
        <f t="shared" si="70"/>
        <v>0</v>
      </c>
      <c r="R252" s="960"/>
      <c r="S252" s="959">
        <f t="shared" si="84"/>
        <v>0</v>
      </c>
      <c r="T252" s="959">
        <f t="shared" si="84"/>
        <v>0</v>
      </c>
      <c r="U252" s="959">
        <f t="shared" si="84"/>
        <v>0</v>
      </c>
      <c r="V252" s="959">
        <f t="shared" si="84"/>
        <v>0</v>
      </c>
      <c r="W252" s="959">
        <f t="shared" si="84"/>
        <v>0</v>
      </c>
      <c r="X252" s="959">
        <f t="shared" si="84"/>
        <v>0</v>
      </c>
      <c r="Y252" s="959">
        <f t="shared" si="75"/>
        <v>0</v>
      </c>
      <c r="Z252" s="959">
        <f t="shared" si="76"/>
        <v>0</v>
      </c>
    </row>
    <row r="253" spans="1:26">
      <c r="A253" s="984" t="s">
        <v>2030</v>
      </c>
      <c r="B253" s="991" t="s">
        <v>2031</v>
      </c>
      <c r="C253" s="897"/>
      <c r="D253" s="937">
        <v>0</v>
      </c>
      <c r="E253" s="937">
        <v>0</v>
      </c>
      <c r="F253" s="897">
        <v>0</v>
      </c>
      <c r="G253" s="897">
        <v>0</v>
      </c>
      <c r="H253" s="897">
        <v>0</v>
      </c>
      <c r="I253" s="897">
        <v>0</v>
      </c>
      <c r="J253" s="897">
        <v>0</v>
      </c>
      <c r="K253" s="897">
        <v>0</v>
      </c>
      <c r="L253" s="897">
        <v>0</v>
      </c>
      <c r="M253" s="897">
        <v>0</v>
      </c>
      <c r="N253" s="897"/>
      <c r="O253" s="897">
        <v>0</v>
      </c>
      <c r="P253" s="897">
        <f t="shared" ref="P253:P261" si="87">SUM(D253:O253)</f>
        <v>0</v>
      </c>
      <c r="Q253" s="898">
        <f t="shared" si="70"/>
        <v>0</v>
      </c>
      <c r="R253" s="936"/>
      <c r="S253" s="935">
        <f t="shared" si="84"/>
        <v>0</v>
      </c>
      <c r="T253" s="935">
        <f t="shared" si="84"/>
        <v>0</v>
      </c>
      <c r="U253" s="935">
        <f t="shared" si="84"/>
        <v>0</v>
      </c>
      <c r="V253" s="935">
        <f t="shared" si="84"/>
        <v>0</v>
      </c>
      <c r="W253" s="935">
        <f t="shared" si="84"/>
        <v>0</v>
      </c>
      <c r="X253" s="935">
        <f t="shared" si="84"/>
        <v>0</v>
      </c>
      <c r="Y253" s="935">
        <f t="shared" si="75"/>
        <v>0</v>
      </c>
      <c r="Z253" s="935">
        <f t="shared" si="76"/>
        <v>0</v>
      </c>
    </row>
    <row r="254" spans="1:26">
      <c r="A254" s="984" t="s">
        <v>2032</v>
      </c>
      <c r="B254" s="991" t="s">
        <v>2033</v>
      </c>
      <c r="C254" s="897"/>
      <c r="D254" s="937">
        <v>0</v>
      </c>
      <c r="E254" s="937">
        <v>0</v>
      </c>
      <c r="F254" s="897">
        <v>0</v>
      </c>
      <c r="G254" s="897">
        <v>0</v>
      </c>
      <c r="H254" s="897">
        <v>0</v>
      </c>
      <c r="I254" s="897">
        <v>0</v>
      </c>
      <c r="J254" s="897">
        <v>0</v>
      </c>
      <c r="K254" s="897">
        <v>0</v>
      </c>
      <c r="L254" s="897"/>
      <c r="M254" s="897">
        <v>0</v>
      </c>
      <c r="N254" s="897"/>
      <c r="O254" s="897">
        <v>0</v>
      </c>
      <c r="P254" s="897">
        <f t="shared" si="87"/>
        <v>0</v>
      </c>
      <c r="Q254" s="898">
        <f t="shared" si="70"/>
        <v>0</v>
      </c>
      <c r="R254" s="936"/>
      <c r="S254" s="935">
        <f t="shared" si="84"/>
        <v>0</v>
      </c>
      <c r="T254" s="935">
        <f t="shared" si="84"/>
        <v>0</v>
      </c>
      <c r="U254" s="935">
        <f t="shared" si="84"/>
        <v>0</v>
      </c>
      <c r="V254" s="935">
        <f t="shared" si="84"/>
        <v>0</v>
      </c>
      <c r="W254" s="935">
        <f t="shared" si="84"/>
        <v>0</v>
      </c>
      <c r="X254" s="935">
        <f t="shared" si="84"/>
        <v>0</v>
      </c>
      <c r="Y254" s="935">
        <f t="shared" si="75"/>
        <v>0</v>
      </c>
      <c r="Z254" s="935">
        <f t="shared" si="76"/>
        <v>0</v>
      </c>
    </row>
    <row r="255" spans="1:26">
      <c r="A255" s="984" t="s">
        <v>2034</v>
      </c>
      <c r="B255" s="991" t="s">
        <v>2035</v>
      </c>
      <c r="C255" s="897"/>
      <c r="D255" s="937">
        <v>0</v>
      </c>
      <c r="E255" s="937">
        <v>0</v>
      </c>
      <c r="F255" s="897">
        <v>0</v>
      </c>
      <c r="G255" s="897">
        <v>0</v>
      </c>
      <c r="H255" s="897">
        <v>0</v>
      </c>
      <c r="I255" s="897">
        <v>0</v>
      </c>
      <c r="J255" s="897">
        <v>0</v>
      </c>
      <c r="K255" s="897">
        <v>0</v>
      </c>
      <c r="L255" s="897">
        <v>0</v>
      </c>
      <c r="M255" s="897">
        <v>0</v>
      </c>
      <c r="N255" s="897"/>
      <c r="O255" s="897">
        <v>0</v>
      </c>
      <c r="P255" s="897">
        <f t="shared" si="87"/>
        <v>0</v>
      </c>
      <c r="Q255" s="898">
        <f t="shared" si="70"/>
        <v>0</v>
      </c>
      <c r="R255" s="936"/>
      <c r="S255" s="935">
        <f t="shared" si="84"/>
        <v>0</v>
      </c>
      <c r="T255" s="935">
        <f t="shared" si="84"/>
        <v>0</v>
      </c>
      <c r="U255" s="935">
        <f t="shared" si="84"/>
        <v>0</v>
      </c>
      <c r="V255" s="935">
        <f t="shared" si="84"/>
        <v>0</v>
      </c>
      <c r="W255" s="935">
        <f t="shared" si="84"/>
        <v>0</v>
      </c>
      <c r="X255" s="935">
        <f t="shared" si="84"/>
        <v>0</v>
      </c>
      <c r="Y255" s="935">
        <f t="shared" si="75"/>
        <v>0</v>
      </c>
      <c r="Z255" s="935">
        <f t="shared" si="76"/>
        <v>0</v>
      </c>
    </row>
    <row r="256" spans="1:26">
      <c r="A256" s="984" t="s">
        <v>2036</v>
      </c>
      <c r="B256" s="991" t="s">
        <v>2037</v>
      </c>
      <c r="C256" s="897"/>
      <c r="D256" s="937">
        <v>0</v>
      </c>
      <c r="E256" s="937">
        <v>0</v>
      </c>
      <c r="F256" s="897">
        <v>0</v>
      </c>
      <c r="G256" s="897">
        <v>0</v>
      </c>
      <c r="H256" s="897">
        <v>0</v>
      </c>
      <c r="I256" s="897">
        <v>0</v>
      </c>
      <c r="J256" s="897">
        <v>0</v>
      </c>
      <c r="K256" s="897">
        <v>0</v>
      </c>
      <c r="L256" s="897">
        <v>0</v>
      </c>
      <c r="M256" s="897">
        <v>0</v>
      </c>
      <c r="N256" s="897"/>
      <c r="O256" s="897">
        <v>0</v>
      </c>
      <c r="P256" s="897">
        <f t="shared" si="87"/>
        <v>0</v>
      </c>
      <c r="Q256" s="898">
        <f t="shared" si="70"/>
        <v>0</v>
      </c>
      <c r="R256" s="936"/>
      <c r="S256" s="935">
        <f t="shared" si="84"/>
        <v>0</v>
      </c>
      <c r="T256" s="935">
        <f t="shared" si="84"/>
        <v>0</v>
      </c>
      <c r="U256" s="935">
        <f t="shared" si="84"/>
        <v>0</v>
      </c>
      <c r="V256" s="935">
        <f t="shared" si="84"/>
        <v>0</v>
      </c>
      <c r="W256" s="935">
        <f t="shared" si="84"/>
        <v>0</v>
      </c>
      <c r="X256" s="935">
        <f t="shared" si="84"/>
        <v>0</v>
      </c>
      <c r="Y256" s="935">
        <f t="shared" si="75"/>
        <v>0</v>
      </c>
      <c r="Z256" s="935">
        <f t="shared" si="76"/>
        <v>0</v>
      </c>
    </row>
    <row r="257" spans="1:26">
      <c r="A257" s="984" t="s">
        <v>2038</v>
      </c>
      <c r="B257" s="991" t="s">
        <v>2039</v>
      </c>
      <c r="C257" s="897"/>
      <c r="D257" s="937">
        <v>0</v>
      </c>
      <c r="E257" s="937">
        <v>0</v>
      </c>
      <c r="F257" s="897">
        <v>0</v>
      </c>
      <c r="G257" s="897">
        <v>0</v>
      </c>
      <c r="H257" s="897">
        <v>0</v>
      </c>
      <c r="I257" s="897">
        <v>0</v>
      </c>
      <c r="J257" s="897">
        <v>0</v>
      </c>
      <c r="K257" s="897">
        <v>0</v>
      </c>
      <c r="L257" s="897">
        <v>0</v>
      </c>
      <c r="M257" s="897">
        <v>0</v>
      </c>
      <c r="N257" s="897"/>
      <c r="O257" s="897">
        <v>0</v>
      </c>
      <c r="P257" s="897">
        <f t="shared" si="87"/>
        <v>0</v>
      </c>
      <c r="Q257" s="898">
        <f t="shared" si="70"/>
        <v>0</v>
      </c>
      <c r="R257" s="936"/>
      <c r="S257" s="935">
        <f t="shared" si="84"/>
        <v>0</v>
      </c>
      <c r="T257" s="935">
        <f t="shared" si="84"/>
        <v>0</v>
      </c>
      <c r="U257" s="935">
        <f t="shared" si="84"/>
        <v>0</v>
      </c>
      <c r="V257" s="935">
        <f t="shared" si="84"/>
        <v>0</v>
      </c>
      <c r="W257" s="935">
        <f t="shared" si="84"/>
        <v>0</v>
      </c>
      <c r="X257" s="935">
        <f t="shared" si="84"/>
        <v>0</v>
      </c>
      <c r="Y257" s="935">
        <f t="shared" si="75"/>
        <v>0</v>
      </c>
      <c r="Z257" s="935">
        <f t="shared" si="76"/>
        <v>0</v>
      </c>
    </row>
    <row r="258" spans="1:26">
      <c r="A258" s="984" t="s">
        <v>2040</v>
      </c>
      <c r="B258" s="991" t="s">
        <v>2041</v>
      </c>
      <c r="C258" s="897"/>
      <c r="D258" s="937">
        <v>0</v>
      </c>
      <c r="E258" s="937">
        <v>0</v>
      </c>
      <c r="F258" s="897">
        <v>0</v>
      </c>
      <c r="G258" s="897">
        <v>0</v>
      </c>
      <c r="H258" s="897">
        <v>0</v>
      </c>
      <c r="I258" s="897">
        <v>0</v>
      </c>
      <c r="J258" s="897">
        <v>0</v>
      </c>
      <c r="K258" s="897">
        <v>0</v>
      </c>
      <c r="L258" s="897">
        <v>0</v>
      </c>
      <c r="M258" s="897">
        <v>0</v>
      </c>
      <c r="N258" s="897"/>
      <c r="O258" s="897">
        <v>0</v>
      </c>
      <c r="P258" s="897">
        <f t="shared" si="87"/>
        <v>0</v>
      </c>
      <c r="Q258" s="898">
        <f t="shared" si="70"/>
        <v>0</v>
      </c>
      <c r="R258" s="936"/>
      <c r="S258" s="935">
        <f t="shared" ref="S258:X267" si="88">R258</f>
        <v>0</v>
      </c>
      <c r="T258" s="935">
        <f t="shared" si="88"/>
        <v>0</v>
      </c>
      <c r="U258" s="935">
        <f t="shared" si="88"/>
        <v>0</v>
      </c>
      <c r="V258" s="935">
        <f t="shared" si="88"/>
        <v>0</v>
      </c>
      <c r="W258" s="935">
        <f t="shared" si="88"/>
        <v>0</v>
      </c>
      <c r="X258" s="935">
        <f t="shared" si="88"/>
        <v>0</v>
      </c>
      <c r="Y258" s="935">
        <f t="shared" si="75"/>
        <v>0</v>
      </c>
      <c r="Z258" s="935">
        <f t="shared" si="76"/>
        <v>0</v>
      </c>
    </row>
    <row r="259" spans="1:26">
      <c r="A259" s="984" t="s">
        <v>2042</v>
      </c>
      <c r="B259" s="991" t="s">
        <v>2043</v>
      </c>
      <c r="C259" s="897"/>
      <c r="D259" s="937">
        <v>0</v>
      </c>
      <c r="E259" s="937">
        <v>0</v>
      </c>
      <c r="F259" s="897">
        <v>0</v>
      </c>
      <c r="G259" s="897">
        <v>0</v>
      </c>
      <c r="H259" s="897">
        <v>0</v>
      </c>
      <c r="I259" s="897">
        <v>0</v>
      </c>
      <c r="J259" s="897">
        <v>0</v>
      </c>
      <c r="K259" s="897">
        <v>0</v>
      </c>
      <c r="L259" s="897">
        <v>0</v>
      </c>
      <c r="M259" s="897">
        <v>0</v>
      </c>
      <c r="N259" s="897"/>
      <c r="O259" s="897">
        <v>0</v>
      </c>
      <c r="P259" s="897">
        <f t="shared" si="87"/>
        <v>0</v>
      </c>
      <c r="Q259" s="898">
        <f t="shared" si="70"/>
        <v>0</v>
      </c>
      <c r="R259" s="936"/>
      <c r="S259" s="935">
        <f t="shared" si="88"/>
        <v>0</v>
      </c>
      <c r="T259" s="935">
        <f t="shared" si="88"/>
        <v>0</v>
      </c>
      <c r="U259" s="935">
        <f t="shared" si="88"/>
        <v>0</v>
      </c>
      <c r="V259" s="935">
        <f t="shared" si="88"/>
        <v>0</v>
      </c>
      <c r="W259" s="935">
        <f t="shared" si="88"/>
        <v>0</v>
      </c>
      <c r="X259" s="935">
        <f t="shared" si="88"/>
        <v>0</v>
      </c>
      <c r="Y259" s="935">
        <f t="shared" si="75"/>
        <v>0</v>
      </c>
      <c r="Z259" s="935">
        <f t="shared" si="76"/>
        <v>0</v>
      </c>
    </row>
    <row r="260" spans="1:26">
      <c r="A260" s="984" t="s">
        <v>2044</v>
      </c>
      <c r="B260" s="991" t="s">
        <v>2045</v>
      </c>
      <c r="C260" s="897"/>
      <c r="D260" s="937">
        <v>0</v>
      </c>
      <c r="E260" s="937">
        <v>0</v>
      </c>
      <c r="F260" s="897">
        <v>0</v>
      </c>
      <c r="G260" s="897">
        <v>0</v>
      </c>
      <c r="H260" s="897">
        <v>0</v>
      </c>
      <c r="I260" s="897">
        <v>0</v>
      </c>
      <c r="J260" s="897">
        <v>0</v>
      </c>
      <c r="K260" s="897">
        <v>0</v>
      </c>
      <c r="L260" s="897">
        <v>0</v>
      </c>
      <c r="M260" s="897">
        <v>0</v>
      </c>
      <c r="N260" s="897"/>
      <c r="O260" s="897">
        <v>0</v>
      </c>
      <c r="P260" s="897">
        <f t="shared" si="87"/>
        <v>0</v>
      </c>
      <c r="Q260" s="898">
        <f t="shared" si="70"/>
        <v>0</v>
      </c>
      <c r="R260" s="936"/>
      <c r="S260" s="935">
        <f t="shared" si="88"/>
        <v>0</v>
      </c>
      <c r="T260" s="935">
        <f t="shared" si="88"/>
        <v>0</v>
      </c>
      <c r="U260" s="935">
        <f t="shared" si="88"/>
        <v>0</v>
      </c>
      <c r="V260" s="935">
        <f t="shared" si="88"/>
        <v>0</v>
      </c>
      <c r="W260" s="935">
        <f t="shared" si="88"/>
        <v>0</v>
      </c>
      <c r="X260" s="935">
        <f t="shared" si="88"/>
        <v>0</v>
      </c>
      <c r="Y260" s="935">
        <f t="shared" si="75"/>
        <v>0</v>
      </c>
      <c r="Z260" s="935">
        <f t="shared" si="76"/>
        <v>0</v>
      </c>
    </row>
    <row r="261" spans="1:26">
      <c r="A261" s="984">
        <v>6419</v>
      </c>
      <c r="B261" s="991" t="s">
        <v>2046</v>
      </c>
      <c r="C261" s="897"/>
      <c r="D261" s="937">
        <v>0</v>
      </c>
      <c r="E261" s="937">
        <v>0</v>
      </c>
      <c r="F261" s="897">
        <v>0</v>
      </c>
      <c r="G261" s="897">
        <v>0</v>
      </c>
      <c r="H261" s="897">
        <v>0</v>
      </c>
      <c r="I261" s="897">
        <v>0</v>
      </c>
      <c r="J261" s="897">
        <v>0</v>
      </c>
      <c r="K261" s="897">
        <v>0</v>
      </c>
      <c r="L261" s="897">
        <v>0</v>
      </c>
      <c r="M261" s="897">
        <v>0</v>
      </c>
      <c r="N261" s="897"/>
      <c r="O261" s="897">
        <v>0</v>
      </c>
      <c r="P261" s="897">
        <f t="shared" si="87"/>
        <v>0</v>
      </c>
      <c r="Q261" s="898">
        <f t="shared" si="70"/>
        <v>0</v>
      </c>
      <c r="R261" s="936">
        <f>Q261/7</f>
        <v>0</v>
      </c>
      <c r="S261" s="935">
        <f t="shared" si="88"/>
        <v>0</v>
      </c>
      <c r="T261" s="935">
        <f t="shared" si="88"/>
        <v>0</v>
      </c>
      <c r="U261" s="935">
        <f t="shared" si="88"/>
        <v>0</v>
      </c>
      <c r="V261" s="935">
        <f t="shared" si="88"/>
        <v>0</v>
      </c>
      <c r="W261" s="935">
        <f t="shared" si="88"/>
        <v>0</v>
      </c>
      <c r="X261" s="935">
        <f t="shared" si="88"/>
        <v>0</v>
      </c>
      <c r="Y261" s="935">
        <f t="shared" si="75"/>
        <v>0</v>
      </c>
      <c r="Z261" s="935">
        <f t="shared" si="76"/>
        <v>0</v>
      </c>
    </row>
    <row r="262" spans="1:26" ht="13.5">
      <c r="A262" s="945">
        <v>642</v>
      </c>
      <c r="B262" s="944" t="s">
        <v>2047</v>
      </c>
      <c r="C262" s="908">
        <f t="shared" ref="C262:P262" si="89">C263+C268+C269+C277</f>
        <v>0</v>
      </c>
      <c r="D262" s="943">
        <f t="shared" si="89"/>
        <v>0</v>
      </c>
      <c r="E262" s="908">
        <f t="shared" si="89"/>
        <v>0</v>
      </c>
      <c r="F262" s="908">
        <f t="shared" si="89"/>
        <v>0</v>
      </c>
      <c r="G262" s="908">
        <f t="shared" si="89"/>
        <v>0</v>
      </c>
      <c r="H262" s="908">
        <f t="shared" si="89"/>
        <v>0</v>
      </c>
      <c r="I262" s="908">
        <f t="shared" si="89"/>
        <v>0</v>
      </c>
      <c r="J262" s="908">
        <f t="shared" si="89"/>
        <v>0</v>
      </c>
      <c r="K262" s="908">
        <f t="shared" si="89"/>
        <v>0</v>
      </c>
      <c r="L262" s="908">
        <f t="shared" si="89"/>
        <v>0</v>
      </c>
      <c r="M262" s="908">
        <f t="shared" si="89"/>
        <v>0</v>
      </c>
      <c r="N262" s="908">
        <f>N263+N268+N269+N277</f>
        <v>0</v>
      </c>
      <c r="O262" s="908">
        <f>O263+O268+O269+O277</f>
        <v>0</v>
      </c>
      <c r="P262" s="908">
        <f t="shared" si="89"/>
        <v>0</v>
      </c>
      <c r="Q262" s="909">
        <f t="shared" si="70"/>
        <v>0</v>
      </c>
      <c r="R262" s="988">
        <f>R263+R268+R269+R277</f>
        <v>0</v>
      </c>
      <c r="S262" s="959">
        <f t="shared" si="88"/>
        <v>0</v>
      </c>
      <c r="T262" s="959">
        <f t="shared" si="88"/>
        <v>0</v>
      </c>
      <c r="U262" s="959">
        <f t="shared" si="88"/>
        <v>0</v>
      </c>
      <c r="V262" s="959">
        <f t="shared" si="88"/>
        <v>0</v>
      </c>
      <c r="W262" s="959">
        <f t="shared" si="88"/>
        <v>0</v>
      </c>
      <c r="X262" s="959">
        <f t="shared" si="88"/>
        <v>0</v>
      </c>
      <c r="Y262" s="959">
        <f t="shared" si="75"/>
        <v>0</v>
      </c>
      <c r="Z262" s="959">
        <f t="shared" si="76"/>
        <v>0</v>
      </c>
    </row>
    <row r="263" spans="1:26">
      <c r="A263" s="984" t="s">
        <v>2048</v>
      </c>
      <c r="B263" s="991" t="s">
        <v>2049</v>
      </c>
      <c r="C263" s="897"/>
      <c r="D263" s="937">
        <v>0</v>
      </c>
      <c r="E263" s="897">
        <v>0</v>
      </c>
      <c r="F263" s="897">
        <v>0</v>
      </c>
      <c r="G263" s="897">
        <v>0</v>
      </c>
      <c r="H263" s="897">
        <v>0</v>
      </c>
      <c r="I263" s="897">
        <v>0</v>
      </c>
      <c r="J263" s="897">
        <v>0</v>
      </c>
      <c r="K263" s="897">
        <v>0</v>
      </c>
      <c r="L263" s="897">
        <v>0</v>
      </c>
      <c r="M263" s="897">
        <v>0</v>
      </c>
      <c r="N263" s="897">
        <v>0</v>
      </c>
      <c r="O263" s="897">
        <v>0</v>
      </c>
      <c r="P263" s="897">
        <f t="shared" ref="P263:P277" si="90">SUM(D263:O263)</f>
        <v>0</v>
      </c>
      <c r="Q263" s="898">
        <f t="shared" si="70"/>
        <v>0</v>
      </c>
      <c r="R263" s="936">
        <f>E263</f>
        <v>0</v>
      </c>
      <c r="S263" s="935">
        <f t="shared" si="88"/>
        <v>0</v>
      </c>
      <c r="T263" s="935">
        <f t="shared" si="88"/>
        <v>0</v>
      </c>
      <c r="U263" s="935">
        <f t="shared" si="88"/>
        <v>0</v>
      </c>
      <c r="V263" s="935">
        <f t="shared" si="88"/>
        <v>0</v>
      </c>
      <c r="W263" s="935">
        <f t="shared" si="88"/>
        <v>0</v>
      </c>
      <c r="X263" s="935">
        <f t="shared" si="88"/>
        <v>0</v>
      </c>
      <c r="Y263" s="935">
        <f t="shared" si="75"/>
        <v>0</v>
      </c>
      <c r="Z263" s="935">
        <f t="shared" si="76"/>
        <v>0</v>
      </c>
    </row>
    <row r="264" spans="1:26" hidden="1">
      <c r="A264" s="986" t="s">
        <v>2050</v>
      </c>
      <c r="B264" s="991" t="s">
        <v>2051</v>
      </c>
      <c r="C264" s="897"/>
      <c r="D264" s="937"/>
      <c r="E264" s="897"/>
      <c r="F264" s="897"/>
      <c r="G264" s="897"/>
      <c r="H264" s="897"/>
      <c r="I264" s="897"/>
      <c r="J264" s="897"/>
      <c r="K264" s="897"/>
      <c r="L264" s="897"/>
      <c r="M264" s="897"/>
      <c r="N264" s="897"/>
      <c r="O264" s="897"/>
      <c r="P264" s="897">
        <f t="shared" si="90"/>
        <v>0</v>
      </c>
      <c r="Q264" s="898">
        <f t="shared" si="70"/>
        <v>0</v>
      </c>
      <c r="R264" s="936">
        <f>Q264/7</f>
        <v>0</v>
      </c>
      <c r="S264" s="935">
        <f t="shared" si="88"/>
        <v>0</v>
      </c>
      <c r="T264" s="935">
        <f t="shared" si="88"/>
        <v>0</v>
      </c>
      <c r="U264" s="935">
        <f t="shared" si="88"/>
        <v>0</v>
      </c>
      <c r="V264" s="935">
        <f t="shared" si="88"/>
        <v>0</v>
      </c>
      <c r="W264" s="935">
        <f t="shared" si="88"/>
        <v>0</v>
      </c>
      <c r="X264" s="935">
        <f t="shared" si="88"/>
        <v>0</v>
      </c>
      <c r="Y264" s="935">
        <f t="shared" si="75"/>
        <v>0</v>
      </c>
      <c r="Z264" s="935">
        <f t="shared" si="76"/>
        <v>0</v>
      </c>
    </row>
    <row r="265" spans="1:26" hidden="1">
      <c r="A265" s="986" t="s">
        <v>2052</v>
      </c>
      <c r="B265" s="991" t="s">
        <v>2053</v>
      </c>
      <c r="C265" s="897"/>
      <c r="D265" s="937"/>
      <c r="E265" s="897"/>
      <c r="F265" s="897"/>
      <c r="G265" s="897"/>
      <c r="H265" s="897"/>
      <c r="I265" s="897"/>
      <c r="J265" s="897"/>
      <c r="K265" s="897"/>
      <c r="L265" s="897"/>
      <c r="M265" s="897"/>
      <c r="N265" s="897"/>
      <c r="O265" s="897"/>
      <c r="P265" s="897">
        <f t="shared" si="90"/>
        <v>0</v>
      </c>
      <c r="Q265" s="898">
        <f t="shared" si="70"/>
        <v>0</v>
      </c>
      <c r="R265" s="936">
        <f>Q265/7</f>
        <v>0</v>
      </c>
      <c r="S265" s="935">
        <f t="shared" si="88"/>
        <v>0</v>
      </c>
      <c r="T265" s="935">
        <f t="shared" si="88"/>
        <v>0</v>
      </c>
      <c r="U265" s="935">
        <f t="shared" si="88"/>
        <v>0</v>
      </c>
      <c r="V265" s="935">
        <f t="shared" si="88"/>
        <v>0</v>
      </c>
      <c r="W265" s="935">
        <f t="shared" si="88"/>
        <v>0</v>
      </c>
      <c r="X265" s="935">
        <f t="shared" si="88"/>
        <v>0</v>
      </c>
      <c r="Y265" s="935">
        <f t="shared" si="75"/>
        <v>0</v>
      </c>
      <c r="Z265" s="935">
        <f t="shared" si="76"/>
        <v>0</v>
      </c>
    </row>
    <row r="266" spans="1:26" hidden="1">
      <c r="A266" s="986" t="s">
        <v>2054</v>
      </c>
      <c r="B266" s="991" t="s">
        <v>2055</v>
      </c>
      <c r="C266" s="897"/>
      <c r="D266" s="937"/>
      <c r="E266" s="897"/>
      <c r="F266" s="897"/>
      <c r="G266" s="897"/>
      <c r="H266" s="897"/>
      <c r="I266" s="897"/>
      <c r="J266" s="897"/>
      <c r="K266" s="897"/>
      <c r="L266" s="897"/>
      <c r="M266" s="897"/>
      <c r="N266" s="897"/>
      <c r="O266" s="897"/>
      <c r="P266" s="897">
        <f t="shared" si="90"/>
        <v>0</v>
      </c>
      <c r="Q266" s="898">
        <f t="shared" si="70"/>
        <v>0</v>
      </c>
      <c r="R266" s="936">
        <f>Q266/7</f>
        <v>0</v>
      </c>
      <c r="S266" s="935">
        <f t="shared" si="88"/>
        <v>0</v>
      </c>
      <c r="T266" s="935">
        <f t="shared" si="88"/>
        <v>0</v>
      </c>
      <c r="U266" s="935">
        <f t="shared" si="88"/>
        <v>0</v>
      </c>
      <c r="V266" s="935">
        <f t="shared" si="88"/>
        <v>0</v>
      </c>
      <c r="W266" s="935">
        <f t="shared" si="88"/>
        <v>0</v>
      </c>
      <c r="X266" s="935">
        <f t="shared" si="88"/>
        <v>0</v>
      </c>
      <c r="Y266" s="935">
        <f t="shared" si="75"/>
        <v>0</v>
      </c>
      <c r="Z266" s="935">
        <f t="shared" si="76"/>
        <v>0</v>
      </c>
    </row>
    <row r="267" spans="1:26" hidden="1">
      <c r="A267" s="986" t="s">
        <v>2056</v>
      </c>
      <c r="B267" s="991" t="s">
        <v>2057</v>
      </c>
      <c r="C267" s="897"/>
      <c r="D267" s="937"/>
      <c r="E267" s="897"/>
      <c r="F267" s="897"/>
      <c r="G267" s="897"/>
      <c r="H267" s="897"/>
      <c r="I267" s="897"/>
      <c r="J267" s="897"/>
      <c r="K267" s="897"/>
      <c r="L267" s="897"/>
      <c r="M267" s="897"/>
      <c r="N267" s="897"/>
      <c r="O267" s="897"/>
      <c r="P267" s="897">
        <f t="shared" si="90"/>
        <v>0</v>
      </c>
      <c r="Q267" s="898">
        <f t="shared" si="70"/>
        <v>0</v>
      </c>
      <c r="R267" s="936">
        <f>Q267/7</f>
        <v>0</v>
      </c>
      <c r="S267" s="935">
        <f t="shared" si="88"/>
        <v>0</v>
      </c>
      <c r="T267" s="935">
        <f t="shared" si="88"/>
        <v>0</v>
      </c>
      <c r="U267" s="935">
        <f t="shared" si="88"/>
        <v>0</v>
      </c>
      <c r="V267" s="935">
        <f t="shared" si="88"/>
        <v>0</v>
      </c>
      <c r="W267" s="935">
        <f t="shared" si="88"/>
        <v>0</v>
      </c>
      <c r="X267" s="935">
        <f t="shared" si="88"/>
        <v>0</v>
      </c>
      <c r="Y267" s="935">
        <f t="shared" si="75"/>
        <v>0</v>
      </c>
      <c r="Z267" s="935">
        <f t="shared" si="76"/>
        <v>0</v>
      </c>
    </row>
    <row r="268" spans="1:26">
      <c r="A268" s="984" t="s">
        <v>2058</v>
      </c>
      <c r="B268" s="991" t="s">
        <v>2059</v>
      </c>
      <c r="C268" s="897"/>
      <c r="D268" s="937">
        <v>0</v>
      </c>
      <c r="E268" s="897">
        <v>0</v>
      </c>
      <c r="F268" s="897">
        <v>0</v>
      </c>
      <c r="G268" s="897">
        <v>0</v>
      </c>
      <c r="H268" s="897">
        <v>0</v>
      </c>
      <c r="I268" s="897">
        <v>0</v>
      </c>
      <c r="J268" s="897">
        <v>0</v>
      </c>
      <c r="K268" s="897">
        <v>0</v>
      </c>
      <c r="L268" s="897">
        <v>0</v>
      </c>
      <c r="M268" s="897">
        <v>0</v>
      </c>
      <c r="N268" s="897">
        <v>0</v>
      </c>
      <c r="O268" s="897">
        <v>0</v>
      </c>
      <c r="P268" s="897">
        <f t="shared" si="90"/>
        <v>0</v>
      </c>
      <c r="Q268" s="898">
        <f t="shared" si="70"/>
        <v>0</v>
      </c>
      <c r="R268" s="936"/>
      <c r="S268" s="935">
        <f t="shared" ref="S268:X277" si="91">R268</f>
        <v>0</v>
      </c>
      <c r="T268" s="935">
        <f t="shared" si="91"/>
        <v>0</v>
      </c>
      <c r="U268" s="935">
        <f t="shared" si="91"/>
        <v>0</v>
      </c>
      <c r="V268" s="935">
        <f t="shared" si="91"/>
        <v>0</v>
      </c>
      <c r="W268" s="935">
        <f t="shared" si="91"/>
        <v>0</v>
      </c>
      <c r="X268" s="935">
        <f t="shared" si="91"/>
        <v>0</v>
      </c>
      <c r="Y268" s="935">
        <f t="shared" si="75"/>
        <v>0</v>
      </c>
      <c r="Z268" s="935">
        <f t="shared" si="76"/>
        <v>0</v>
      </c>
    </row>
    <row r="269" spans="1:26">
      <c r="A269" s="984" t="s">
        <v>2060</v>
      </c>
      <c r="B269" s="991" t="s">
        <v>2061</v>
      </c>
      <c r="C269" s="897"/>
      <c r="D269" s="937">
        <v>0</v>
      </c>
      <c r="E269" s="897">
        <v>0</v>
      </c>
      <c r="F269" s="897">
        <v>0</v>
      </c>
      <c r="G269" s="897">
        <v>0</v>
      </c>
      <c r="H269" s="897">
        <v>0</v>
      </c>
      <c r="I269" s="897">
        <v>0</v>
      </c>
      <c r="J269" s="897">
        <v>0</v>
      </c>
      <c r="K269" s="897">
        <v>0</v>
      </c>
      <c r="L269" s="897">
        <v>0</v>
      </c>
      <c r="M269" s="897">
        <v>0</v>
      </c>
      <c r="N269" s="897">
        <v>0</v>
      </c>
      <c r="O269" s="897">
        <v>0</v>
      </c>
      <c r="P269" s="897">
        <f t="shared" si="90"/>
        <v>0</v>
      </c>
      <c r="Q269" s="898">
        <f t="shared" si="70"/>
        <v>0</v>
      </c>
      <c r="R269" s="936">
        <f>P269/5</f>
        <v>0</v>
      </c>
      <c r="S269" s="935">
        <f t="shared" si="91"/>
        <v>0</v>
      </c>
      <c r="T269" s="935">
        <f t="shared" si="91"/>
        <v>0</v>
      </c>
      <c r="U269" s="935">
        <f t="shared" si="91"/>
        <v>0</v>
      </c>
      <c r="V269" s="935">
        <f t="shared" si="91"/>
        <v>0</v>
      </c>
      <c r="W269" s="935">
        <f t="shared" si="91"/>
        <v>0</v>
      </c>
      <c r="X269" s="935">
        <f t="shared" si="91"/>
        <v>0</v>
      </c>
      <c r="Y269" s="935">
        <f t="shared" si="75"/>
        <v>0</v>
      </c>
      <c r="Z269" s="935">
        <f t="shared" si="76"/>
        <v>0</v>
      </c>
    </row>
    <row r="270" spans="1:26" hidden="1">
      <c r="A270" s="986" t="s">
        <v>2062</v>
      </c>
      <c r="B270" s="991" t="s">
        <v>2063</v>
      </c>
      <c r="C270" s="897"/>
      <c r="D270" s="937">
        <v>0</v>
      </c>
      <c r="E270" s="897">
        <v>0</v>
      </c>
      <c r="F270" s="897">
        <v>0</v>
      </c>
      <c r="G270" s="897">
        <v>0</v>
      </c>
      <c r="H270" s="897">
        <v>0</v>
      </c>
      <c r="I270" s="897">
        <v>0</v>
      </c>
      <c r="J270" s="897">
        <v>0</v>
      </c>
      <c r="K270" s="897">
        <v>0</v>
      </c>
      <c r="L270" s="897">
        <v>0</v>
      </c>
      <c r="M270" s="897">
        <v>0</v>
      </c>
      <c r="N270" s="897">
        <v>0</v>
      </c>
      <c r="O270" s="897">
        <v>0</v>
      </c>
      <c r="P270" s="897">
        <f t="shared" si="90"/>
        <v>0</v>
      </c>
      <c r="Q270" s="898">
        <f t="shared" si="70"/>
        <v>0</v>
      </c>
      <c r="R270" s="936">
        <f t="shared" ref="R270:R276" si="92">Q270/7</f>
        <v>0</v>
      </c>
      <c r="S270" s="935">
        <f t="shared" si="91"/>
        <v>0</v>
      </c>
      <c r="T270" s="935">
        <f t="shared" si="91"/>
        <v>0</v>
      </c>
      <c r="U270" s="935">
        <f t="shared" si="91"/>
        <v>0</v>
      </c>
      <c r="V270" s="935">
        <f t="shared" si="91"/>
        <v>0</v>
      </c>
      <c r="W270" s="935">
        <f t="shared" si="91"/>
        <v>0</v>
      </c>
      <c r="X270" s="935">
        <f t="shared" si="91"/>
        <v>0</v>
      </c>
      <c r="Y270" s="935">
        <f t="shared" si="75"/>
        <v>0</v>
      </c>
      <c r="Z270" s="935">
        <f t="shared" si="76"/>
        <v>0</v>
      </c>
    </row>
    <row r="271" spans="1:26" hidden="1">
      <c r="A271" s="986" t="s">
        <v>2064</v>
      </c>
      <c r="B271" s="991" t="s">
        <v>2065</v>
      </c>
      <c r="C271" s="897"/>
      <c r="D271" s="937">
        <v>0</v>
      </c>
      <c r="E271" s="897">
        <v>0</v>
      </c>
      <c r="F271" s="897">
        <v>0</v>
      </c>
      <c r="G271" s="897">
        <v>0</v>
      </c>
      <c r="H271" s="897">
        <v>0</v>
      </c>
      <c r="I271" s="897">
        <v>0</v>
      </c>
      <c r="J271" s="897">
        <v>0</v>
      </c>
      <c r="K271" s="897">
        <v>0</v>
      </c>
      <c r="L271" s="897">
        <v>0</v>
      </c>
      <c r="M271" s="897">
        <v>0</v>
      </c>
      <c r="N271" s="897">
        <v>0</v>
      </c>
      <c r="O271" s="897">
        <v>0</v>
      </c>
      <c r="P271" s="897">
        <f t="shared" si="90"/>
        <v>0</v>
      </c>
      <c r="Q271" s="898">
        <f t="shared" si="70"/>
        <v>0</v>
      </c>
      <c r="R271" s="936">
        <f t="shared" si="92"/>
        <v>0</v>
      </c>
      <c r="S271" s="935">
        <f t="shared" si="91"/>
        <v>0</v>
      </c>
      <c r="T271" s="935">
        <f t="shared" si="91"/>
        <v>0</v>
      </c>
      <c r="U271" s="935">
        <f t="shared" si="91"/>
        <v>0</v>
      </c>
      <c r="V271" s="935">
        <f t="shared" si="91"/>
        <v>0</v>
      </c>
      <c r="W271" s="935">
        <f t="shared" si="91"/>
        <v>0</v>
      </c>
      <c r="X271" s="935">
        <f t="shared" si="91"/>
        <v>0</v>
      </c>
      <c r="Y271" s="935">
        <f t="shared" si="75"/>
        <v>0</v>
      </c>
      <c r="Z271" s="935">
        <f t="shared" si="76"/>
        <v>0</v>
      </c>
    </row>
    <row r="272" spans="1:26" hidden="1">
      <c r="A272" s="986" t="s">
        <v>2066</v>
      </c>
      <c r="B272" s="991" t="s">
        <v>2067</v>
      </c>
      <c r="C272" s="897"/>
      <c r="D272" s="937">
        <v>0</v>
      </c>
      <c r="E272" s="897">
        <v>0</v>
      </c>
      <c r="F272" s="897">
        <v>0</v>
      </c>
      <c r="G272" s="897">
        <v>0</v>
      </c>
      <c r="H272" s="897">
        <v>0</v>
      </c>
      <c r="I272" s="897">
        <v>0</v>
      </c>
      <c r="J272" s="897">
        <v>0</v>
      </c>
      <c r="K272" s="897">
        <v>0</v>
      </c>
      <c r="L272" s="897">
        <v>0</v>
      </c>
      <c r="M272" s="897">
        <v>0</v>
      </c>
      <c r="N272" s="897">
        <v>0</v>
      </c>
      <c r="O272" s="897">
        <v>0</v>
      </c>
      <c r="P272" s="897">
        <f t="shared" si="90"/>
        <v>0</v>
      </c>
      <c r="Q272" s="898">
        <f t="shared" si="70"/>
        <v>0</v>
      </c>
      <c r="R272" s="936">
        <f t="shared" si="92"/>
        <v>0</v>
      </c>
      <c r="S272" s="935">
        <f t="shared" si="91"/>
        <v>0</v>
      </c>
      <c r="T272" s="935">
        <f t="shared" si="91"/>
        <v>0</v>
      </c>
      <c r="U272" s="935">
        <f t="shared" si="91"/>
        <v>0</v>
      </c>
      <c r="V272" s="935">
        <f t="shared" si="91"/>
        <v>0</v>
      </c>
      <c r="W272" s="935">
        <f t="shared" si="91"/>
        <v>0</v>
      </c>
      <c r="X272" s="935">
        <f t="shared" si="91"/>
        <v>0</v>
      </c>
      <c r="Y272" s="935">
        <f t="shared" si="75"/>
        <v>0</v>
      </c>
      <c r="Z272" s="935">
        <f t="shared" si="76"/>
        <v>0</v>
      </c>
    </row>
    <row r="273" spans="1:26" hidden="1">
      <c r="A273" s="986" t="s">
        <v>2068</v>
      </c>
      <c r="B273" s="991" t="s">
        <v>2069</v>
      </c>
      <c r="C273" s="897"/>
      <c r="D273" s="937">
        <v>0</v>
      </c>
      <c r="E273" s="897">
        <v>0</v>
      </c>
      <c r="F273" s="897">
        <v>0</v>
      </c>
      <c r="G273" s="897">
        <v>0</v>
      </c>
      <c r="H273" s="897">
        <v>0</v>
      </c>
      <c r="I273" s="897">
        <v>0</v>
      </c>
      <c r="J273" s="897">
        <v>0</v>
      </c>
      <c r="K273" s="897">
        <v>0</v>
      </c>
      <c r="L273" s="897">
        <v>0</v>
      </c>
      <c r="M273" s="897">
        <v>0</v>
      </c>
      <c r="N273" s="897">
        <v>0</v>
      </c>
      <c r="O273" s="897">
        <v>0</v>
      </c>
      <c r="P273" s="897">
        <f t="shared" si="90"/>
        <v>0</v>
      </c>
      <c r="Q273" s="898">
        <f t="shared" ref="Q273:Q336" si="93">C273-P273</f>
        <v>0</v>
      </c>
      <c r="R273" s="936">
        <f t="shared" si="92"/>
        <v>0</v>
      </c>
      <c r="S273" s="935">
        <f t="shared" si="91"/>
        <v>0</v>
      </c>
      <c r="T273" s="935">
        <f t="shared" si="91"/>
        <v>0</v>
      </c>
      <c r="U273" s="935">
        <f t="shared" si="91"/>
        <v>0</v>
      </c>
      <c r="V273" s="935">
        <f t="shared" si="91"/>
        <v>0</v>
      </c>
      <c r="W273" s="935">
        <f t="shared" si="91"/>
        <v>0</v>
      </c>
      <c r="X273" s="935">
        <f t="shared" si="91"/>
        <v>0</v>
      </c>
      <c r="Y273" s="935">
        <f t="shared" si="75"/>
        <v>0</v>
      </c>
      <c r="Z273" s="935">
        <f t="shared" si="76"/>
        <v>0</v>
      </c>
    </row>
    <row r="274" spans="1:26" hidden="1">
      <c r="A274" s="986" t="s">
        <v>2070</v>
      </c>
      <c r="B274" s="991" t="s">
        <v>2071</v>
      </c>
      <c r="C274" s="897"/>
      <c r="D274" s="937">
        <v>0</v>
      </c>
      <c r="E274" s="897">
        <v>0</v>
      </c>
      <c r="F274" s="897">
        <v>0</v>
      </c>
      <c r="G274" s="897">
        <v>0</v>
      </c>
      <c r="H274" s="897">
        <v>0</v>
      </c>
      <c r="I274" s="897">
        <v>0</v>
      </c>
      <c r="J274" s="897">
        <v>0</v>
      </c>
      <c r="K274" s="897">
        <v>0</v>
      </c>
      <c r="L274" s="897">
        <v>0</v>
      </c>
      <c r="M274" s="897">
        <v>0</v>
      </c>
      <c r="N274" s="897">
        <v>0</v>
      </c>
      <c r="O274" s="897">
        <v>0</v>
      </c>
      <c r="P274" s="897">
        <f t="shared" si="90"/>
        <v>0</v>
      </c>
      <c r="Q274" s="898">
        <f t="shared" si="93"/>
        <v>0</v>
      </c>
      <c r="R274" s="936">
        <f t="shared" si="92"/>
        <v>0</v>
      </c>
      <c r="S274" s="935">
        <f t="shared" si="91"/>
        <v>0</v>
      </c>
      <c r="T274" s="935">
        <f t="shared" si="91"/>
        <v>0</v>
      </c>
      <c r="U274" s="935">
        <f t="shared" si="91"/>
        <v>0</v>
      </c>
      <c r="V274" s="935">
        <f t="shared" si="91"/>
        <v>0</v>
      </c>
      <c r="W274" s="935">
        <f t="shared" si="91"/>
        <v>0</v>
      </c>
      <c r="X274" s="935">
        <f t="shared" si="91"/>
        <v>0</v>
      </c>
      <c r="Y274" s="935">
        <f t="shared" si="75"/>
        <v>0</v>
      </c>
      <c r="Z274" s="935">
        <f t="shared" si="76"/>
        <v>0</v>
      </c>
    </row>
    <row r="275" spans="1:26" hidden="1">
      <c r="A275" s="986" t="s">
        <v>2072</v>
      </c>
      <c r="B275" s="991" t="s">
        <v>2073</v>
      </c>
      <c r="C275" s="897"/>
      <c r="D275" s="937">
        <v>0</v>
      </c>
      <c r="E275" s="897">
        <v>0</v>
      </c>
      <c r="F275" s="897">
        <v>0</v>
      </c>
      <c r="G275" s="897">
        <v>0</v>
      </c>
      <c r="H275" s="897">
        <v>0</v>
      </c>
      <c r="I275" s="897">
        <v>0</v>
      </c>
      <c r="J275" s="897">
        <v>0</v>
      </c>
      <c r="K275" s="897">
        <v>0</v>
      </c>
      <c r="L275" s="897">
        <v>0</v>
      </c>
      <c r="M275" s="897">
        <v>0</v>
      </c>
      <c r="N275" s="897">
        <v>0</v>
      </c>
      <c r="O275" s="897">
        <v>0</v>
      </c>
      <c r="P275" s="897">
        <f t="shared" si="90"/>
        <v>0</v>
      </c>
      <c r="Q275" s="898">
        <f t="shared" si="93"/>
        <v>0</v>
      </c>
      <c r="R275" s="936">
        <f t="shared" si="92"/>
        <v>0</v>
      </c>
      <c r="S275" s="935">
        <f t="shared" si="91"/>
        <v>0</v>
      </c>
      <c r="T275" s="935">
        <f t="shared" si="91"/>
        <v>0</v>
      </c>
      <c r="U275" s="935">
        <f t="shared" si="91"/>
        <v>0</v>
      </c>
      <c r="V275" s="935">
        <f t="shared" si="91"/>
        <v>0</v>
      </c>
      <c r="W275" s="935">
        <f t="shared" si="91"/>
        <v>0</v>
      </c>
      <c r="X275" s="935">
        <f t="shared" si="91"/>
        <v>0</v>
      </c>
      <c r="Y275" s="935">
        <f t="shared" si="75"/>
        <v>0</v>
      </c>
      <c r="Z275" s="935">
        <f t="shared" si="76"/>
        <v>0</v>
      </c>
    </row>
    <row r="276" spans="1:26" hidden="1">
      <c r="A276" s="986" t="s">
        <v>2074</v>
      </c>
      <c r="B276" s="991" t="s">
        <v>2075</v>
      </c>
      <c r="C276" s="897"/>
      <c r="D276" s="937">
        <v>0</v>
      </c>
      <c r="E276" s="897">
        <v>0</v>
      </c>
      <c r="F276" s="897">
        <v>0</v>
      </c>
      <c r="G276" s="897">
        <v>0</v>
      </c>
      <c r="H276" s="897">
        <v>0</v>
      </c>
      <c r="I276" s="897">
        <v>0</v>
      </c>
      <c r="J276" s="897">
        <v>0</v>
      </c>
      <c r="K276" s="897">
        <v>0</v>
      </c>
      <c r="L276" s="897">
        <v>0</v>
      </c>
      <c r="M276" s="897">
        <v>0</v>
      </c>
      <c r="N276" s="897">
        <v>0</v>
      </c>
      <c r="O276" s="897">
        <v>0</v>
      </c>
      <c r="P276" s="897">
        <f t="shared" si="90"/>
        <v>0</v>
      </c>
      <c r="Q276" s="898">
        <f t="shared" si="93"/>
        <v>0</v>
      </c>
      <c r="R276" s="936">
        <f t="shared" si="92"/>
        <v>0</v>
      </c>
      <c r="S276" s="935">
        <f t="shared" si="91"/>
        <v>0</v>
      </c>
      <c r="T276" s="935">
        <f t="shared" si="91"/>
        <v>0</v>
      </c>
      <c r="U276" s="935">
        <f t="shared" si="91"/>
        <v>0</v>
      </c>
      <c r="V276" s="935">
        <f t="shared" si="91"/>
        <v>0</v>
      </c>
      <c r="W276" s="935">
        <f t="shared" si="91"/>
        <v>0</v>
      </c>
      <c r="X276" s="935">
        <f t="shared" si="91"/>
        <v>0</v>
      </c>
      <c r="Y276" s="935">
        <f t="shared" si="75"/>
        <v>0</v>
      </c>
      <c r="Z276" s="935">
        <f t="shared" si="76"/>
        <v>0</v>
      </c>
    </row>
    <row r="277" spans="1:26">
      <c r="A277" s="984" t="s">
        <v>2076</v>
      </c>
      <c r="B277" s="991" t="s">
        <v>2077</v>
      </c>
      <c r="C277" s="897"/>
      <c r="D277" s="937">
        <v>0</v>
      </c>
      <c r="E277" s="897">
        <v>0</v>
      </c>
      <c r="F277" s="897">
        <v>0</v>
      </c>
      <c r="G277" s="897">
        <v>0</v>
      </c>
      <c r="H277" s="897">
        <v>0</v>
      </c>
      <c r="I277" s="897">
        <v>0</v>
      </c>
      <c r="J277" s="897">
        <v>0</v>
      </c>
      <c r="K277" s="897">
        <v>0</v>
      </c>
      <c r="L277" s="897">
        <v>0</v>
      </c>
      <c r="M277" s="897">
        <v>0</v>
      </c>
      <c r="N277" s="897">
        <v>0</v>
      </c>
      <c r="O277" s="897">
        <v>0</v>
      </c>
      <c r="P277" s="897">
        <f t="shared" si="90"/>
        <v>0</v>
      </c>
      <c r="Q277" s="898">
        <f t="shared" si="93"/>
        <v>0</v>
      </c>
      <c r="R277" s="936"/>
      <c r="S277" s="935">
        <f t="shared" si="91"/>
        <v>0</v>
      </c>
      <c r="T277" s="935">
        <f t="shared" si="91"/>
        <v>0</v>
      </c>
      <c r="U277" s="935">
        <f t="shared" si="91"/>
        <v>0</v>
      </c>
      <c r="V277" s="935">
        <f t="shared" si="91"/>
        <v>0</v>
      </c>
      <c r="W277" s="935">
        <f t="shared" si="91"/>
        <v>0</v>
      </c>
      <c r="X277" s="935">
        <f t="shared" si="91"/>
        <v>0</v>
      </c>
      <c r="Y277" s="935">
        <f t="shared" si="75"/>
        <v>0</v>
      </c>
      <c r="Z277" s="935">
        <f t="shared" si="76"/>
        <v>0</v>
      </c>
    </row>
    <row r="278" spans="1:26" ht="13.5">
      <c r="A278" s="945">
        <v>643</v>
      </c>
      <c r="B278" s="944" t="s">
        <v>2078</v>
      </c>
      <c r="C278" s="908">
        <f t="shared" ref="C278:P278" si="94">C280+C284+C285+C288+C291</f>
        <v>0</v>
      </c>
      <c r="D278" s="943">
        <f>D280+D284+D285+D288+D291</f>
        <v>0</v>
      </c>
      <c r="E278" s="908">
        <f t="shared" si="94"/>
        <v>0</v>
      </c>
      <c r="F278" s="908">
        <f t="shared" si="94"/>
        <v>0</v>
      </c>
      <c r="G278" s="908">
        <f t="shared" si="94"/>
        <v>0</v>
      </c>
      <c r="H278" s="908">
        <f t="shared" si="94"/>
        <v>0</v>
      </c>
      <c r="I278" s="908">
        <f t="shared" si="94"/>
        <v>0</v>
      </c>
      <c r="J278" s="908">
        <f t="shared" si="94"/>
        <v>0</v>
      </c>
      <c r="K278" s="908">
        <f t="shared" si="94"/>
        <v>0</v>
      </c>
      <c r="L278" s="908">
        <f t="shared" si="94"/>
        <v>0</v>
      </c>
      <c r="M278" s="908">
        <f t="shared" si="94"/>
        <v>0</v>
      </c>
      <c r="N278" s="908">
        <f>N280+N284+N285+N288+N291</f>
        <v>0</v>
      </c>
      <c r="O278" s="908">
        <f>O280+O284+O285+O288+O291</f>
        <v>0</v>
      </c>
      <c r="P278" s="908">
        <f t="shared" si="94"/>
        <v>0</v>
      </c>
      <c r="Q278" s="909">
        <f t="shared" si="93"/>
        <v>0</v>
      </c>
      <c r="R278" s="988">
        <f>R280+R284+R285+R288+R291</f>
        <v>0</v>
      </c>
      <c r="S278" s="959">
        <f t="shared" ref="S278:X287" si="95">R278</f>
        <v>0</v>
      </c>
      <c r="T278" s="959">
        <f t="shared" si="95"/>
        <v>0</v>
      </c>
      <c r="U278" s="959">
        <f t="shared" si="95"/>
        <v>0</v>
      </c>
      <c r="V278" s="959">
        <f t="shared" si="95"/>
        <v>0</v>
      </c>
      <c r="W278" s="959">
        <f t="shared" si="95"/>
        <v>0</v>
      </c>
      <c r="X278" s="959">
        <f t="shared" si="95"/>
        <v>0</v>
      </c>
      <c r="Y278" s="959">
        <f t="shared" si="75"/>
        <v>0</v>
      </c>
      <c r="Z278" s="959">
        <f t="shared" si="76"/>
        <v>0</v>
      </c>
    </row>
    <row r="279" spans="1:26" hidden="1">
      <c r="A279" s="984">
        <v>6431</v>
      </c>
      <c r="B279" s="991" t="s">
        <v>2079</v>
      </c>
      <c r="C279" s="897"/>
      <c r="D279" s="937">
        <f>C279/12</f>
        <v>0</v>
      </c>
      <c r="E279" s="897">
        <f>D279/12</f>
        <v>0</v>
      </c>
      <c r="F279" s="897">
        <f>E279/12</f>
        <v>0</v>
      </c>
      <c r="G279" s="897">
        <f>F279/12</f>
        <v>0</v>
      </c>
      <c r="H279" s="897">
        <f>G279/12</f>
        <v>0</v>
      </c>
      <c r="I279" s="897"/>
      <c r="J279" s="897"/>
      <c r="K279" s="897"/>
      <c r="L279" s="897"/>
      <c r="M279" s="897"/>
      <c r="N279" s="897"/>
      <c r="O279" s="897"/>
      <c r="P279" s="897">
        <f>SUM(D279:H279)</f>
        <v>0</v>
      </c>
      <c r="Q279" s="898">
        <f t="shared" si="93"/>
        <v>0</v>
      </c>
      <c r="R279" s="936">
        <f>Q279/7</f>
        <v>0</v>
      </c>
      <c r="S279" s="935">
        <f t="shared" si="95"/>
        <v>0</v>
      </c>
      <c r="T279" s="935">
        <f t="shared" si="95"/>
        <v>0</v>
      </c>
      <c r="U279" s="935">
        <f t="shared" si="95"/>
        <v>0</v>
      </c>
      <c r="V279" s="935">
        <f t="shared" si="95"/>
        <v>0</v>
      </c>
      <c r="W279" s="935">
        <f t="shared" si="95"/>
        <v>0</v>
      </c>
      <c r="X279" s="935">
        <f t="shared" si="95"/>
        <v>0</v>
      </c>
      <c r="Y279" s="935">
        <f t="shared" si="75"/>
        <v>0</v>
      </c>
      <c r="Z279" s="935">
        <f t="shared" si="76"/>
        <v>0</v>
      </c>
    </row>
    <row r="280" spans="1:26">
      <c r="A280" s="984">
        <v>6432</v>
      </c>
      <c r="B280" s="991" t="s">
        <v>1126</v>
      </c>
      <c r="C280" s="897"/>
      <c r="D280" s="937">
        <v>0</v>
      </c>
      <c r="E280" s="937">
        <v>0</v>
      </c>
      <c r="F280" s="937">
        <v>0</v>
      </c>
      <c r="G280" s="937">
        <v>0</v>
      </c>
      <c r="H280" s="937">
        <v>0</v>
      </c>
      <c r="I280" s="937">
        <v>0</v>
      </c>
      <c r="J280" s="937">
        <v>0</v>
      </c>
      <c r="K280" s="937">
        <v>0</v>
      </c>
      <c r="L280" s="937">
        <v>0</v>
      </c>
      <c r="M280" s="937">
        <v>0</v>
      </c>
      <c r="N280" s="937">
        <v>0</v>
      </c>
      <c r="O280" s="937">
        <v>0</v>
      </c>
      <c r="P280" s="897">
        <f t="shared" ref="P280:P291" si="96">SUM(D280:O280)</f>
        <v>0</v>
      </c>
      <c r="Q280" s="898">
        <f t="shared" si="93"/>
        <v>0</v>
      </c>
      <c r="R280" s="936">
        <f>P280/5</f>
        <v>0</v>
      </c>
      <c r="S280" s="935">
        <f t="shared" si="95"/>
        <v>0</v>
      </c>
      <c r="T280" s="935">
        <f t="shared" si="95"/>
        <v>0</v>
      </c>
      <c r="U280" s="935">
        <f t="shared" si="95"/>
        <v>0</v>
      </c>
      <c r="V280" s="935">
        <f t="shared" si="95"/>
        <v>0</v>
      </c>
      <c r="W280" s="935">
        <f t="shared" si="95"/>
        <v>0</v>
      </c>
      <c r="X280" s="935">
        <f t="shared" si="95"/>
        <v>0</v>
      </c>
      <c r="Y280" s="935">
        <f t="shared" si="75"/>
        <v>0</v>
      </c>
      <c r="Z280" s="935">
        <f t="shared" si="76"/>
        <v>0</v>
      </c>
    </row>
    <row r="281" spans="1:26" hidden="1">
      <c r="A281" s="986">
        <v>64321</v>
      </c>
      <c r="B281" s="993" t="s">
        <v>2080</v>
      </c>
      <c r="C281" s="897"/>
      <c r="D281" s="937">
        <v>0</v>
      </c>
      <c r="E281" s="937">
        <v>0</v>
      </c>
      <c r="F281" s="937">
        <v>0</v>
      </c>
      <c r="G281" s="937">
        <v>0</v>
      </c>
      <c r="H281" s="937">
        <v>0</v>
      </c>
      <c r="I281" s="937">
        <v>0</v>
      </c>
      <c r="J281" s="937">
        <v>0</v>
      </c>
      <c r="K281" s="937">
        <v>0</v>
      </c>
      <c r="L281" s="937">
        <v>0</v>
      </c>
      <c r="M281" s="937">
        <v>0</v>
      </c>
      <c r="N281" s="937">
        <v>0</v>
      </c>
      <c r="O281" s="937">
        <v>0</v>
      </c>
      <c r="P281" s="897">
        <f t="shared" si="96"/>
        <v>0</v>
      </c>
      <c r="Q281" s="898">
        <f t="shared" si="93"/>
        <v>0</v>
      </c>
      <c r="R281" s="936">
        <f>Q281/7</f>
        <v>0</v>
      </c>
      <c r="S281" s="935">
        <f t="shared" si="95"/>
        <v>0</v>
      </c>
      <c r="T281" s="935">
        <f t="shared" si="95"/>
        <v>0</v>
      </c>
      <c r="U281" s="935">
        <f t="shared" si="95"/>
        <v>0</v>
      </c>
      <c r="V281" s="935">
        <f t="shared" si="95"/>
        <v>0</v>
      </c>
      <c r="W281" s="935">
        <f t="shared" si="95"/>
        <v>0</v>
      </c>
      <c r="X281" s="935">
        <f t="shared" si="95"/>
        <v>0</v>
      </c>
      <c r="Y281" s="935">
        <f t="shared" si="75"/>
        <v>0</v>
      </c>
      <c r="Z281" s="935">
        <f t="shared" si="76"/>
        <v>0</v>
      </c>
    </row>
    <row r="282" spans="1:26" hidden="1">
      <c r="A282" s="986">
        <v>64322</v>
      </c>
      <c r="B282" s="993" t="s">
        <v>2081</v>
      </c>
      <c r="C282" s="897"/>
      <c r="D282" s="937">
        <v>0</v>
      </c>
      <c r="E282" s="937">
        <v>0</v>
      </c>
      <c r="F282" s="937">
        <v>0</v>
      </c>
      <c r="G282" s="937">
        <v>0</v>
      </c>
      <c r="H282" s="937">
        <v>0</v>
      </c>
      <c r="I282" s="937">
        <v>0</v>
      </c>
      <c r="J282" s="937">
        <v>0</v>
      </c>
      <c r="K282" s="937">
        <v>0</v>
      </c>
      <c r="L282" s="937">
        <v>0</v>
      </c>
      <c r="M282" s="937">
        <v>0</v>
      </c>
      <c r="N282" s="937">
        <v>0</v>
      </c>
      <c r="O282" s="937">
        <v>0</v>
      </c>
      <c r="P282" s="897">
        <f t="shared" si="96"/>
        <v>0</v>
      </c>
      <c r="Q282" s="898">
        <f t="shared" si="93"/>
        <v>0</v>
      </c>
      <c r="R282" s="936">
        <f>Q282/7</f>
        <v>0</v>
      </c>
      <c r="S282" s="935">
        <f t="shared" si="95"/>
        <v>0</v>
      </c>
      <c r="T282" s="935">
        <f t="shared" si="95"/>
        <v>0</v>
      </c>
      <c r="U282" s="935">
        <f t="shared" si="95"/>
        <v>0</v>
      </c>
      <c r="V282" s="935">
        <f t="shared" si="95"/>
        <v>0</v>
      </c>
      <c r="W282" s="935">
        <f t="shared" si="95"/>
        <v>0</v>
      </c>
      <c r="X282" s="935">
        <f t="shared" si="95"/>
        <v>0</v>
      </c>
      <c r="Y282" s="935">
        <f t="shared" si="75"/>
        <v>0</v>
      </c>
      <c r="Z282" s="935">
        <f t="shared" si="76"/>
        <v>0</v>
      </c>
    </row>
    <row r="283" spans="1:26" hidden="1">
      <c r="A283" s="986">
        <v>64323</v>
      </c>
      <c r="B283" s="993" t="s">
        <v>2082</v>
      </c>
      <c r="C283" s="897"/>
      <c r="D283" s="937">
        <v>0</v>
      </c>
      <c r="E283" s="937">
        <v>0</v>
      </c>
      <c r="F283" s="937">
        <v>0</v>
      </c>
      <c r="G283" s="937">
        <v>0</v>
      </c>
      <c r="H283" s="937">
        <v>0</v>
      </c>
      <c r="I283" s="937">
        <v>0</v>
      </c>
      <c r="J283" s="937">
        <v>0</v>
      </c>
      <c r="K283" s="937">
        <v>0</v>
      </c>
      <c r="L283" s="937">
        <v>0</v>
      </c>
      <c r="M283" s="937">
        <v>0</v>
      </c>
      <c r="N283" s="937">
        <v>0</v>
      </c>
      <c r="O283" s="937">
        <v>0</v>
      </c>
      <c r="P283" s="897">
        <f t="shared" si="96"/>
        <v>0</v>
      </c>
      <c r="Q283" s="898">
        <f t="shared" si="93"/>
        <v>0</v>
      </c>
      <c r="R283" s="936">
        <f>Q283/7</f>
        <v>0</v>
      </c>
      <c r="S283" s="935">
        <f t="shared" si="95"/>
        <v>0</v>
      </c>
      <c r="T283" s="935">
        <f t="shared" si="95"/>
        <v>0</v>
      </c>
      <c r="U283" s="935">
        <f t="shared" si="95"/>
        <v>0</v>
      </c>
      <c r="V283" s="935">
        <f t="shared" si="95"/>
        <v>0</v>
      </c>
      <c r="W283" s="935">
        <f t="shared" si="95"/>
        <v>0</v>
      </c>
      <c r="X283" s="935">
        <f t="shared" si="95"/>
        <v>0</v>
      </c>
      <c r="Y283" s="935">
        <f t="shared" si="75"/>
        <v>0</v>
      </c>
      <c r="Z283" s="935">
        <f t="shared" si="76"/>
        <v>0</v>
      </c>
    </row>
    <row r="284" spans="1:26">
      <c r="A284" s="986">
        <v>64323</v>
      </c>
      <c r="B284" s="993" t="s">
        <v>2004</v>
      </c>
      <c r="C284" s="897"/>
      <c r="D284" s="937">
        <v>0</v>
      </c>
      <c r="E284" s="937">
        <v>0</v>
      </c>
      <c r="F284" s="937">
        <v>0</v>
      </c>
      <c r="G284" s="937">
        <v>0</v>
      </c>
      <c r="H284" s="937">
        <v>0</v>
      </c>
      <c r="I284" s="937">
        <v>0</v>
      </c>
      <c r="J284" s="937">
        <v>0</v>
      </c>
      <c r="K284" s="937">
        <v>0</v>
      </c>
      <c r="L284" s="937">
        <v>0</v>
      </c>
      <c r="M284" s="937">
        <v>0</v>
      </c>
      <c r="N284" s="937">
        <v>0</v>
      </c>
      <c r="O284" s="937">
        <v>0</v>
      </c>
      <c r="P284" s="897">
        <f t="shared" si="96"/>
        <v>0</v>
      </c>
      <c r="Q284" s="898">
        <f t="shared" si="93"/>
        <v>0</v>
      </c>
      <c r="R284" s="936"/>
      <c r="S284" s="935">
        <f t="shared" si="95"/>
        <v>0</v>
      </c>
      <c r="T284" s="935">
        <f t="shared" si="95"/>
        <v>0</v>
      </c>
      <c r="U284" s="935">
        <f t="shared" si="95"/>
        <v>0</v>
      </c>
      <c r="V284" s="935">
        <f t="shared" si="95"/>
        <v>0</v>
      </c>
      <c r="W284" s="935">
        <f t="shared" si="95"/>
        <v>0</v>
      </c>
      <c r="X284" s="935">
        <f t="shared" si="95"/>
        <v>0</v>
      </c>
      <c r="Y284" s="935">
        <f t="shared" si="75"/>
        <v>0</v>
      </c>
      <c r="Z284" s="935">
        <f t="shared" si="76"/>
        <v>0</v>
      </c>
    </row>
    <row r="285" spans="1:26">
      <c r="A285" s="984">
        <v>6433</v>
      </c>
      <c r="B285" s="1000" t="s">
        <v>2083</v>
      </c>
      <c r="C285" s="897"/>
      <c r="D285" s="937">
        <v>0</v>
      </c>
      <c r="E285" s="937">
        <v>0</v>
      </c>
      <c r="F285" s="937">
        <v>0</v>
      </c>
      <c r="G285" s="937">
        <v>0</v>
      </c>
      <c r="H285" s="937">
        <v>0</v>
      </c>
      <c r="I285" s="937">
        <v>0</v>
      </c>
      <c r="J285" s="937">
        <v>0</v>
      </c>
      <c r="K285" s="937">
        <v>0</v>
      </c>
      <c r="L285" s="937">
        <v>0</v>
      </c>
      <c r="M285" s="937">
        <v>0</v>
      </c>
      <c r="N285" s="937">
        <v>0</v>
      </c>
      <c r="O285" s="937">
        <v>0</v>
      </c>
      <c r="P285" s="897">
        <f t="shared" si="96"/>
        <v>0</v>
      </c>
      <c r="Q285" s="898">
        <f t="shared" si="93"/>
        <v>0</v>
      </c>
      <c r="R285" s="936">
        <f>P285/5</f>
        <v>0</v>
      </c>
      <c r="S285" s="935">
        <f t="shared" si="95"/>
        <v>0</v>
      </c>
      <c r="T285" s="935">
        <f t="shared" si="95"/>
        <v>0</v>
      </c>
      <c r="U285" s="935">
        <f t="shared" si="95"/>
        <v>0</v>
      </c>
      <c r="V285" s="935">
        <f t="shared" si="95"/>
        <v>0</v>
      </c>
      <c r="W285" s="935">
        <f t="shared" si="95"/>
        <v>0</v>
      </c>
      <c r="X285" s="935">
        <f t="shared" si="95"/>
        <v>0</v>
      </c>
      <c r="Y285" s="935">
        <f t="shared" si="75"/>
        <v>0</v>
      </c>
      <c r="Z285" s="935">
        <f t="shared" si="76"/>
        <v>0</v>
      </c>
    </row>
    <row r="286" spans="1:26" hidden="1">
      <c r="A286" s="986">
        <v>64331</v>
      </c>
      <c r="B286" s="1001" t="s">
        <v>2084</v>
      </c>
      <c r="C286" s="897"/>
      <c r="D286" s="937">
        <v>0</v>
      </c>
      <c r="E286" s="937">
        <v>0</v>
      </c>
      <c r="F286" s="937">
        <v>0</v>
      </c>
      <c r="G286" s="937">
        <v>0</v>
      </c>
      <c r="H286" s="937">
        <v>0</v>
      </c>
      <c r="I286" s="937">
        <v>0</v>
      </c>
      <c r="J286" s="937">
        <v>0</v>
      </c>
      <c r="K286" s="937">
        <v>0</v>
      </c>
      <c r="L286" s="937">
        <v>0</v>
      </c>
      <c r="M286" s="937">
        <v>0</v>
      </c>
      <c r="N286" s="937">
        <v>0</v>
      </c>
      <c r="O286" s="937">
        <v>0</v>
      </c>
      <c r="P286" s="897">
        <f t="shared" si="96"/>
        <v>0</v>
      </c>
      <c r="Q286" s="898">
        <f t="shared" si="93"/>
        <v>0</v>
      </c>
      <c r="R286" s="936"/>
      <c r="S286" s="935">
        <f t="shared" si="95"/>
        <v>0</v>
      </c>
      <c r="T286" s="935">
        <f t="shared" si="95"/>
        <v>0</v>
      </c>
      <c r="U286" s="935">
        <f t="shared" si="95"/>
        <v>0</v>
      </c>
      <c r="V286" s="935">
        <f t="shared" si="95"/>
        <v>0</v>
      </c>
      <c r="W286" s="935">
        <f t="shared" si="95"/>
        <v>0</v>
      </c>
      <c r="X286" s="935">
        <f t="shared" si="95"/>
        <v>0</v>
      </c>
      <c r="Y286" s="935">
        <f t="shared" si="75"/>
        <v>0</v>
      </c>
      <c r="Z286" s="935">
        <f t="shared" si="76"/>
        <v>0</v>
      </c>
    </row>
    <row r="287" spans="1:26" hidden="1">
      <c r="A287" s="986">
        <v>64339</v>
      </c>
      <c r="B287" s="1001" t="s">
        <v>2085</v>
      </c>
      <c r="C287" s="897"/>
      <c r="D287" s="937">
        <v>0</v>
      </c>
      <c r="E287" s="937">
        <v>0</v>
      </c>
      <c r="F287" s="937">
        <v>0</v>
      </c>
      <c r="G287" s="937">
        <v>0</v>
      </c>
      <c r="H287" s="937">
        <v>0</v>
      </c>
      <c r="I287" s="937">
        <v>0</v>
      </c>
      <c r="J287" s="937">
        <v>0</v>
      </c>
      <c r="K287" s="937">
        <v>0</v>
      </c>
      <c r="L287" s="937">
        <v>0</v>
      </c>
      <c r="M287" s="937">
        <v>0</v>
      </c>
      <c r="N287" s="937">
        <v>0</v>
      </c>
      <c r="O287" s="937">
        <v>0</v>
      </c>
      <c r="P287" s="897">
        <f t="shared" si="96"/>
        <v>0</v>
      </c>
      <c r="Q287" s="898">
        <f t="shared" si="93"/>
        <v>0</v>
      </c>
      <c r="R287" s="936"/>
      <c r="S287" s="935">
        <f t="shared" si="95"/>
        <v>0</v>
      </c>
      <c r="T287" s="935">
        <f t="shared" si="95"/>
        <v>0</v>
      </c>
      <c r="U287" s="935">
        <f t="shared" si="95"/>
        <v>0</v>
      </c>
      <c r="V287" s="935">
        <f t="shared" si="95"/>
        <v>0</v>
      </c>
      <c r="W287" s="935">
        <f t="shared" si="95"/>
        <v>0</v>
      </c>
      <c r="X287" s="935">
        <f t="shared" si="95"/>
        <v>0</v>
      </c>
      <c r="Y287" s="935">
        <f t="shared" si="75"/>
        <v>0</v>
      </c>
      <c r="Z287" s="935">
        <f t="shared" si="76"/>
        <v>0</v>
      </c>
    </row>
    <row r="288" spans="1:26">
      <c r="A288" s="984">
        <v>6434</v>
      </c>
      <c r="B288" s="1000" t="s">
        <v>2086</v>
      </c>
      <c r="C288" s="897"/>
      <c r="D288" s="937">
        <v>0</v>
      </c>
      <c r="E288" s="937">
        <v>0</v>
      </c>
      <c r="F288" s="937">
        <v>0</v>
      </c>
      <c r="G288" s="937">
        <v>0</v>
      </c>
      <c r="H288" s="937">
        <v>0</v>
      </c>
      <c r="I288" s="937">
        <v>0</v>
      </c>
      <c r="J288" s="937">
        <v>0</v>
      </c>
      <c r="K288" s="937">
        <v>0</v>
      </c>
      <c r="L288" s="937">
        <v>0</v>
      </c>
      <c r="M288" s="937">
        <v>0</v>
      </c>
      <c r="N288" s="937">
        <v>0</v>
      </c>
      <c r="O288" s="937">
        <v>0</v>
      </c>
      <c r="P288" s="897">
        <f t="shared" si="96"/>
        <v>0</v>
      </c>
      <c r="Q288" s="898">
        <f t="shared" si="93"/>
        <v>0</v>
      </c>
      <c r="R288" s="936">
        <f>P288/5</f>
        <v>0</v>
      </c>
      <c r="S288" s="935">
        <f t="shared" ref="S288:X297" si="97">R288</f>
        <v>0</v>
      </c>
      <c r="T288" s="935">
        <f t="shared" si="97"/>
        <v>0</v>
      </c>
      <c r="U288" s="935">
        <f t="shared" si="97"/>
        <v>0</v>
      </c>
      <c r="V288" s="935">
        <f t="shared" si="97"/>
        <v>0</v>
      </c>
      <c r="W288" s="935">
        <f t="shared" si="97"/>
        <v>0</v>
      </c>
      <c r="X288" s="935">
        <f t="shared" si="97"/>
        <v>0</v>
      </c>
      <c r="Y288" s="935">
        <f t="shared" si="75"/>
        <v>0</v>
      </c>
      <c r="Z288" s="935">
        <f t="shared" si="76"/>
        <v>0</v>
      </c>
    </row>
    <row r="289" spans="1:26" hidden="1">
      <c r="A289" s="986">
        <v>64341</v>
      </c>
      <c r="B289" s="993" t="s">
        <v>2087</v>
      </c>
      <c r="C289" s="897"/>
      <c r="D289" s="937">
        <v>0</v>
      </c>
      <c r="E289" s="937">
        <v>0</v>
      </c>
      <c r="F289" s="937">
        <v>0</v>
      </c>
      <c r="G289" s="937">
        <v>0</v>
      </c>
      <c r="H289" s="937">
        <v>0</v>
      </c>
      <c r="I289" s="937">
        <v>0</v>
      </c>
      <c r="J289" s="937">
        <v>0</v>
      </c>
      <c r="K289" s="937">
        <v>0</v>
      </c>
      <c r="L289" s="937">
        <v>0</v>
      </c>
      <c r="M289" s="937">
        <v>0</v>
      </c>
      <c r="N289" s="937">
        <v>0</v>
      </c>
      <c r="O289" s="937">
        <v>0</v>
      </c>
      <c r="P289" s="897">
        <f t="shared" si="96"/>
        <v>0</v>
      </c>
      <c r="Q289" s="898">
        <f t="shared" si="93"/>
        <v>0</v>
      </c>
      <c r="R289" s="936">
        <f>Q289/7</f>
        <v>0</v>
      </c>
      <c r="S289" s="935">
        <f t="shared" si="97"/>
        <v>0</v>
      </c>
      <c r="T289" s="935">
        <f t="shared" si="97"/>
        <v>0</v>
      </c>
      <c r="U289" s="935">
        <f t="shared" si="97"/>
        <v>0</v>
      </c>
      <c r="V289" s="935">
        <f t="shared" si="97"/>
        <v>0</v>
      </c>
      <c r="W289" s="935">
        <f t="shared" si="97"/>
        <v>0</v>
      </c>
      <c r="X289" s="935">
        <f t="shared" si="97"/>
        <v>0</v>
      </c>
      <c r="Y289" s="935">
        <f t="shared" si="75"/>
        <v>0</v>
      </c>
      <c r="Z289" s="935">
        <f t="shared" si="76"/>
        <v>0</v>
      </c>
    </row>
    <row r="290" spans="1:26" hidden="1">
      <c r="A290" s="986">
        <v>64349</v>
      </c>
      <c r="B290" s="993" t="s">
        <v>2088</v>
      </c>
      <c r="C290" s="897"/>
      <c r="D290" s="937">
        <v>0</v>
      </c>
      <c r="E290" s="937">
        <v>0</v>
      </c>
      <c r="F290" s="937">
        <v>0</v>
      </c>
      <c r="G290" s="937">
        <v>0</v>
      </c>
      <c r="H290" s="937">
        <v>0</v>
      </c>
      <c r="I290" s="937">
        <v>0</v>
      </c>
      <c r="J290" s="937">
        <v>0</v>
      </c>
      <c r="K290" s="937">
        <v>0</v>
      </c>
      <c r="L290" s="937">
        <v>0</v>
      </c>
      <c r="M290" s="937">
        <v>0</v>
      </c>
      <c r="N290" s="937">
        <v>0</v>
      </c>
      <c r="O290" s="937">
        <v>0</v>
      </c>
      <c r="P290" s="897">
        <f t="shared" si="96"/>
        <v>0</v>
      </c>
      <c r="Q290" s="898">
        <f t="shared" si="93"/>
        <v>0</v>
      </c>
      <c r="R290" s="936">
        <f>Q290/7</f>
        <v>0</v>
      </c>
      <c r="S290" s="935">
        <f t="shared" si="97"/>
        <v>0</v>
      </c>
      <c r="T290" s="935">
        <f t="shared" si="97"/>
        <v>0</v>
      </c>
      <c r="U290" s="935">
        <f t="shared" si="97"/>
        <v>0</v>
      </c>
      <c r="V290" s="935">
        <f t="shared" si="97"/>
        <v>0</v>
      </c>
      <c r="W290" s="935">
        <f t="shared" si="97"/>
        <v>0</v>
      </c>
      <c r="X290" s="935">
        <f t="shared" si="97"/>
        <v>0</v>
      </c>
      <c r="Y290" s="935">
        <f t="shared" ref="Y290:Y353" si="98">SUM(R290:X290)</f>
        <v>0</v>
      </c>
      <c r="Z290" s="935">
        <f t="shared" ref="Z290:Z353" si="99">Q290-Y290</f>
        <v>0</v>
      </c>
    </row>
    <row r="291" spans="1:26">
      <c r="A291" s="999">
        <v>6439</v>
      </c>
      <c r="B291" s="998" t="s">
        <v>2089</v>
      </c>
      <c r="C291" s="971"/>
      <c r="D291" s="937">
        <v>0</v>
      </c>
      <c r="E291" s="937">
        <v>0</v>
      </c>
      <c r="F291" s="937">
        <v>0</v>
      </c>
      <c r="G291" s="937">
        <v>0</v>
      </c>
      <c r="H291" s="937">
        <v>0</v>
      </c>
      <c r="I291" s="937">
        <v>0</v>
      </c>
      <c r="J291" s="937">
        <v>0</v>
      </c>
      <c r="K291" s="937">
        <v>0</v>
      </c>
      <c r="L291" s="937">
        <v>0</v>
      </c>
      <c r="M291" s="937">
        <v>0</v>
      </c>
      <c r="N291" s="937">
        <v>0</v>
      </c>
      <c r="O291" s="937">
        <v>0</v>
      </c>
      <c r="P291" s="897">
        <f t="shared" si="96"/>
        <v>0</v>
      </c>
      <c r="Q291" s="970">
        <f t="shared" si="93"/>
        <v>0</v>
      </c>
      <c r="R291" s="936"/>
      <c r="S291" s="935">
        <f t="shared" si="97"/>
        <v>0</v>
      </c>
      <c r="T291" s="935">
        <f t="shared" si="97"/>
        <v>0</v>
      </c>
      <c r="U291" s="935">
        <f t="shared" si="97"/>
        <v>0</v>
      </c>
      <c r="V291" s="935">
        <f t="shared" si="97"/>
        <v>0</v>
      </c>
      <c r="W291" s="935">
        <f t="shared" si="97"/>
        <v>0</v>
      </c>
      <c r="X291" s="935">
        <f t="shared" si="97"/>
        <v>0</v>
      </c>
      <c r="Y291" s="935">
        <f t="shared" si="98"/>
        <v>0</v>
      </c>
      <c r="Z291" s="935">
        <f t="shared" si="99"/>
        <v>0</v>
      </c>
    </row>
    <row r="292" spans="1:26" ht="13.5">
      <c r="A292" s="997">
        <v>645</v>
      </c>
      <c r="B292" s="1294" t="s">
        <v>2090</v>
      </c>
      <c r="C292" s="995">
        <f t="shared" ref="C292:P292" si="100">C307</f>
        <v>0</v>
      </c>
      <c r="D292" s="996">
        <f t="shared" si="100"/>
        <v>0</v>
      </c>
      <c r="E292" s="995">
        <f t="shared" si="100"/>
        <v>0</v>
      </c>
      <c r="F292" s="995">
        <f t="shared" si="100"/>
        <v>0</v>
      </c>
      <c r="G292" s="995">
        <f t="shared" si="100"/>
        <v>0</v>
      </c>
      <c r="H292" s="995">
        <f t="shared" si="100"/>
        <v>0</v>
      </c>
      <c r="I292" s="995">
        <f t="shared" si="100"/>
        <v>0</v>
      </c>
      <c r="J292" s="995">
        <f t="shared" si="100"/>
        <v>0</v>
      </c>
      <c r="K292" s="995">
        <f t="shared" si="100"/>
        <v>0</v>
      </c>
      <c r="L292" s="995">
        <f t="shared" si="100"/>
        <v>0</v>
      </c>
      <c r="M292" s="995">
        <f t="shared" si="100"/>
        <v>0</v>
      </c>
      <c r="N292" s="995">
        <f t="shared" si="100"/>
        <v>0</v>
      </c>
      <c r="O292" s="995">
        <f t="shared" si="100"/>
        <v>0</v>
      </c>
      <c r="P292" s="995">
        <f t="shared" si="100"/>
        <v>0</v>
      </c>
      <c r="Q292" s="994">
        <f t="shared" si="93"/>
        <v>0</v>
      </c>
      <c r="R292" s="960">
        <f>R307</f>
        <v>0</v>
      </c>
      <c r="S292" s="959">
        <f t="shared" si="97"/>
        <v>0</v>
      </c>
      <c r="T292" s="959">
        <f t="shared" si="97"/>
        <v>0</v>
      </c>
      <c r="U292" s="959">
        <f t="shared" si="97"/>
        <v>0</v>
      </c>
      <c r="V292" s="959">
        <f t="shared" si="97"/>
        <v>0</v>
      </c>
      <c r="W292" s="959">
        <f t="shared" si="97"/>
        <v>0</v>
      </c>
      <c r="X292" s="959">
        <f t="shared" si="97"/>
        <v>0</v>
      </c>
      <c r="Y292" s="959">
        <f t="shared" si="98"/>
        <v>0</v>
      </c>
      <c r="Z292" s="959">
        <f t="shared" si="99"/>
        <v>0</v>
      </c>
    </row>
    <row r="293" spans="1:26" hidden="1">
      <c r="A293" s="984">
        <v>6451</v>
      </c>
      <c r="B293" s="991" t="s">
        <v>2091</v>
      </c>
      <c r="C293" s="897"/>
      <c r="D293" s="937">
        <f t="shared" ref="D293:H306" si="101">C293/12</f>
        <v>0</v>
      </c>
      <c r="E293" s="897">
        <f t="shared" si="101"/>
        <v>0</v>
      </c>
      <c r="F293" s="897">
        <f t="shared" si="101"/>
        <v>0</v>
      </c>
      <c r="G293" s="897">
        <f t="shared" si="101"/>
        <v>0</v>
      </c>
      <c r="H293" s="897">
        <f t="shared" si="101"/>
        <v>0</v>
      </c>
      <c r="I293" s="897"/>
      <c r="J293" s="897"/>
      <c r="K293" s="897"/>
      <c r="L293" s="897"/>
      <c r="M293" s="897"/>
      <c r="N293" s="897"/>
      <c r="O293" s="897"/>
      <c r="P293" s="897">
        <f t="shared" ref="P293:P306" si="102">SUM(D293:H293)</f>
        <v>0</v>
      </c>
      <c r="Q293" s="898">
        <f t="shared" si="93"/>
        <v>0</v>
      </c>
      <c r="R293" s="936">
        <f t="shared" ref="R293:R306" si="103">Q293/7</f>
        <v>0</v>
      </c>
      <c r="S293" s="935">
        <f t="shared" si="97"/>
        <v>0</v>
      </c>
      <c r="T293" s="935">
        <f t="shared" si="97"/>
        <v>0</v>
      </c>
      <c r="U293" s="935">
        <f t="shared" si="97"/>
        <v>0</v>
      </c>
      <c r="V293" s="935">
        <f t="shared" si="97"/>
        <v>0</v>
      </c>
      <c r="W293" s="935">
        <f t="shared" si="97"/>
        <v>0</v>
      </c>
      <c r="X293" s="935">
        <f t="shared" si="97"/>
        <v>0</v>
      </c>
      <c r="Y293" s="935">
        <f t="shared" si="98"/>
        <v>0</v>
      </c>
      <c r="Z293" s="935">
        <f t="shared" si="99"/>
        <v>0</v>
      </c>
    </row>
    <row r="294" spans="1:26" hidden="1">
      <c r="A294" s="986">
        <v>64511</v>
      </c>
      <c r="B294" s="993" t="s">
        <v>2092</v>
      </c>
      <c r="C294" s="897"/>
      <c r="D294" s="937">
        <f t="shared" si="101"/>
        <v>0</v>
      </c>
      <c r="E294" s="897">
        <f t="shared" si="101"/>
        <v>0</v>
      </c>
      <c r="F294" s="897">
        <f t="shared" si="101"/>
        <v>0</v>
      </c>
      <c r="G294" s="897">
        <f t="shared" si="101"/>
        <v>0</v>
      </c>
      <c r="H294" s="897">
        <f t="shared" si="101"/>
        <v>0</v>
      </c>
      <c r="I294" s="897"/>
      <c r="J294" s="897"/>
      <c r="K294" s="897"/>
      <c r="L294" s="897"/>
      <c r="M294" s="897"/>
      <c r="N294" s="897"/>
      <c r="O294" s="897"/>
      <c r="P294" s="897">
        <f t="shared" si="102"/>
        <v>0</v>
      </c>
      <c r="Q294" s="898">
        <f t="shared" si="93"/>
        <v>0</v>
      </c>
      <c r="R294" s="936">
        <f t="shared" si="103"/>
        <v>0</v>
      </c>
      <c r="S294" s="935">
        <f t="shared" si="97"/>
        <v>0</v>
      </c>
      <c r="T294" s="935">
        <f t="shared" si="97"/>
        <v>0</v>
      </c>
      <c r="U294" s="935">
        <f t="shared" si="97"/>
        <v>0</v>
      </c>
      <c r="V294" s="935">
        <f t="shared" si="97"/>
        <v>0</v>
      </c>
      <c r="W294" s="935">
        <f t="shared" si="97"/>
        <v>0</v>
      </c>
      <c r="X294" s="935">
        <f t="shared" si="97"/>
        <v>0</v>
      </c>
      <c r="Y294" s="935">
        <f t="shared" si="98"/>
        <v>0</v>
      </c>
      <c r="Z294" s="935">
        <f t="shared" si="99"/>
        <v>0</v>
      </c>
    </row>
    <row r="295" spans="1:26" hidden="1">
      <c r="A295" s="986">
        <v>64512</v>
      </c>
      <c r="B295" s="993" t="s">
        <v>209</v>
      </c>
      <c r="C295" s="897"/>
      <c r="D295" s="937">
        <f t="shared" si="101"/>
        <v>0</v>
      </c>
      <c r="E295" s="897">
        <f t="shared" si="101"/>
        <v>0</v>
      </c>
      <c r="F295" s="897">
        <f t="shared" si="101"/>
        <v>0</v>
      </c>
      <c r="G295" s="897">
        <f t="shared" si="101"/>
        <v>0</v>
      </c>
      <c r="H295" s="897">
        <f t="shared" si="101"/>
        <v>0</v>
      </c>
      <c r="I295" s="897"/>
      <c r="J295" s="897"/>
      <c r="K295" s="897"/>
      <c r="L295" s="897"/>
      <c r="M295" s="897"/>
      <c r="N295" s="897"/>
      <c r="O295" s="897"/>
      <c r="P295" s="897">
        <f t="shared" si="102"/>
        <v>0</v>
      </c>
      <c r="Q295" s="898">
        <f t="shared" si="93"/>
        <v>0</v>
      </c>
      <c r="R295" s="936">
        <f t="shared" si="103"/>
        <v>0</v>
      </c>
      <c r="S295" s="935">
        <f t="shared" si="97"/>
        <v>0</v>
      </c>
      <c r="T295" s="935">
        <f t="shared" si="97"/>
        <v>0</v>
      </c>
      <c r="U295" s="935">
        <f t="shared" si="97"/>
        <v>0</v>
      </c>
      <c r="V295" s="935">
        <f t="shared" si="97"/>
        <v>0</v>
      </c>
      <c r="W295" s="935">
        <f t="shared" si="97"/>
        <v>0</v>
      </c>
      <c r="X295" s="935">
        <f t="shared" si="97"/>
        <v>0</v>
      </c>
      <c r="Y295" s="935">
        <f t="shared" si="98"/>
        <v>0</v>
      </c>
      <c r="Z295" s="935">
        <f t="shared" si="99"/>
        <v>0</v>
      </c>
    </row>
    <row r="296" spans="1:26" hidden="1">
      <c r="A296" s="986">
        <v>64513</v>
      </c>
      <c r="B296" s="993" t="s">
        <v>2093</v>
      </c>
      <c r="C296" s="897"/>
      <c r="D296" s="937">
        <f t="shared" si="101"/>
        <v>0</v>
      </c>
      <c r="E296" s="897">
        <f t="shared" si="101"/>
        <v>0</v>
      </c>
      <c r="F296" s="897">
        <f t="shared" si="101"/>
        <v>0</v>
      </c>
      <c r="G296" s="897">
        <f t="shared" si="101"/>
        <v>0</v>
      </c>
      <c r="H296" s="897">
        <f t="shared" si="101"/>
        <v>0</v>
      </c>
      <c r="I296" s="897"/>
      <c r="J296" s="897"/>
      <c r="K296" s="897"/>
      <c r="L296" s="897"/>
      <c r="M296" s="897"/>
      <c r="N296" s="897"/>
      <c r="O296" s="897"/>
      <c r="P296" s="897">
        <f t="shared" si="102"/>
        <v>0</v>
      </c>
      <c r="Q296" s="898">
        <f t="shared" si="93"/>
        <v>0</v>
      </c>
      <c r="R296" s="936">
        <f t="shared" si="103"/>
        <v>0</v>
      </c>
      <c r="S296" s="935">
        <f t="shared" si="97"/>
        <v>0</v>
      </c>
      <c r="T296" s="935">
        <f t="shared" si="97"/>
        <v>0</v>
      </c>
      <c r="U296" s="935">
        <f t="shared" si="97"/>
        <v>0</v>
      </c>
      <c r="V296" s="935">
        <f t="shared" si="97"/>
        <v>0</v>
      </c>
      <c r="W296" s="935">
        <f t="shared" si="97"/>
        <v>0</v>
      </c>
      <c r="X296" s="935">
        <f t="shared" si="97"/>
        <v>0</v>
      </c>
      <c r="Y296" s="935">
        <f t="shared" si="98"/>
        <v>0</v>
      </c>
      <c r="Z296" s="935">
        <f t="shared" si="99"/>
        <v>0</v>
      </c>
    </row>
    <row r="297" spans="1:26" hidden="1">
      <c r="A297" s="986">
        <v>64514</v>
      </c>
      <c r="B297" s="993" t="s">
        <v>2094</v>
      </c>
      <c r="C297" s="897"/>
      <c r="D297" s="937">
        <f t="shared" si="101"/>
        <v>0</v>
      </c>
      <c r="E297" s="897">
        <f t="shared" si="101"/>
        <v>0</v>
      </c>
      <c r="F297" s="897">
        <f t="shared" si="101"/>
        <v>0</v>
      </c>
      <c r="G297" s="897">
        <f t="shared" si="101"/>
        <v>0</v>
      </c>
      <c r="H297" s="897">
        <f t="shared" si="101"/>
        <v>0</v>
      </c>
      <c r="I297" s="897"/>
      <c r="J297" s="897"/>
      <c r="K297" s="897"/>
      <c r="L297" s="897"/>
      <c r="M297" s="897"/>
      <c r="N297" s="897"/>
      <c r="O297" s="897"/>
      <c r="P297" s="897">
        <f t="shared" si="102"/>
        <v>0</v>
      </c>
      <c r="Q297" s="898">
        <f t="shared" si="93"/>
        <v>0</v>
      </c>
      <c r="R297" s="936">
        <f t="shared" si="103"/>
        <v>0</v>
      </c>
      <c r="S297" s="935">
        <f t="shared" si="97"/>
        <v>0</v>
      </c>
      <c r="T297" s="935">
        <f t="shared" si="97"/>
        <v>0</v>
      </c>
      <c r="U297" s="935">
        <f t="shared" si="97"/>
        <v>0</v>
      </c>
      <c r="V297" s="935">
        <f t="shared" si="97"/>
        <v>0</v>
      </c>
      <c r="W297" s="935">
        <f t="shared" si="97"/>
        <v>0</v>
      </c>
      <c r="X297" s="935">
        <f t="shared" si="97"/>
        <v>0</v>
      </c>
      <c r="Y297" s="935">
        <f t="shared" si="98"/>
        <v>0</v>
      </c>
      <c r="Z297" s="935">
        <f t="shared" si="99"/>
        <v>0</v>
      </c>
    </row>
    <row r="298" spans="1:26" hidden="1">
      <c r="A298" s="984">
        <v>6452</v>
      </c>
      <c r="B298" s="991" t="s">
        <v>2095</v>
      </c>
      <c r="C298" s="897"/>
      <c r="D298" s="937">
        <f t="shared" si="101"/>
        <v>0</v>
      </c>
      <c r="E298" s="897">
        <f t="shared" si="101"/>
        <v>0</v>
      </c>
      <c r="F298" s="897">
        <f t="shared" si="101"/>
        <v>0</v>
      </c>
      <c r="G298" s="897">
        <f t="shared" si="101"/>
        <v>0</v>
      </c>
      <c r="H298" s="897">
        <f t="shared" si="101"/>
        <v>0</v>
      </c>
      <c r="I298" s="897"/>
      <c r="J298" s="897"/>
      <c r="K298" s="897"/>
      <c r="L298" s="897"/>
      <c r="M298" s="897"/>
      <c r="N298" s="897"/>
      <c r="O298" s="897"/>
      <c r="P298" s="897">
        <f t="shared" si="102"/>
        <v>0</v>
      </c>
      <c r="Q298" s="898">
        <f t="shared" si="93"/>
        <v>0</v>
      </c>
      <c r="R298" s="936">
        <f t="shared" si="103"/>
        <v>0</v>
      </c>
      <c r="S298" s="935">
        <f t="shared" ref="S298:X307" si="104">R298</f>
        <v>0</v>
      </c>
      <c r="T298" s="935">
        <f t="shared" si="104"/>
        <v>0</v>
      </c>
      <c r="U298" s="935">
        <f t="shared" si="104"/>
        <v>0</v>
      </c>
      <c r="V298" s="935">
        <f t="shared" si="104"/>
        <v>0</v>
      </c>
      <c r="W298" s="935">
        <f t="shared" si="104"/>
        <v>0</v>
      </c>
      <c r="X298" s="935">
        <f t="shared" si="104"/>
        <v>0</v>
      </c>
      <c r="Y298" s="935">
        <f t="shared" si="98"/>
        <v>0</v>
      </c>
      <c r="Z298" s="935">
        <f t="shared" si="99"/>
        <v>0</v>
      </c>
    </row>
    <row r="299" spans="1:26" hidden="1">
      <c r="A299" s="986">
        <v>64521</v>
      </c>
      <c r="B299" s="993" t="s">
        <v>2096</v>
      </c>
      <c r="C299" s="897"/>
      <c r="D299" s="937">
        <f t="shared" si="101"/>
        <v>0</v>
      </c>
      <c r="E299" s="897">
        <f t="shared" si="101"/>
        <v>0</v>
      </c>
      <c r="F299" s="897">
        <f t="shared" si="101"/>
        <v>0</v>
      </c>
      <c r="G299" s="897">
        <f t="shared" si="101"/>
        <v>0</v>
      </c>
      <c r="H299" s="897">
        <f t="shared" si="101"/>
        <v>0</v>
      </c>
      <c r="I299" s="897"/>
      <c r="J299" s="897"/>
      <c r="K299" s="897"/>
      <c r="L299" s="897"/>
      <c r="M299" s="897"/>
      <c r="N299" s="897"/>
      <c r="O299" s="897"/>
      <c r="P299" s="897">
        <f t="shared" si="102"/>
        <v>0</v>
      </c>
      <c r="Q299" s="898">
        <f t="shared" si="93"/>
        <v>0</v>
      </c>
      <c r="R299" s="936">
        <f t="shared" si="103"/>
        <v>0</v>
      </c>
      <c r="S299" s="935">
        <f t="shared" si="104"/>
        <v>0</v>
      </c>
      <c r="T299" s="935">
        <f t="shared" si="104"/>
        <v>0</v>
      </c>
      <c r="U299" s="935">
        <f t="shared" si="104"/>
        <v>0</v>
      </c>
      <c r="V299" s="935">
        <f t="shared" si="104"/>
        <v>0</v>
      </c>
      <c r="W299" s="935">
        <f t="shared" si="104"/>
        <v>0</v>
      </c>
      <c r="X299" s="935">
        <f t="shared" si="104"/>
        <v>0</v>
      </c>
      <c r="Y299" s="935">
        <f t="shared" si="98"/>
        <v>0</v>
      </c>
      <c r="Z299" s="935">
        <f t="shared" si="99"/>
        <v>0</v>
      </c>
    </row>
    <row r="300" spans="1:26" hidden="1">
      <c r="A300" s="986">
        <v>64522</v>
      </c>
      <c r="B300" s="993" t="s">
        <v>2097</v>
      </c>
      <c r="C300" s="897"/>
      <c r="D300" s="937">
        <f t="shared" si="101"/>
        <v>0</v>
      </c>
      <c r="E300" s="897">
        <f t="shared" si="101"/>
        <v>0</v>
      </c>
      <c r="F300" s="897">
        <f t="shared" si="101"/>
        <v>0</v>
      </c>
      <c r="G300" s="897">
        <f t="shared" si="101"/>
        <v>0</v>
      </c>
      <c r="H300" s="897">
        <f t="shared" si="101"/>
        <v>0</v>
      </c>
      <c r="I300" s="897"/>
      <c r="J300" s="897"/>
      <c r="K300" s="897"/>
      <c r="L300" s="897"/>
      <c r="M300" s="897"/>
      <c r="N300" s="897"/>
      <c r="O300" s="897"/>
      <c r="P300" s="897">
        <f t="shared" si="102"/>
        <v>0</v>
      </c>
      <c r="Q300" s="898">
        <f t="shared" si="93"/>
        <v>0</v>
      </c>
      <c r="R300" s="936">
        <f t="shared" si="103"/>
        <v>0</v>
      </c>
      <c r="S300" s="935">
        <f t="shared" si="104"/>
        <v>0</v>
      </c>
      <c r="T300" s="935">
        <f t="shared" si="104"/>
        <v>0</v>
      </c>
      <c r="U300" s="935">
        <f t="shared" si="104"/>
        <v>0</v>
      </c>
      <c r="V300" s="935">
        <f t="shared" si="104"/>
        <v>0</v>
      </c>
      <c r="W300" s="935">
        <f t="shared" si="104"/>
        <v>0</v>
      </c>
      <c r="X300" s="935">
        <f t="shared" si="104"/>
        <v>0</v>
      </c>
      <c r="Y300" s="935">
        <f t="shared" si="98"/>
        <v>0</v>
      </c>
      <c r="Z300" s="935">
        <f t="shared" si="99"/>
        <v>0</v>
      </c>
    </row>
    <row r="301" spans="1:26" hidden="1">
      <c r="A301" s="986">
        <v>64523</v>
      </c>
      <c r="B301" s="993" t="s">
        <v>2098</v>
      </c>
      <c r="C301" s="897"/>
      <c r="D301" s="937">
        <f t="shared" si="101"/>
        <v>0</v>
      </c>
      <c r="E301" s="897">
        <f t="shared" si="101"/>
        <v>0</v>
      </c>
      <c r="F301" s="897">
        <f t="shared" si="101"/>
        <v>0</v>
      </c>
      <c r="G301" s="897">
        <f t="shared" si="101"/>
        <v>0</v>
      </c>
      <c r="H301" s="897">
        <f t="shared" si="101"/>
        <v>0</v>
      </c>
      <c r="I301" s="897"/>
      <c r="J301" s="897"/>
      <c r="K301" s="897"/>
      <c r="L301" s="897"/>
      <c r="M301" s="897"/>
      <c r="N301" s="897"/>
      <c r="O301" s="897"/>
      <c r="P301" s="897">
        <f t="shared" si="102"/>
        <v>0</v>
      </c>
      <c r="Q301" s="898">
        <f t="shared" si="93"/>
        <v>0</v>
      </c>
      <c r="R301" s="936">
        <f t="shared" si="103"/>
        <v>0</v>
      </c>
      <c r="S301" s="935">
        <f t="shared" si="104"/>
        <v>0</v>
      </c>
      <c r="T301" s="935">
        <f t="shared" si="104"/>
        <v>0</v>
      </c>
      <c r="U301" s="935">
        <f t="shared" si="104"/>
        <v>0</v>
      </c>
      <c r="V301" s="935">
        <f t="shared" si="104"/>
        <v>0</v>
      </c>
      <c r="W301" s="935">
        <f t="shared" si="104"/>
        <v>0</v>
      </c>
      <c r="X301" s="935">
        <f t="shared" si="104"/>
        <v>0</v>
      </c>
      <c r="Y301" s="935">
        <f t="shared" si="98"/>
        <v>0</v>
      </c>
      <c r="Z301" s="935">
        <f t="shared" si="99"/>
        <v>0</v>
      </c>
    </row>
    <row r="302" spans="1:26" hidden="1">
      <c r="A302" s="986">
        <v>64524</v>
      </c>
      <c r="B302" s="993" t="s">
        <v>2099</v>
      </c>
      <c r="C302" s="897"/>
      <c r="D302" s="937">
        <f t="shared" si="101"/>
        <v>0</v>
      </c>
      <c r="E302" s="897">
        <f t="shared" si="101"/>
        <v>0</v>
      </c>
      <c r="F302" s="897">
        <f t="shared" si="101"/>
        <v>0</v>
      </c>
      <c r="G302" s="897">
        <f t="shared" si="101"/>
        <v>0</v>
      </c>
      <c r="H302" s="897">
        <f t="shared" si="101"/>
        <v>0</v>
      </c>
      <c r="I302" s="897"/>
      <c r="J302" s="897"/>
      <c r="K302" s="897"/>
      <c r="L302" s="897"/>
      <c r="M302" s="897"/>
      <c r="N302" s="897"/>
      <c r="O302" s="897"/>
      <c r="P302" s="897">
        <f t="shared" si="102"/>
        <v>0</v>
      </c>
      <c r="Q302" s="898">
        <f t="shared" si="93"/>
        <v>0</v>
      </c>
      <c r="R302" s="936">
        <f t="shared" si="103"/>
        <v>0</v>
      </c>
      <c r="S302" s="935">
        <f t="shared" si="104"/>
        <v>0</v>
      </c>
      <c r="T302" s="935">
        <f t="shared" si="104"/>
        <v>0</v>
      </c>
      <c r="U302" s="935">
        <f t="shared" si="104"/>
        <v>0</v>
      </c>
      <c r="V302" s="935">
        <f t="shared" si="104"/>
        <v>0</v>
      </c>
      <c r="W302" s="935">
        <f t="shared" si="104"/>
        <v>0</v>
      </c>
      <c r="X302" s="935">
        <f t="shared" si="104"/>
        <v>0</v>
      </c>
      <c r="Y302" s="935">
        <f t="shared" si="98"/>
        <v>0</v>
      </c>
      <c r="Z302" s="935">
        <f t="shared" si="99"/>
        <v>0</v>
      </c>
    </row>
    <row r="303" spans="1:26" hidden="1">
      <c r="A303" s="986">
        <v>64525</v>
      </c>
      <c r="B303" s="993" t="s">
        <v>2100</v>
      </c>
      <c r="C303" s="897"/>
      <c r="D303" s="937">
        <f t="shared" si="101"/>
        <v>0</v>
      </c>
      <c r="E303" s="897">
        <f t="shared" si="101"/>
        <v>0</v>
      </c>
      <c r="F303" s="897">
        <f t="shared" si="101"/>
        <v>0</v>
      </c>
      <c r="G303" s="897">
        <f t="shared" si="101"/>
        <v>0</v>
      </c>
      <c r="H303" s="897">
        <f t="shared" si="101"/>
        <v>0</v>
      </c>
      <c r="I303" s="897"/>
      <c r="J303" s="897"/>
      <c r="K303" s="897"/>
      <c r="L303" s="897"/>
      <c r="M303" s="897"/>
      <c r="N303" s="897"/>
      <c r="O303" s="897"/>
      <c r="P303" s="897">
        <f t="shared" si="102"/>
        <v>0</v>
      </c>
      <c r="Q303" s="898">
        <f t="shared" si="93"/>
        <v>0</v>
      </c>
      <c r="R303" s="936">
        <f t="shared" si="103"/>
        <v>0</v>
      </c>
      <c r="S303" s="935">
        <f t="shared" si="104"/>
        <v>0</v>
      </c>
      <c r="T303" s="935">
        <f t="shared" si="104"/>
        <v>0</v>
      </c>
      <c r="U303" s="935">
        <f t="shared" si="104"/>
        <v>0</v>
      </c>
      <c r="V303" s="935">
        <f t="shared" si="104"/>
        <v>0</v>
      </c>
      <c r="W303" s="935">
        <f t="shared" si="104"/>
        <v>0</v>
      </c>
      <c r="X303" s="935">
        <f t="shared" si="104"/>
        <v>0</v>
      </c>
      <c r="Y303" s="935">
        <f t="shared" si="98"/>
        <v>0</v>
      </c>
      <c r="Z303" s="935">
        <f t="shared" si="99"/>
        <v>0</v>
      </c>
    </row>
    <row r="304" spans="1:26" hidden="1">
      <c r="A304" s="986">
        <v>64526</v>
      </c>
      <c r="B304" s="993" t="s">
        <v>131</v>
      </c>
      <c r="C304" s="897"/>
      <c r="D304" s="937">
        <f t="shared" si="101"/>
        <v>0</v>
      </c>
      <c r="E304" s="897">
        <f t="shared" si="101"/>
        <v>0</v>
      </c>
      <c r="F304" s="897">
        <f t="shared" si="101"/>
        <v>0</v>
      </c>
      <c r="G304" s="897">
        <f t="shared" si="101"/>
        <v>0</v>
      </c>
      <c r="H304" s="897">
        <f t="shared" si="101"/>
        <v>0</v>
      </c>
      <c r="I304" s="897"/>
      <c r="J304" s="897"/>
      <c r="K304" s="897"/>
      <c r="L304" s="897"/>
      <c r="M304" s="897"/>
      <c r="N304" s="897"/>
      <c r="O304" s="897"/>
      <c r="P304" s="897">
        <f t="shared" si="102"/>
        <v>0</v>
      </c>
      <c r="Q304" s="898">
        <f t="shared" si="93"/>
        <v>0</v>
      </c>
      <c r="R304" s="936">
        <f t="shared" si="103"/>
        <v>0</v>
      </c>
      <c r="S304" s="935">
        <f t="shared" si="104"/>
        <v>0</v>
      </c>
      <c r="T304" s="935">
        <f t="shared" si="104"/>
        <v>0</v>
      </c>
      <c r="U304" s="935">
        <f t="shared" si="104"/>
        <v>0</v>
      </c>
      <c r="V304" s="935">
        <f t="shared" si="104"/>
        <v>0</v>
      </c>
      <c r="W304" s="935">
        <f t="shared" si="104"/>
        <v>0</v>
      </c>
      <c r="X304" s="935">
        <f t="shared" si="104"/>
        <v>0</v>
      </c>
      <c r="Y304" s="935">
        <f t="shared" si="98"/>
        <v>0</v>
      </c>
      <c r="Z304" s="935">
        <f t="shared" si="99"/>
        <v>0</v>
      </c>
    </row>
    <row r="305" spans="1:26" hidden="1">
      <c r="A305" s="986">
        <v>64527</v>
      </c>
      <c r="B305" s="993" t="s">
        <v>2101</v>
      </c>
      <c r="C305" s="897"/>
      <c r="D305" s="937">
        <f t="shared" si="101"/>
        <v>0</v>
      </c>
      <c r="E305" s="897">
        <f t="shared" si="101"/>
        <v>0</v>
      </c>
      <c r="F305" s="897">
        <f t="shared" si="101"/>
        <v>0</v>
      </c>
      <c r="G305" s="897">
        <f t="shared" si="101"/>
        <v>0</v>
      </c>
      <c r="H305" s="897">
        <f t="shared" si="101"/>
        <v>0</v>
      </c>
      <c r="I305" s="897"/>
      <c r="J305" s="897"/>
      <c r="K305" s="897"/>
      <c r="L305" s="897"/>
      <c r="M305" s="897"/>
      <c r="N305" s="897"/>
      <c r="O305" s="897"/>
      <c r="P305" s="897">
        <f t="shared" si="102"/>
        <v>0</v>
      </c>
      <c r="Q305" s="898">
        <f t="shared" si="93"/>
        <v>0</v>
      </c>
      <c r="R305" s="936">
        <f t="shared" si="103"/>
        <v>0</v>
      </c>
      <c r="S305" s="935">
        <f t="shared" si="104"/>
        <v>0</v>
      </c>
      <c r="T305" s="935">
        <f t="shared" si="104"/>
        <v>0</v>
      </c>
      <c r="U305" s="935">
        <f t="shared" si="104"/>
        <v>0</v>
      </c>
      <c r="V305" s="935">
        <f t="shared" si="104"/>
        <v>0</v>
      </c>
      <c r="W305" s="935">
        <f t="shared" si="104"/>
        <v>0</v>
      </c>
      <c r="X305" s="935">
        <f t="shared" si="104"/>
        <v>0</v>
      </c>
      <c r="Y305" s="935">
        <f t="shared" si="98"/>
        <v>0</v>
      </c>
      <c r="Z305" s="935">
        <f t="shared" si="99"/>
        <v>0</v>
      </c>
    </row>
    <row r="306" spans="1:26" hidden="1">
      <c r="A306" s="986">
        <v>64528</v>
      </c>
      <c r="B306" s="993" t="s">
        <v>2102</v>
      </c>
      <c r="C306" s="897"/>
      <c r="D306" s="937">
        <f t="shared" si="101"/>
        <v>0</v>
      </c>
      <c r="E306" s="897">
        <f t="shared" si="101"/>
        <v>0</v>
      </c>
      <c r="F306" s="897">
        <f t="shared" si="101"/>
        <v>0</v>
      </c>
      <c r="G306" s="897">
        <f t="shared" si="101"/>
        <v>0</v>
      </c>
      <c r="H306" s="897">
        <f t="shared" si="101"/>
        <v>0</v>
      </c>
      <c r="I306" s="897"/>
      <c r="J306" s="897"/>
      <c r="K306" s="897"/>
      <c r="L306" s="897"/>
      <c r="M306" s="897"/>
      <c r="N306" s="897"/>
      <c r="O306" s="897"/>
      <c r="P306" s="897">
        <f t="shared" si="102"/>
        <v>0</v>
      </c>
      <c r="Q306" s="898">
        <f t="shared" si="93"/>
        <v>0</v>
      </c>
      <c r="R306" s="936">
        <f t="shared" si="103"/>
        <v>0</v>
      </c>
      <c r="S306" s="935">
        <f t="shared" si="104"/>
        <v>0</v>
      </c>
      <c r="T306" s="935">
        <f t="shared" si="104"/>
        <v>0</v>
      </c>
      <c r="U306" s="935">
        <f t="shared" si="104"/>
        <v>0</v>
      </c>
      <c r="V306" s="935">
        <f t="shared" si="104"/>
        <v>0</v>
      </c>
      <c r="W306" s="935">
        <f t="shared" si="104"/>
        <v>0</v>
      </c>
      <c r="X306" s="935">
        <f t="shared" si="104"/>
        <v>0</v>
      </c>
      <c r="Y306" s="935">
        <f t="shared" si="98"/>
        <v>0</v>
      </c>
      <c r="Z306" s="935">
        <f t="shared" si="99"/>
        <v>0</v>
      </c>
    </row>
    <row r="307" spans="1:26">
      <c r="A307" s="984">
        <v>6459</v>
      </c>
      <c r="B307" s="991" t="s">
        <v>275</v>
      </c>
      <c r="C307" s="897"/>
      <c r="D307" s="937">
        <v>0</v>
      </c>
      <c r="E307" s="897">
        <v>0</v>
      </c>
      <c r="F307" s="897">
        <v>0</v>
      </c>
      <c r="G307" s="897">
        <v>0</v>
      </c>
      <c r="H307" s="897"/>
      <c r="I307" s="897"/>
      <c r="J307" s="897">
        <v>0</v>
      </c>
      <c r="K307" s="897">
        <v>0</v>
      </c>
      <c r="L307" s="897">
        <v>0</v>
      </c>
      <c r="M307" s="897">
        <v>0</v>
      </c>
      <c r="N307" s="897"/>
      <c r="O307" s="897"/>
      <c r="P307" s="897">
        <f>SUM(D307:O307)</f>
        <v>0</v>
      </c>
      <c r="Q307" s="898">
        <f t="shared" si="93"/>
        <v>0</v>
      </c>
      <c r="R307" s="936"/>
      <c r="S307" s="935">
        <f t="shared" si="104"/>
        <v>0</v>
      </c>
      <c r="T307" s="935">
        <f t="shared" si="104"/>
        <v>0</v>
      </c>
      <c r="U307" s="935">
        <f t="shared" si="104"/>
        <v>0</v>
      </c>
      <c r="V307" s="935">
        <f t="shared" si="104"/>
        <v>0</v>
      </c>
      <c r="W307" s="935">
        <f t="shared" si="104"/>
        <v>0</v>
      </c>
      <c r="X307" s="935">
        <f t="shared" si="104"/>
        <v>0</v>
      </c>
      <c r="Y307" s="935">
        <f t="shared" si="98"/>
        <v>0</v>
      </c>
      <c r="Z307" s="935">
        <f t="shared" si="99"/>
        <v>0</v>
      </c>
    </row>
    <row r="308" spans="1:26" hidden="1">
      <c r="A308" s="986">
        <v>64591</v>
      </c>
      <c r="B308" s="993" t="s">
        <v>2103</v>
      </c>
      <c r="C308" s="897"/>
      <c r="D308" s="937">
        <f t="shared" ref="D308:H318" si="105">C308/12</f>
        <v>0</v>
      </c>
      <c r="E308" s="897">
        <f t="shared" si="105"/>
        <v>0</v>
      </c>
      <c r="F308" s="897">
        <f t="shared" si="105"/>
        <v>0</v>
      </c>
      <c r="G308" s="897">
        <f t="shared" si="105"/>
        <v>0</v>
      </c>
      <c r="H308" s="897">
        <f t="shared" si="105"/>
        <v>0</v>
      </c>
      <c r="I308" s="897"/>
      <c r="J308" s="897"/>
      <c r="K308" s="897"/>
      <c r="L308" s="897"/>
      <c r="M308" s="897"/>
      <c r="N308" s="897"/>
      <c r="O308" s="897"/>
      <c r="P308" s="897">
        <f t="shared" ref="P308:P318" si="106">SUM(D308:H308)</f>
        <v>0</v>
      </c>
      <c r="Q308" s="898">
        <f t="shared" si="93"/>
        <v>0</v>
      </c>
      <c r="R308" s="936">
        <f t="shared" ref="R308:R318" si="107">Q308/7</f>
        <v>0</v>
      </c>
      <c r="S308" s="935">
        <f t="shared" ref="S308:X317" si="108">R308</f>
        <v>0</v>
      </c>
      <c r="T308" s="935">
        <f t="shared" si="108"/>
        <v>0</v>
      </c>
      <c r="U308" s="935">
        <f t="shared" si="108"/>
        <v>0</v>
      </c>
      <c r="V308" s="935">
        <f t="shared" si="108"/>
        <v>0</v>
      </c>
      <c r="W308" s="935">
        <f t="shared" si="108"/>
        <v>0</v>
      </c>
      <c r="X308" s="935">
        <f t="shared" si="108"/>
        <v>0</v>
      </c>
      <c r="Y308" s="935">
        <f t="shared" si="98"/>
        <v>0</v>
      </c>
      <c r="Z308" s="935">
        <f t="shared" si="99"/>
        <v>0</v>
      </c>
    </row>
    <row r="309" spans="1:26" hidden="1">
      <c r="A309" s="986">
        <v>64592</v>
      </c>
      <c r="B309" s="993" t="s">
        <v>2104</v>
      </c>
      <c r="C309" s="897"/>
      <c r="D309" s="937">
        <f t="shared" si="105"/>
        <v>0</v>
      </c>
      <c r="E309" s="897">
        <f t="shared" si="105"/>
        <v>0</v>
      </c>
      <c r="F309" s="897">
        <f t="shared" si="105"/>
        <v>0</v>
      </c>
      <c r="G309" s="897">
        <f t="shared" si="105"/>
        <v>0</v>
      </c>
      <c r="H309" s="897">
        <f t="shared" si="105"/>
        <v>0</v>
      </c>
      <c r="I309" s="897"/>
      <c r="J309" s="897"/>
      <c r="K309" s="897"/>
      <c r="L309" s="897"/>
      <c r="M309" s="897"/>
      <c r="N309" s="897"/>
      <c r="O309" s="897"/>
      <c r="P309" s="897">
        <f t="shared" si="106"/>
        <v>0</v>
      </c>
      <c r="Q309" s="898">
        <f t="shared" si="93"/>
        <v>0</v>
      </c>
      <c r="R309" s="936">
        <f t="shared" si="107"/>
        <v>0</v>
      </c>
      <c r="S309" s="935">
        <f t="shared" si="108"/>
        <v>0</v>
      </c>
      <c r="T309" s="935">
        <f t="shared" si="108"/>
        <v>0</v>
      </c>
      <c r="U309" s="935">
        <f t="shared" si="108"/>
        <v>0</v>
      </c>
      <c r="V309" s="935">
        <f t="shared" si="108"/>
        <v>0</v>
      </c>
      <c r="W309" s="935">
        <f t="shared" si="108"/>
        <v>0</v>
      </c>
      <c r="X309" s="935">
        <f t="shared" si="108"/>
        <v>0</v>
      </c>
      <c r="Y309" s="935">
        <f t="shared" si="98"/>
        <v>0</v>
      </c>
      <c r="Z309" s="935">
        <f t="shared" si="99"/>
        <v>0</v>
      </c>
    </row>
    <row r="310" spans="1:26" hidden="1">
      <c r="A310" s="986">
        <v>64593</v>
      </c>
      <c r="B310" s="993" t="s">
        <v>2105</v>
      </c>
      <c r="C310" s="897"/>
      <c r="D310" s="937">
        <f t="shared" si="105"/>
        <v>0</v>
      </c>
      <c r="E310" s="897">
        <f t="shared" si="105"/>
        <v>0</v>
      </c>
      <c r="F310" s="897">
        <f t="shared" si="105"/>
        <v>0</v>
      </c>
      <c r="G310" s="897">
        <f t="shared" si="105"/>
        <v>0</v>
      </c>
      <c r="H310" s="897">
        <f t="shared" si="105"/>
        <v>0</v>
      </c>
      <c r="I310" s="897"/>
      <c r="J310" s="897"/>
      <c r="K310" s="897"/>
      <c r="L310" s="897"/>
      <c r="M310" s="897"/>
      <c r="N310" s="897"/>
      <c r="O310" s="897"/>
      <c r="P310" s="897">
        <f t="shared" si="106"/>
        <v>0</v>
      </c>
      <c r="Q310" s="898">
        <f t="shared" si="93"/>
        <v>0</v>
      </c>
      <c r="R310" s="936">
        <f t="shared" si="107"/>
        <v>0</v>
      </c>
      <c r="S310" s="935">
        <f t="shared" si="108"/>
        <v>0</v>
      </c>
      <c r="T310" s="935">
        <f t="shared" si="108"/>
        <v>0</v>
      </c>
      <c r="U310" s="935">
        <f t="shared" si="108"/>
        <v>0</v>
      </c>
      <c r="V310" s="935">
        <f t="shared" si="108"/>
        <v>0</v>
      </c>
      <c r="W310" s="935">
        <f t="shared" si="108"/>
        <v>0</v>
      </c>
      <c r="X310" s="935">
        <f t="shared" si="108"/>
        <v>0</v>
      </c>
      <c r="Y310" s="935">
        <f t="shared" si="98"/>
        <v>0</v>
      </c>
      <c r="Z310" s="935">
        <f t="shared" si="99"/>
        <v>0</v>
      </c>
    </row>
    <row r="311" spans="1:26" hidden="1">
      <c r="A311" s="986">
        <v>64594</v>
      </c>
      <c r="B311" s="993" t="s">
        <v>2106</v>
      </c>
      <c r="C311" s="897"/>
      <c r="D311" s="937">
        <f t="shared" si="105"/>
        <v>0</v>
      </c>
      <c r="E311" s="897">
        <f t="shared" si="105"/>
        <v>0</v>
      </c>
      <c r="F311" s="897">
        <f t="shared" si="105"/>
        <v>0</v>
      </c>
      <c r="G311" s="897">
        <f t="shared" si="105"/>
        <v>0</v>
      </c>
      <c r="H311" s="897">
        <f t="shared" si="105"/>
        <v>0</v>
      </c>
      <c r="I311" s="897"/>
      <c r="J311" s="897"/>
      <c r="K311" s="897"/>
      <c r="L311" s="897"/>
      <c r="M311" s="897"/>
      <c r="N311" s="897"/>
      <c r="O311" s="897"/>
      <c r="P311" s="897">
        <f t="shared" si="106"/>
        <v>0</v>
      </c>
      <c r="Q311" s="898">
        <f t="shared" si="93"/>
        <v>0</v>
      </c>
      <c r="R311" s="936">
        <f t="shared" si="107"/>
        <v>0</v>
      </c>
      <c r="S311" s="935">
        <f t="shared" si="108"/>
        <v>0</v>
      </c>
      <c r="T311" s="935">
        <f t="shared" si="108"/>
        <v>0</v>
      </c>
      <c r="U311" s="935">
        <f t="shared" si="108"/>
        <v>0</v>
      </c>
      <c r="V311" s="935">
        <f t="shared" si="108"/>
        <v>0</v>
      </c>
      <c r="W311" s="935">
        <f t="shared" si="108"/>
        <v>0</v>
      </c>
      <c r="X311" s="935">
        <f t="shared" si="108"/>
        <v>0</v>
      </c>
      <c r="Y311" s="935">
        <f t="shared" si="98"/>
        <v>0</v>
      </c>
      <c r="Z311" s="935">
        <f t="shared" si="99"/>
        <v>0</v>
      </c>
    </row>
    <row r="312" spans="1:26" hidden="1">
      <c r="A312" s="986">
        <v>64595</v>
      </c>
      <c r="B312" s="993" t="s">
        <v>2107</v>
      </c>
      <c r="C312" s="897"/>
      <c r="D312" s="937">
        <f t="shared" si="105"/>
        <v>0</v>
      </c>
      <c r="E312" s="897">
        <f t="shared" si="105"/>
        <v>0</v>
      </c>
      <c r="F312" s="897">
        <f t="shared" si="105"/>
        <v>0</v>
      </c>
      <c r="G312" s="897">
        <f t="shared" si="105"/>
        <v>0</v>
      </c>
      <c r="H312" s="897">
        <f t="shared" si="105"/>
        <v>0</v>
      </c>
      <c r="I312" s="897"/>
      <c r="J312" s="897"/>
      <c r="K312" s="897"/>
      <c r="L312" s="897"/>
      <c r="M312" s="897"/>
      <c r="N312" s="897"/>
      <c r="O312" s="897"/>
      <c r="P312" s="897">
        <f t="shared" si="106"/>
        <v>0</v>
      </c>
      <c r="Q312" s="898">
        <f t="shared" si="93"/>
        <v>0</v>
      </c>
      <c r="R312" s="936">
        <f t="shared" si="107"/>
        <v>0</v>
      </c>
      <c r="S312" s="935">
        <f t="shared" si="108"/>
        <v>0</v>
      </c>
      <c r="T312" s="935">
        <f t="shared" si="108"/>
        <v>0</v>
      </c>
      <c r="U312" s="935">
        <f t="shared" si="108"/>
        <v>0</v>
      </c>
      <c r="V312" s="935">
        <f t="shared" si="108"/>
        <v>0</v>
      </c>
      <c r="W312" s="935">
        <f t="shared" si="108"/>
        <v>0</v>
      </c>
      <c r="X312" s="935">
        <f t="shared" si="108"/>
        <v>0</v>
      </c>
      <c r="Y312" s="935">
        <f t="shared" si="98"/>
        <v>0</v>
      </c>
      <c r="Z312" s="935">
        <f t="shared" si="99"/>
        <v>0</v>
      </c>
    </row>
    <row r="313" spans="1:26" hidden="1">
      <c r="A313" s="986">
        <v>64596</v>
      </c>
      <c r="B313" s="993" t="s">
        <v>2108</v>
      </c>
      <c r="C313" s="897"/>
      <c r="D313" s="937">
        <f t="shared" si="105"/>
        <v>0</v>
      </c>
      <c r="E313" s="897">
        <f t="shared" si="105"/>
        <v>0</v>
      </c>
      <c r="F313" s="897">
        <f t="shared" si="105"/>
        <v>0</v>
      </c>
      <c r="G313" s="897">
        <f t="shared" si="105"/>
        <v>0</v>
      </c>
      <c r="H313" s="897">
        <f t="shared" si="105"/>
        <v>0</v>
      </c>
      <c r="I313" s="897"/>
      <c r="J313" s="897"/>
      <c r="K313" s="897"/>
      <c r="L313" s="897"/>
      <c r="M313" s="897"/>
      <c r="N313" s="897"/>
      <c r="O313" s="897"/>
      <c r="P313" s="897">
        <f t="shared" si="106"/>
        <v>0</v>
      </c>
      <c r="Q313" s="898">
        <f t="shared" si="93"/>
        <v>0</v>
      </c>
      <c r="R313" s="936">
        <f t="shared" si="107"/>
        <v>0</v>
      </c>
      <c r="S313" s="935">
        <f t="shared" si="108"/>
        <v>0</v>
      </c>
      <c r="T313" s="935">
        <f t="shared" si="108"/>
        <v>0</v>
      </c>
      <c r="U313" s="935">
        <f t="shared" si="108"/>
        <v>0</v>
      </c>
      <c r="V313" s="935">
        <f t="shared" si="108"/>
        <v>0</v>
      </c>
      <c r="W313" s="935">
        <f t="shared" si="108"/>
        <v>0</v>
      </c>
      <c r="X313" s="935">
        <f t="shared" si="108"/>
        <v>0</v>
      </c>
      <c r="Y313" s="935">
        <f t="shared" si="98"/>
        <v>0</v>
      </c>
      <c r="Z313" s="935">
        <f t="shared" si="99"/>
        <v>0</v>
      </c>
    </row>
    <row r="314" spans="1:26" hidden="1">
      <c r="A314" s="986">
        <v>64597</v>
      </c>
      <c r="B314" s="993" t="s">
        <v>2109</v>
      </c>
      <c r="C314" s="897"/>
      <c r="D314" s="937">
        <f t="shared" si="105"/>
        <v>0</v>
      </c>
      <c r="E314" s="897">
        <f t="shared" si="105"/>
        <v>0</v>
      </c>
      <c r="F314" s="897">
        <f t="shared" si="105"/>
        <v>0</v>
      </c>
      <c r="G314" s="897">
        <f t="shared" si="105"/>
        <v>0</v>
      </c>
      <c r="H314" s="897">
        <f t="shared" si="105"/>
        <v>0</v>
      </c>
      <c r="I314" s="897"/>
      <c r="J314" s="897"/>
      <c r="K314" s="897"/>
      <c r="L314" s="897"/>
      <c r="M314" s="897"/>
      <c r="N314" s="897"/>
      <c r="O314" s="897"/>
      <c r="P314" s="897">
        <f t="shared" si="106"/>
        <v>0</v>
      </c>
      <c r="Q314" s="898">
        <f t="shared" si="93"/>
        <v>0</v>
      </c>
      <c r="R314" s="936">
        <f t="shared" si="107"/>
        <v>0</v>
      </c>
      <c r="S314" s="935">
        <f t="shared" si="108"/>
        <v>0</v>
      </c>
      <c r="T314" s="935">
        <f t="shared" si="108"/>
        <v>0</v>
      </c>
      <c r="U314" s="935">
        <f t="shared" si="108"/>
        <v>0</v>
      </c>
      <c r="V314" s="935">
        <f t="shared" si="108"/>
        <v>0</v>
      </c>
      <c r="W314" s="935">
        <f t="shared" si="108"/>
        <v>0</v>
      </c>
      <c r="X314" s="935">
        <f t="shared" si="108"/>
        <v>0</v>
      </c>
      <c r="Y314" s="935">
        <f t="shared" si="98"/>
        <v>0</v>
      </c>
      <c r="Z314" s="935">
        <f t="shared" si="99"/>
        <v>0</v>
      </c>
    </row>
    <row r="315" spans="1:26" hidden="1">
      <c r="A315" s="986">
        <v>64598</v>
      </c>
      <c r="B315" s="993" t="s">
        <v>2110</v>
      </c>
      <c r="C315" s="897"/>
      <c r="D315" s="937">
        <f t="shared" si="105"/>
        <v>0</v>
      </c>
      <c r="E315" s="897">
        <f t="shared" si="105"/>
        <v>0</v>
      </c>
      <c r="F315" s="897">
        <f t="shared" si="105"/>
        <v>0</v>
      </c>
      <c r="G315" s="897">
        <f t="shared" si="105"/>
        <v>0</v>
      </c>
      <c r="H315" s="897">
        <f t="shared" si="105"/>
        <v>0</v>
      </c>
      <c r="I315" s="897"/>
      <c r="J315" s="897"/>
      <c r="K315" s="897"/>
      <c r="L315" s="897"/>
      <c r="M315" s="897"/>
      <c r="N315" s="897"/>
      <c r="O315" s="897"/>
      <c r="P315" s="897">
        <f t="shared" si="106"/>
        <v>0</v>
      </c>
      <c r="Q315" s="898">
        <f t="shared" si="93"/>
        <v>0</v>
      </c>
      <c r="R315" s="936">
        <f t="shared" si="107"/>
        <v>0</v>
      </c>
      <c r="S315" s="935">
        <f t="shared" si="108"/>
        <v>0</v>
      </c>
      <c r="T315" s="935">
        <f t="shared" si="108"/>
        <v>0</v>
      </c>
      <c r="U315" s="935">
        <f t="shared" si="108"/>
        <v>0</v>
      </c>
      <c r="V315" s="935">
        <f t="shared" si="108"/>
        <v>0</v>
      </c>
      <c r="W315" s="935">
        <f t="shared" si="108"/>
        <v>0</v>
      </c>
      <c r="X315" s="935">
        <f t="shared" si="108"/>
        <v>0</v>
      </c>
      <c r="Y315" s="935">
        <f t="shared" si="98"/>
        <v>0</v>
      </c>
      <c r="Z315" s="935">
        <f t="shared" si="99"/>
        <v>0</v>
      </c>
    </row>
    <row r="316" spans="1:26" hidden="1">
      <c r="A316" s="951">
        <v>646</v>
      </c>
      <c r="B316" s="992" t="s">
        <v>2111</v>
      </c>
      <c r="C316" s="897"/>
      <c r="D316" s="937">
        <f t="shared" si="105"/>
        <v>0</v>
      </c>
      <c r="E316" s="897">
        <f t="shared" si="105"/>
        <v>0</v>
      </c>
      <c r="F316" s="897">
        <f t="shared" si="105"/>
        <v>0</v>
      </c>
      <c r="G316" s="897">
        <f t="shared" si="105"/>
        <v>0</v>
      </c>
      <c r="H316" s="897">
        <f t="shared" si="105"/>
        <v>0</v>
      </c>
      <c r="I316" s="897"/>
      <c r="J316" s="897"/>
      <c r="K316" s="897"/>
      <c r="L316" s="897"/>
      <c r="M316" s="897"/>
      <c r="N316" s="897"/>
      <c r="O316" s="897"/>
      <c r="P316" s="897">
        <f t="shared" si="106"/>
        <v>0</v>
      </c>
      <c r="Q316" s="898">
        <f t="shared" si="93"/>
        <v>0</v>
      </c>
      <c r="R316" s="936">
        <f t="shared" si="107"/>
        <v>0</v>
      </c>
      <c r="S316" s="935">
        <f t="shared" si="108"/>
        <v>0</v>
      </c>
      <c r="T316" s="935">
        <f t="shared" si="108"/>
        <v>0</v>
      </c>
      <c r="U316" s="935">
        <f t="shared" si="108"/>
        <v>0</v>
      </c>
      <c r="V316" s="935">
        <f t="shared" si="108"/>
        <v>0</v>
      </c>
      <c r="W316" s="935">
        <f t="shared" si="108"/>
        <v>0</v>
      </c>
      <c r="X316" s="935">
        <f t="shared" si="108"/>
        <v>0</v>
      </c>
      <c r="Y316" s="935">
        <f t="shared" si="98"/>
        <v>0</v>
      </c>
      <c r="Z316" s="935">
        <f t="shared" si="99"/>
        <v>0</v>
      </c>
    </row>
    <row r="317" spans="1:26" hidden="1">
      <c r="A317" s="984">
        <v>6461</v>
      </c>
      <c r="B317" s="991" t="s">
        <v>2112</v>
      </c>
      <c r="C317" s="897"/>
      <c r="D317" s="937">
        <f t="shared" si="105"/>
        <v>0</v>
      </c>
      <c r="E317" s="897">
        <f t="shared" si="105"/>
        <v>0</v>
      </c>
      <c r="F317" s="897">
        <f t="shared" si="105"/>
        <v>0</v>
      </c>
      <c r="G317" s="897">
        <f t="shared" si="105"/>
        <v>0</v>
      </c>
      <c r="H317" s="897">
        <f t="shared" si="105"/>
        <v>0</v>
      </c>
      <c r="I317" s="897"/>
      <c r="J317" s="897"/>
      <c r="K317" s="897"/>
      <c r="L317" s="897"/>
      <c r="M317" s="897"/>
      <c r="N317" s="897"/>
      <c r="O317" s="897"/>
      <c r="P317" s="897">
        <f t="shared" si="106"/>
        <v>0</v>
      </c>
      <c r="Q317" s="898">
        <f t="shared" si="93"/>
        <v>0</v>
      </c>
      <c r="R317" s="936">
        <f t="shared" si="107"/>
        <v>0</v>
      </c>
      <c r="S317" s="935">
        <f t="shared" si="108"/>
        <v>0</v>
      </c>
      <c r="T317" s="935">
        <f t="shared" si="108"/>
        <v>0</v>
      </c>
      <c r="U317" s="935">
        <f t="shared" si="108"/>
        <v>0</v>
      </c>
      <c r="V317" s="935">
        <f t="shared" si="108"/>
        <v>0</v>
      </c>
      <c r="W317" s="935">
        <f t="shared" si="108"/>
        <v>0</v>
      </c>
      <c r="X317" s="935">
        <f t="shared" si="108"/>
        <v>0</v>
      </c>
      <c r="Y317" s="935">
        <f t="shared" si="98"/>
        <v>0</v>
      </c>
      <c r="Z317" s="935">
        <f t="shared" si="99"/>
        <v>0</v>
      </c>
    </row>
    <row r="318" spans="1:26" hidden="1">
      <c r="A318" s="984">
        <v>6462</v>
      </c>
      <c r="B318" s="991" t="s">
        <v>2113</v>
      </c>
      <c r="C318" s="897"/>
      <c r="D318" s="937">
        <f t="shared" si="105"/>
        <v>0</v>
      </c>
      <c r="E318" s="897">
        <f t="shared" si="105"/>
        <v>0</v>
      </c>
      <c r="F318" s="897">
        <f t="shared" si="105"/>
        <v>0</v>
      </c>
      <c r="G318" s="897">
        <f t="shared" si="105"/>
        <v>0</v>
      </c>
      <c r="H318" s="897">
        <f t="shared" si="105"/>
        <v>0</v>
      </c>
      <c r="I318" s="897"/>
      <c r="J318" s="897"/>
      <c r="K318" s="897"/>
      <c r="L318" s="897"/>
      <c r="M318" s="897"/>
      <c r="N318" s="897"/>
      <c r="O318" s="897"/>
      <c r="P318" s="897">
        <f t="shared" si="106"/>
        <v>0</v>
      </c>
      <c r="Q318" s="898">
        <f t="shared" si="93"/>
        <v>0</v>
      </c>
      <c r="R318" s="936">
        <f t="shared" si="107"/>
        <v>0</v>
      </c>
      <c r="S318" s="935">
        <f t="shared" ref="S318:X327" si="109">R318</f>
        <v>0</v>
      </c>
      <c r="T318" s="935">
        <f t="shared" si="109"/>
        <v>0</v>
      </c>
      <c r="U318" s="935">
        <f t="shared" si="109"/>
        <v>0</v>
      </c>
      <c r="V318" s="935">
        <f t="shared" si="109"/>
        <v>0</v>
      </c>
      <c r="W318" s="935">
        <f t="shared" si="109"/>
        <v>0</v>
      </c>
      <c r="X318" s="935">
        <f t="shared" si="109"/>
        <v>0</v>
      </c>
      <c r="Y318" s="935">
        <f t="shared" si="98"/>
        <v>0</v>
      </c>
      <c r="Z318" s="935">
        <f t="shared" si="99"/>
        <v>0</v>
      </c>
    </row>
    <row r="319" spans="1:26" ht="13.5">
      <c r="A319" s="945">
        <v>649</v>
      </c>
      <c r="B319" s="944" t="s">
        <v>2114</v>
      </c>
      <c r="C319" s="908">
        <f t="shared" ref="C319:P319" si="110">C320</f>
        <v>0</v>
      </c>
      <c r="D319" s="943">
        <f t="shared" si="110"/>
        <v>0</v>
      </c>
      <c r="E319" s="908">
        <f t="shared" si="110"/>
        <v>0</v>
      </c>
      <c r="F319" s="908">
        <f t="shared" si="110"/>
        <v>0</v>
      </c>
      <c r="G319" s="908">
        <f t="shared" si="110"/>
        <v>0</v>
      </c>
      <c r="H319" s="908">
        <f t="shared" si="110"/>
        <v>0</v>
      </c>
      <c r="I319" s="908">
        <f t="shared" si="110"/>
        <v>0</v>
      </c>
      <c r="J319" s="908">
        <f t="shared" si="110"/>
        <v>0</v>
      </c>
      <c r="K319" s="908">
        <f t="shared" si="110"/>
        <v>0</v>
      </c>
      <c r="L319" s="908">
        <f t="shared" si="110"/>
        <v>0</v>
      </c>
      <c r="M319" s="908">
        <f t="shared" si="110"/>
        <v>0</v>
      </c>
      <c r="N319" s="908">
        <f>N320</f>
        <v>0</v>
      </c>
      <c r="O319" s="908">
        <f>O320</f>
        <v>0</v>
      </c>
      <c r="P319" s="908">
        <f t="shared" si="110"/>
        <v>0</v>
      </c>
      <c r="Q319" s="909">
        <f t="shared" si="93"/>
        <v>0</v>
      </c>
      <c r="R319" s="960">
        <f>R320</f>
        <v>0</v>
      </c>
      <c r="S319" s="959">
        <f t="shared" si="109"/>
        <v>0</v>
      </c>
      <c r="T319" s="959">
        <f t="shared" si="109"/>
        <v>0</v>
      </c>
      <c r="U319" s="959">
        <f t="shared" si="109"/>
        <v>0</v>
      </c>
      <c r="V319" s="959">
        <f t="shared" si="109"/>
        <v>0</v>
      </c>
      <c r="W319" s="959">
        <f t="shared" si="109"/>
        <v>0</v>
      </c>
      <c r="X319" s="959">
        <f t="shared" si="109"/>
        <v>0</v>
      </c>
      <c r="Y319" s="959">
        <f t="shared" si="98"/>
        <v>0</v>
      </c>
      <c r="Z319" s="959">
        <f t="shared" si="99"/>
        <v>0</v>
      </c>
    </row>
    <row r="320" spans="1:26">
      <c r="A320" s="984">
        <v>6499</v>
      </c>
      <c r="B320" s="991" t="s">
        <v>2115</v>
      </c>
      <c r="C320" s="897"/>
      <c r="D320" s="937">
        <v>0</v>
      </c>
      <c r="E320" s="937">
        <v>0</v>
      </c>
      <c r="F320" s="937">
        <v>0</v>
      </c>
      <c r="G320" s="937">
        <v>0</v>
      </c>
      <c r="H320" s="937">
        <v>0</v>
      </c>
      <c r="I320" s="937">
        <v>0</v>
      </c>
      <c r="J320" s="937">
        <v>0</v>
      </c>
      <c r="K320" s="937">
        <v>0</v>
      </c>
      <c r="L320" s="937">
        <v>0</v>
      </c>
      <c r="M320" s="937">
        <v>0</v>
      </c>
      <c r="N320" s="937">
        <v>0</v>
      </c>
      <c r="O320" s="937">
        <v>0</v>
      </c>
      <c r="P320" s="897">
        <f>SUM(D320:O320)</f>
        <v>0</v>
      </c>
      <c r="Q320" s="898">
        <f t="shared" si="93"/>
        <v>0</v>
      </c>
      <c r="R320" s="936">
        <f>P320/5</f>
        <v>0</v>
      </c>
      <c r="S320" s="935">
        <f t="shared" si="109"/>
        <v>0</v>
      </c>
      <c r="T320" s="935">
        <f t="shared" si="109"/>
        <v>0</v>
      </c>
      <c r="U320" s="935">
        <f t="shared" si="109"/>
        <v>0</v>
      </c>
      <c r="V320" s="935">
        <f t="shared" si="109"/>
        <v>0</v>
      </c>
      <c r="W320" s="935">
        <f t="shared" si="109"/>
        <v>0</v>
      </c>
      <c r="X320" s="935">
        <f t="shared" si="109"/>
        <v>0</v>
      </c>
      <c r="Y320" s="935">
        <f t="shared" si="98"/>
        <v>0</v>
      </c>
      <c r="Z320" s="935">
        <f t="shared" si="99"/>
        <v>0</v>
      </c>
    </row>
    <row r="321" spans="1:26">
      <c r="A321" s="949" t="s">
        <v>2116</v>
      </c>
      <c r="B321" s="948" t="s">
        <v>2117</v>
      </c>
      <c r="C321" s="894">
        <f t="shared" ref="C321:M321" si="111">C322+C339</f>
        <v>0</v>
      </c>
      <c r="D321" s="947">
        <f>D322+D339</f>
        <v>0</v>
      </c>
      <c r="E321" s="894">
        <f t="shared" si="111"/>
        <v>0</v>
      </c>
      <c r="F321" s="894">
        <f t="shared" si="111"/>
        <v>0</v>
      </c>
      <c r="G321" s="894">
        <f t="shared" si="111"/>
        <v>0</v>
      </c>
      <c r="H321" s="894">
        <f t="shared" si="111"/>
        <v>0</v>
      </c>
      <c r="I321" s="894">
        <f t="shared" si="111"/>
        <v>0</v>
      </c>
      <c r="J321" s="894">
        <f t="shared" si="111"/>
        <v>0</v>
      </c>
      <c r="K321" s="894">
        <f t="shared" si="111"/>
        <v>0</v>
      </c>
      <c r="L321" s="894">
        <f t="shared" si="111"/>
        <v>0</v>
      </c>
      <c r="M321" s="894">
        <f t="shared" si="111"/>
        <v>0</v>
      </c>
      <c r="N321" s="894">
        <f>N322+N339</f>
        <v>0</v>
      </c>
      <c r="O321" s="894">
        <f>O322+O339</f>
        <v>0</v>
      </c>
      <c r="P321" s="894">
        <f>P322+P339</f>
        <v>0</v>
      </c>
      <c r="Q321" s="895">
        <f t="shared" si="93"/>
        <v>0</v>
      </c>
      <c r="R321" s="990">
        <f>R322+R339</f>
        <v>0</v>
      </c>
      <c r="S321" s="989">
        <f t="shared" si="109"/>
        <v>0</v>
      </c>
      <c r="T321" s="989">
        <f t="shared" si="109"/>
        <v>0</v>
      </c>
      <c r="U321" s="989">
        <f t="shared" si="109"/>
        <v>0</v>
      </c>
      <c r="V321" s="989">
        <f t="shared" si="109"/>
        <v>0</v>
      </c>
      <c r="W321" s="989">
        <f t="shared" si="109"/>
        <v>0</v>
      </c>
      <c r="X321" s="989">
        <f t="shared" si="109"/>
        <v>0</v>
      </c>
      <c r="Y321" s="989">
        <f t="shared" si="98"/>
        <v>0</v>
      </c>
      <c r="Z321" s="989">
        <f t="shared" si="99"/>
        <v>0</v>
      </c>
    </row>
    <row r="322" spans="1:26" ht="13.5">
      <c r="A322" s="945">
        <v>66</v>
      </c>
      <c r="B322" s="944" t="s">
        <v>2118</v>
      </c>
      <c r="C322" s="908">
        <f t="shared" ref="C322:M322" si="112">C323+C332+C337</f>
        <v>0</v>
      </c>
      <c r="D322" s="943">
        <f>D323+D332+D337</f>
        <v>0</v>
      </c>
      <c r="E322" s="908">
        <f t="shared" si="112"/>
        <v>0</v>
      </c>
      <c r="F322" s="908">
        <f t="shared" si="112"/>
        <v>0</v>
      </c>
      <c r="G322" s="908">
        <f t="shared" si="112"/>
        <v>0</v>
      </c>
      <c r="H322" s="908">
        <f t="shared" si="112"/>
        <v>0</v>
      </c>
      <c r="I322" s="908">
        <f t="shared" si="112"/>
        <v>0</v>
      </c>
      <c r="J322" s="908">
        <f t="shared" si="112"/>
        <v>0</v>
      </c>
      <c r="K322" s="908">
        <f t="shared" si="112"/>
        <v>0</v>
      </c>
      <c r="L322" s="908">
        <f t="shared" si="112"/>
        <v>0</v>
      </c>
      <c r="M322" s="908">
        <f t="shared" si="112"/>
        <v>0</v>
      </c>
      <c r="N322" s="908">
        <f>N323+N332+N337</f>
        <v>0</v>
      </c>
      <c r="O322" s="908">
        <f>O323+O332+O337</f>
        <v>0</v>
      </c>
      <c r="P322" s="908">
        <f>P323+P332+P337</f>
        <v>0</v>
      </c>
      <c r="Q322" s="909">
        <f t="shared" si="93"/>
        <v>0</v>
      </c>
      <c r="R322" s="988">
        <f>R323+R332+R337</f>
        <v>0</v>
      </c>
      <c r="S322" s="959">
        <f t="shared" si="109"/>
        <v>0</v>
      </c>
      <c r="T322" s="959">
        <f t="shared" si="109"/>
        <v>0</v>
      </c>
      <c r="U322" s="959">
        <f t="shared" si="109"/>
        <v>0</v>
      </c>
      <c r="V322" s="959">
        <f t="shared" si="109"/>
        <v>0</v>
      </c>
      <c r="W322" s="959">
        <f t="shared" si="109"/>
        <v>0</v>
      </c>
      <c r="X322" s="959">
        <f t="shared" si="109"/>
        <v>0</v>
      </c>
      <c r="Y322" s="959">
        <f t="shared" si="98"/>
        <v>0</v>
      </c>
      <c r="Z322" s="959">
        <f t="shared" si="99"/>
        <v>0</v>
      </c>
    </row>
    <row r="323" spans="1:26" s="911" customFormat="1">
      <c r="A323" s="958">
        <v>661</v>
      </c>
      <c r="B323" s="977" t="s">
        <v>2119</v>
      </c>
      <c r="C323" s="900">
        <f>C324+C331</f>
        <v>0</v>
      </c>
      <c r="D323" s="956">
        <v>0</v>
      </c>
      <c r="E323" s="956">
        <v>0</v>
      </c>
      <c r="F323" s="956">
        <v>0</v>
      </c>
      <c r="G323" s="956">
        <v>0</v>
      </c>
      <c r="H323" s="956">
        <v>0</v>
      </c>
      <c r="I323" s="956">
        <v>0</v>
      </c>
      <c r="J323" s="956">
        <v>0</v>
      </c>
      <c r="K323" s="956">
        <v>0</v>
      </c>
      <c r="L323" s="956">
        <v>0</v>
      </c>
      <c r="M323" s="956">
        <v>0</v>
      </c>
      <c r="N323" s="956">
        <v>0</v>
      </c>
      <c r="O323" s="956">
        <v>0</v>
      </c>
      <c r="P323" s="900">
        <f>SUM(D323:O323)</f>
        <v>0</v>
      </c>
      <c r="Q323" s="910">
        <f t="shared" si="93"/>
        <v>0</v>
      </c>
      <c r="R323" s="956">
        <f>R324+R331</f>
        <v>0</v>
      </c>
      <c r="S323" s="987">
        <f t="shared" si="109"/>
        <v>0</v>
      </c>
      <c r="T323" s="987">
        <f t="shared" si="109"/>
        <v>0</v>
      </c>
      <c r="U323" s="987">
        <f t="shared" si="109"/>
        <v>0</v>
      </c>
      <c r="V323" s="987">
        <f t="shared" si="109"/>
        <v>0</v>
      </c>
      <c r="W323" s="987">
        <f t="shared" si="109"/>
        <v>0</v>
      </c>
      <c r="X323" s="987">
        <f t="shared" si="109"/>
        <v>0</v>
      </c>
      <c r="Y323" s="987">
        <f t="shared" si="98"/>
        <v>0</v>
      </c>
      <c r="Z323" s="987">
        <f t="shared" si="99"/>
        <v>0</v>
      </c>
    </row>
    <row r="324" spans="1:26" s="911" customFormat="1">
      <c r="A324" s="984">
        <v>6611</v>
      </c>
      <c r="B324" s="983" t="s">
        <v>2120</v>
      </c>
      <c r="C324" s="900"/>
      <c r="D324" s="956">
        <v>0</v>
      </c>
      <c r="E324" s="956">
        <v>0</v>
      </c>
      <c r="F324" s="956">
        <v>0</v>
      </c>
      <c r="G324" s="956">
        <v>0</v>
      </c>
      <c r="H324" s="956">
        <v>0</v>
      </c>
      <c r="I324" s="956">
        <v>0</v>
      </c>
      <c r="J324" s="956">
        <v>0</v>
      </c>
      <c r="K324" s="956">
        <v>0</v>
      </c>
      <c r="L324" s="956">
        <v>0</v>
      </c>
      <c r="M324" s="956">
        <v>0</v>
      </c>
      <c r="N324" s="956">
        <v>0</v>
      </c>
      <c r="O324" s="956">
        <v>0</v>
      </c>
      <c r="P324" s="900">
        <f>SUM(D324:O324)</f>
        <v>0</v>
      </c>
      <c r="Q324" s="910">
        <f t="shared" si="93"/>
        <v>0</v>
      </c>
      <c r="R324" s="936">
        <f>P324/5</f>
        <v>0</v>
      </c>
      <c r="S324" s="954">
        <f t="shared" si="109"/>
        <v>0</v>
      </c>
      <c r="T324" s="954">
        <f t="shared" si="109"/>
        <v>0</v>
      </c>
      <c r="U324" s="954">
        <f t="shared" si="109"/>
        <v>0</v>
      </c>
      <c r="V324" s="954">
        <f t="shared" si="109"/>
        <v>0</v>
      </c>
      <c r="W324" s="954">
        <f t="shared" si="109"/>
        <v>0</v>
      </c>
      <c r="X324" s="954">
        <f t="shared" si="109"/>
        <v>0</v>
      </c>
      <c r="Y324" s="954">
        <f t="shared" si="98"/>
        <v>0</v>
      </c>
      <c r="Z324" s="954">
        <f t="shared" si="99"/>
        <v>0</v>
      </c>
    </row>
    <row r="325" spans="1:26" s="911" customFormat="1" hidden="1">
      <c r="A325" s="986" t="s">
        <v>2121</v>
      </c>
      <c r="B325" s="985" t="s">
        <v>2122</v>
      </c>
      <c r="C325" s="900"/>
      <c r="D325" s="956"/>
      <c r="E325" s="956"/>
      <c r="F325" s="956"/>
      <c r="G325" s="956"/>
      <c r="H325" s="956"/>
      <c r="I325" s="956"/>
      <c r="J325" s="956"/>
      <c r="K325" s="956"/>
      <c r="L325" s="956"/>
      <c r="M325" s="956"/>
      <c r="N325" s="956"/>
      <c r="O325" s="956"/>
      <c r="P325" s="900">
        <f t="shared" ref="P325:P330" si="113">SUM(D325:O325)</f>
        <v>0</v>
      </c>
      <c r="Q325" s="910">
        <f t="shared" si="93"/>
        <v>0</v>
      </c>
      <c r="R325" s="955">
        <f t="shared" ref="R325:R330" si="114">Q325/7</f>
        <v>0</v>
      </c>
      <c r="S325" s="954">
        <f t="shared" si="109"/>
        <v>0</v>
      </c>
      <c r="T325" s="954">
        <f t="shared" si="109"/>
        <v>0</v>
      </c>
      <c r="U325" s="954">
        <f t="shared" si="109"/>
        <v>0</v>
      </c>
      <c r="V325" s="954">
        <f t="shared" si="109"/>
        <v>0</v>
      </c>
      <c r="W325" s="954">
        <f t="shared" si="109"/>
        <v>0</v>
      </c>
      <c r="X325" s="954">
        <f t="shared" si="109"/>
        <v>0</v>
      </c>
      <c r="Y325" s="954">
        <f t="shared" si="98"/>
        <v>0</v>
      </c>
      <c r="Z325" s="954">
        <f t="shared" si="99"/>
        <v>0</v>
      </c>
    </row>
    <row r="326" spans="1:26" s="911" customFormat="1" hidden="1">
      <c r="A326" s="986" t="s">
        <v>2123</v>
      </c>
      <c r="B326" s="985" t="s">
        <v>2124</v>
      </c>
      <c r="C326" s="900"/>
      <c r="D326" s="956"/>
      <c r="E326" s="956"/>
      <c r="F326" s="956"/>
      <c r="G326" s="956"/>
      <c r="H326" s="956"/>
      <c r="I326" s="956"/>
      <c r="J326" s="956"/>
      <c r="K326" s="956"/>
      <c r="L326" s="956"/>
      <c r="M326" s="956"/>
      <c r="N326" s="956"/>
      <c r="O326" s="956"/>
      <c r="P326" s="900">
        <f t="shared" si="113"/>
        <v>0</v>
      </c>
      <c r="Q326" s="910">
        <f t="shared" si="93"/>
        <v>0</v>
      </c>
      <c r="R326" s="955">
        <f t="shared" si="114"/>
        <v>0</v>
      </c>
      <c r="S326" s="954">
        <f t="shared" si="109"/>
        <v>0</v>
      </c>
      <c r="T326" s="954">
        <f t="shared" si="109"/>
        <v>0</v>
      </c>
      <c r="U326" s="954">
        <f t="shared" si="109"/>
        <v>0</v>
      </c>
      <c r="V326" s="954">
        <f t="shared" si="109"/>
        <v>0</v>
      </c>
      <c r="W326" s="954">
        <f t="shared" si="109"/>
        <v>0</v>
      </c>
      <c r="X326" s="954">
        <f t="shared" si="109"/>
        <v>0</v>
      </c>
      <c r="Y326" s="954">
        <f t="shared" si="98"/>
        <v>0</v>
      </c>
      <c r="Z326" s="954">
        <f t="shared" si="99"/>
        <v>0</v>
      </c>
    </row>
    <row r="327" spans="1:26" s="911" customFormat="1" hidden="1">
      <c r="A327" s="986" t="s">
        <v>2125</v>
      </c>
      <c r="B327" s="985" t="s">
        <v>2126</v>
      </c>
      <c r="C327" s="900"/>
      <c r="D327" s="956"/>
      <c r="E327" s="956"/>
      <c r="F327" s="956"/>
      <c r="G327" s="956"/>
      <c r="H327" s="956"/>
      <c r="I327" s="956"/>
      <c r="J327" s="956"/>
      <c r="K327" s="956"/>
      <c r="L327" s="956"/>
      <c r="M327" s="956"/>
      <c r="N327" s="956"/>
      <c r="O327" s="956"/>
      <c r="P327" s="900">
        <f t="shared" si="113"/>
        <v>0</v>
      </c>
      <c r="Q327" s="910">
        <f t="shared" si="93"/>
        <v>0</v>
      </c>
      <c r="R327" s="955">
        <f t="shared" si="114"/>
        <v>0</v>
      </c>
      <c r="S327" s="954">
        <f t="shared" si="109"/>
        <v>0</v>
      </c>
      <c r="T327" s="954">
        <f t="shared" si="109"/>
        <v>0</v>
      </c>
      <c r="U327" s="954">
        <f t="shared" si="109"/>
        <v>0</v>
      </c>
      <c r="V327" s="954">
        <f t="shared" si="109"/>
        <v>0</v>
      </c>
      <c r="W327" s="954">
        <f t="shared" si="109"/>
        <v>0</v>
      </c>
      <c r="X327" s="954">
        <f t="shared" si="109"/>
        <v>0</v>
      </c>
      <c r="Y327" s="954">
        <f t="shared" si="98"/>
        <v>0</v>
      </c>
      <c r="Z327" s="954">
        <f t="shared" si="99"/>
        <v>0</v>
      </c>
    </row>
    <row r="328" spans="1:26" s="911" customFormat="1" hidden="1">
      <c r="A328" s="986" t="s">
        <v>2127</v>
      </c>
      <c r="B328" s="985" t="s">
        <v>1726</v>
      </c>
      <c r="C328" s="900"/>
      <c r="D328" s="956"/>
      <c r="E328" s="956"/>
      <c r="F328" s="956"/>
      <c r="G328" s="956"/>
      <c r="H328" s="956"/>
      <c r="I328" s="956"/>
      <c r="J328" s="956"/>
      <c r="K328" s="956"/>
      <c r="L328" s="956"/>
      <c r="M328" s="956"/>
      <c r="N328" s="956"/>
      <c r="O328" s="956"/>
      <c r="P328" s="900">
        <f t="shared" si="113"/>
        <v>0</v>
      </c>
      <c r="Q328" s="910">
        <f t="shared" si="93"/>
        <v>0</v>
      </c>
      <c r="R328" s="955">
        <f t="shared" si="114"/>
        <v>0</v>
      </c>
      <c r="S328" s="954">
        <f t="shared" ref="S328:X337" si="115">R328</f>
        <v>0</v>
      </c>
      <c r="T328" s="954">
        <f t="shared" si="115"/>
        <v>0</v>
      </c>
      <c r="U328" s="954">
        <f t="shared" si="115"/>
        <v>0</v>
      </c>
      <c r="V328" s="954">
        <f t="shared" si="115"/>
        <v>0</v>
      </c>
      <c r="W328" s="954">
        <f t="shared" si="115"/>
        <v>0</v>
      </c>
      <c r="X328" s="954">
        <f t="shared" si="115"/>
        <v>0</v>
      </c>
      <c r="Y328" s="954">
        <f t="shared" si="98"/>
        <v>0</v>
      </c>
      <c r="Z328" s="954">
        <f t="shared" si="99"/>
        <v>0</v>
      </c>
    </row>
    <row r="329" spans="1:26" s="911" customFormat="1" hidden="1">
      <c r="A329" s="986" t="s">
        <v>2128</v>
      </c>
      <c r="B329" s="985" t="s">
        <v>2129</v>
      </c>
      <c r="C329" s="900"/>
      <c r="D329" s="956"/>
      <c r="E329" s="956"/>
      <c r="F329" s="956"/>
      <c r="G329" s="956"/>
      <c r="H329" s="956"/>
      <c r="I329" s="956"/>
      <c r="J329" s="956"/>
      <c r="K329" s="956"/>
      <c r="L329" s="956"/>
      <c r="M329" s="956"/>
      <c r="N329" s="956"/>
      <c r="O329" s="956"/>
      <c r="P329" s="900">
        <f t="shared" si="113"/>
        <v>0</v>
      </c>
      <c r="Q329" s="910">
        <f t="shared" si="93"/>
        <v>0</v>
      </c>
      <c r="R329" s="955">
        <f t="shared" si="114"/>
        <v>0</v>
      </c>
      <c r="S329" s="954">
        <f t="shared" si="115"/>
        <v>0</v>
      </c>
      <c r="T329" s="954">
        <f t="shared" si="115"/>
        <v>0</v>
      </c>
      <c r="U329" s="954">
        <f t="shared" si="115"/>
        <v>0</v>
      </c>
      <c r="V329" s="954">
        <f t="shared" si="115"/>
        <v>0</v>
      </c>
      <c r="W329" s="954">
        <f t="shared" si="115"/>
        <v>0</v>
      </c>
      <c r="X329" s="954">
        <f t="shared" si="115"/>
        <v>0</v>
      </c>
      <c r="Y329" s="954">
        <f t="shared" si="98"/>
        <v>0</v>
      </c>
      <c r="Z329" s="954">
        <f t="shared" si="99"/>
        <v>0</v>
      </c>
    </row>
    <row r="330" spans="1:26" s="911" customFormat="1" hidden="1">
      <c r="A330" s="986" t="s">
        <v>2130</v>
      </c>
      <c r="B330" s="985" t="s">
        <v>2131</v>
      </c>
      <c r="C330" s="900"/>
      <c r="D330" s="956"/>
      <c r="E330" s="956"/>
      <c r="F330" s="956"/>
      <c r="G330" s="956"/>
      <c r="H330" s="956"/>
      <c r="I330" s="956"/>
      <c r="J330" s="956"/>
      <c r="K330" s="956"/>
      <c r="L330" s="956"/>
      <c r="M330" s="956"/>
      <c r="N330" s="956"/>
      <c r="O330" s="956"/>
      <c r="P330" s="900">
        <f t="shared" si="113"/>
        <v>0</v>
      </c>
      <c r="Q330" s="910">
        <f t="shared" si="93"/>
        <v>0</v>
      </c>
      <c r="R330" s="955">
        <f t="shared" si="114"/>
        <v>0</v>
      </c>
      <c r="S330" s="954">
        <f t="shared" si="115"/>
        <v>0</v>
      </c>
      <c r="T330" s="954">
        <f t="shared" si="115"/>
        <v>0</v>
      </c>
      <c r="U330" s="954">
        <f t="shared" si="115"/>
        <v>0</v>
      </c>
      <c r="V330" s="954">
        <f t="shared" si="115"/>
        <v>0</v>
      </c>
      <c r="W330" s="954">
        <f t="shared" si="115"/>
        <v>0</v>
      </c>
      <c r="X330" s="954">
        <f t="shared" si="115"/>
        <v>0</v>
      </c>
      <c r="Y330" s="954">
        <f t="shared" si="98"/>
        <v>0</v>
      </c>
      <c r="Z330" s="954">
        <f t="shared" si="99"/>
        <v>0</v>
      </c>
    </row>
    <row r="331" spans="1:26" s="911" customFormat="1">
      <c r="A331" s="984">
        <v>6612</v>
      </c>
      <c r="B331" s="983" t="s">
        <v>2132</v>
      </c>
      <c r="C331" s="900"/>
      <c r="D331" s="956">
        <v>0</v>
      </c>
      <c r="E331" s="956">
        <v>0</v>
      </c>
      <c r="F331" s="956">
        <v>0</v>
      </c>
      <c r="G331" s="956">
        <v>0</v>
      </c>
      <c r="H331" s="956">
        <v>0</v>
      </c>
      <c r="I331" s="956">
        <v>0</v>
      </c>
      <c r="J331" s="956">
        <v>0</v>
      </c>
      <c r="K331" s="956">
        <v>0</v>
      </c>
      <c r="L331" s="956">
        <v>0</v>
      </c>
      <c r="M331" s="956">
        <v>0</v>
      </c>
      <c r="N331" s="956">
        <v>0</v>
      </c>
      <c r="O331" s="956">
        <v>0</v>
      </c>
      <c r="P331" s="900">
        <f>SUM(D331:O331)</f>
        <v>0</v>
      </c>
      <c r="Q331" s="910">
        <f t="shared" si="93"/>
        <v>0</v>
      </c>
      <c r="R331" s="936">
        <f>P331/5</f>
        <v>0</v>
      </c>
      <c r="S331" s="954">
        <f t="shared" si="115"/>
        <v>0</v>
      </c>
      <c r="T331" s="954">
        <f t="shared" si="115"/>
        <v>0</v>
      </c>
      <c r="U331" s="954">
        <f t="shared" si="115"/>
        <v>0</v>
      </c>
      <c r="V331" s="954">
        <f t="shared" si="115"/>
        <v>0</v>
      </c>
      <c r="W331" s="954">
        <f t="shared" si="115"/>
        <v>0</v>
      </c>
      <c r="X331" s="954">
        <f t="shared" si="115"/>
        <v>0</v>
      </c>
      <c r="Y331" s="954">
        <f t="shared" si="98"/>
        <v>0</v>
      </c>
      <c r="Z331" s="954">
        <f t="shared" si="99"/>
        <v>0</v>
      </c>
    </row>
    <row r="332" spans="1:26" ht="13.5">
      <c r="A332" s="945">
        <v>662</v>
      </c>
      <c r="B332" s="944" t="s">
        <v>2133</v>
      </c>
      <c r="C332" s="908">
        <f t="shared" ref="C332:L332" si="116">SUM(C333:C335)</f>
        <v>0</v>
      </c>
      <c r="D332" s="943">
        <f t="shared" si="116"/>
        <v>0</v>
      </c>
      <c r="E332" s="908">
        <f t="shared" si="116"/>
        <v>0</v>
      </c>
      <c r="F332" s="908">
        <f t="shared" si="116"/>
        <v>0</v>
      </c>
      <c r="G332" s="908">
        <f t="shared" si="116"/>
        <v>0</v>
      </c>
      <c r="H332" s="908">
        <f t="shared" si="116"/>
        <v>0</v>
      </c>
      <c r="I332" s="908">
        <f t="shared" si="116"/>
        <v>0</v>
      </c>
      <c r="J332" s="908">
        <f t="shared" si="116"/>
        <v>0</v>
      </c>
      <c r="K332" s="908">
        <f t="shared" si="116"/>
        <v>0</v>
      </c>
      <c r="L332" s="908">
        <f t="shared" si="116"/>
        <v>0</v>
      </c>
      <c r="M332" s="908">
        <f>SUM(M333:M335)</f>
        <v>0</v>
      </c>
      <c r="N332" s="908">
        <f>SUM(N333:N335)</f>
        <v>0</v>
      </c>
      <c r="O332" s="908">
        <f>SUM(O333:O335)</f>
        <v>0</v>
      </c>
      <c r="P332" s="908">
        <f>SUM(D332:O332)</f>
        <v>0</v>
      </c>
      <c r="Q332" s="909">
        <f t="shared" si="93"/>
        <v>0</v>
      </c>
      <c r="R332" s="936"/>
      <c r="S332" s="935">
        <f t="shared" si="115"/>
        <v>0</v>
      </c>
      <c r="T332" s="935">
        <f t="shared" si="115"/>
        <v>0</v>
      </c>
      <c r="U332" s="935">
        <f t="shared" si="115"/>
        <v>0</v>
      </c>
      <c r="V332" s="935">
        <f t="shared" si="115"/>
        <v>0</v>
      </c>
      <c r="W332" s="935">
        <f t="shared" si="115"/>
        <v>0</v>
      </c>
      <c r="X332" s="935">
        <f t="shared" si="115"/>
        <v>0</v>
      </c>
      <c r="Y332" s="935">
        <f t="shared" si="98"/>
        <v>0</v>
      </c>
      <c r="Z332" s="935">
        <f t="shared" si="99"/>
        <v>0</v>
      </c>
    </row>
    <row r="333" spans="1:26">
      <c r="A333" s="939">
        <v>6621</v>
      </c>
      <c r="B333" s="938" t="s">
        <v>2134</v>
      </c>
      <c r="C333" s="897"/>
      <c r="D333" s="937">
        <v>0</v>
      </c>
      <c r="E333" s="937">
        <v>0</v>
      </c>
      <c r="F333" s="897">
        <v>0</v>
      </c>
      <c r="G333" s="897">
        <v>0</v>
      </c>
      <c r="H333" s="897">
        <v>0</v>
      </c>
      <c r="I333" s="897">
        <v>0</v>
      </c>
      <c r="J333" s="897">
        <v>0</v>
      </c>
      <c r="K333" s="897">
        <v>0</v>
      </c>
      <c r="L333" s="897">
        <v>0</v>
      </c>
      <c r="M333" s="897">
        <v>0</v>
      </c>
      <c r="N333" s="897"/>
      <c r="O333" s="897">
        <v>0</v>
      </c>
      <c r="P333" s="900">
        <f>SUM(D333:O333)</f>
        <v>0</v>
      </c>
      <c r="Q333" s="898">
        <f t="shared" si="93"/>
        <v>0</v>
      </c>
      <c r="R333" s="936"/>
      <c r="S333" s="935">
        <f t="shared" si="115"/>
        <v>0</v>
      </c>
      <c r="T333" s="935">
        <f t="shared" si="115"/>
        <v>0</v>
      </c>
      <c r="U333" s="935">
        <f t="shared" si="115"/>
        <v>0</v>
      </c>
      <c r="V333" s="935">
        <f t="shared" si="115"/>
        <v>0</v>
      </c>
      <c r="W333" s="935">
        <f t="shared" si="115"/>
        <v>0</v>
      </c>
      <c r="X333" s="935">
        <f t="shared" si="115"/>
        <v>0</v>
      </c>
      <c r="Y333" s="935">
        <f t="shared" si="98"/>
        <v>0</v>
      </c>
      <c r="Z333" s="935">
        <f t="shared" si="99"/>
        <v>0</v>
      </c>
    </row>
    <row r="334" spans="1:26">
      <c r="A334" s="939">
        <v>6622</v>
      </c>
      <c r="B334" s="977" t="s">
        <v>2135</v>
      </c>
      <c r="C334" s="897"/>
      <c r="D334" s="937">
        <v>0</v>
      </c>
      <c r="E334" s="937">
        <v>0</v>
      </c>
      <c r="F334" s="897">
        <v>0</v>
      </c>
      <c r="G334" s="897">
        <v>0</v>
      </c>
      <c r="H334" s="897"/>
      <c r="I334" s="897"/>
      <c r="J334" s="897"/>
      <c r="K334" s="897">
        <v>0</v>
      </c>
      <c r="L334" s="897">
        <v>0</v>
      </c>
      <c r="M334" s="897">
        <v>0</v>
      </c>
      <c r="N334" s="897"/>
      <c r="O334" s="897">
        <v>0</v>
      </c>
      <c r="P334" s="900">
        <f>SUM(D334:O334)</f>
        <v>0</v>
      </c>
      <c r="Q334" s="898">
        <f t="shared" si="93"/>
        <v>0</v>
      </c>
      <c r="R334" s="936"/>
      <c r="S334" s="935">
        <f t="shared" si="115"/>
        <v>0</v>
      </c>
      <c r="T334" s="935">
        <f t="shared" si="115"/>
        <v>0</v>
      </c>
      <c r="U334" s="935">
        <f t="shared" si="115"/>
        <v>0</v>
      </c>
      <c r="V334" s="935">
        <f t="shared" si="115"/>
        <v>0</v>
      </c>
      <c r="W334" s="935">
        <f t="shared" si="115"/>
        <v>0</v>
      </c>
      <c r="X334" s="935">
        <f t="shared" si="115"/>
        <v>0</v>
      </c>
      <c r="Y334" s="935">
        <f t="shared" si="98"/>
        <v>0</v>
      </c>
      <c r="Z334" s="935">
        <f t="shared" si="99"/>
        <v>0</v>
      </c>
    </row>
    <row r="335" spans="1:26">
      <c r="A335" s="980">
        <v>6623</v>
      </c>
      <c r="B335" s="973" t="s">
        <v>2136</v>
      </c>
      <c r="C335" s="971"/>
      <c r="D335" s="972">
        <v>0</v>
      </c>
      <c r="E335" s="972">
        <v>0</v>
      </c>
      <c r="F335" s="971">
        <v>0</v>
      </c>
      <c r="G335" s="971">
        <v>0</v>
      </c>
      <c r="H335" s="971">
        <v>0</v>
      </c>
      <c r="I335" s="971">
        <v>0</v>
      </c>
      <c r="J335" s="971">
        <v>0</v>
      </c>
      <c r="K335" s="971">
        <v>0</v>
      </c>
      <c r="L335" s="971">
        <v>0</v>
      </c>
      <c r="M335" s="971">
        <v>0</v>
      </c>
      <c r="N335" s="971"/>
      <c r="O335" s="971">
        <v>0</v>
      </c>
      <c r="P335" s="1072">
        <f>SUM(D335:O335)</f>
        <v>0</v>
      </c>
      <c r="Q335" s="970">
        <f t="shared" si="93"/>
        <v>0</v>
      </c>
      <c r="R335" s="936"/>
      <c r="S335" s="935">
        <f t="shared" si="115"/>
        <v>0</v>
      </c>
      <c r="T335" s="935">
        <f t="shared" si="115"/>
        <v>0</v>
      </c>
      <c r="U335" s="935">
        <f t="shared" si="115"/>
        <v>0</v>
      </c>
      <c r="V335" s="935">
        <f t="shared" si="115"/>
        <v>0</v>
      </c>
      <c r="W335" s="935">
        <f t="shared" si="115"/>
        <v>0</v>
      </c>
      <c r="X335" s="935">
        <f t="shared" si="115"/>
        <v>0</v>
      </c>
      <c r="Y335" s="935">
        <f t="shared" si="98"/>
        <v>0</v>
      </c>
      <c r="Z335" s="935">
        <f t="shared" si="99"/>
        <v>0</v>
      </c>
    </row>
    <row r="336" spans="1:26" hidden="1">
      <c r="A336" s="976">
        <v>663</v>
      </c>
      <c r="B336" s="975" t="s">
        <v>2137</v>
      </c>
      <c r="C336" s="897"/>
      <c r="D336" s="937">
        <f>C336/12</f>
        <v>0</v>
      </c>
      <c r="E336" s="897">
        <f>D336/12</f>
        <v>0</v>
      </c>
      <c r="F336" s="897">
        <f>E336/12</f>
        <v>0</v>
      </c>
      <c r="G336" s="897">
        <f>F336/12</f>
        <v>0</v>
      </c>
      <c r="H336" s="897">
        <f>G336/12</f>
        <v>0</v>
      </c>
      <c r="I336" s="897"/>
      <c r="J336" s="897"/>
      <c r="K336" s="897"/>
      <c r="L336" s="897"/>
      <c r="M336" s="897"/>
      <c r="N336" s="897"/>
      <c r="O336" s="897"/>
      <c r="P336" s="897">
        <f>SUM(D336:H336)</f>
        <v>0</v>
      </c>
      <c r="Q336" s="898">
        <f t="shared" si="93"/>
        <v>0</v>
      </c>
      <c r="R336" s="936">
        <f>Q336/7</f>
        <v>0</v>
      </c>
      <c r="S336" s="935">
        <f t="shared" si="115"/>
        <v>0</v>
      </c>
      <c r="T336" s="935">
        <f t="shared" si="115"/>
        <v>0</v>
      </c>
      <c r="U336" s="935">
        <f t="shared" si="115"/>
        <v>0</v>
      </c>
      <c r="V336" s="935">
        <f t="shared" si="115"/>
        <v>0</v>
      </c>
      <c r="W336" s="935">
        <f t="shared" si="115"/>
        <v>0</v>
      </c>
      <c r="X336" s="935">
        <f t="shared" si="115"/>
        <v>0</v>
      </c>
      <c r="Y336" s="935">
        <f t="shared" si="98"/>
        <v>0</v>
      </c>
      <c r="Z336" s="935">
        <f t="shared" si="99"/>
        <v>0</v>
      </c>
    </row>
    <row r="337" spans="1:26">
      <c r="A337" s="976">
        <v>669</v>
      </c>
      <c r="B337" s="975" t="s">
        <v>2138</v>
      </c>
      <c r="C337" s="897">
        <f t="shared" ref="C337:M337" si="117">C338</f>
        <v>0</v>
      </c>
      <c r="D337" s="937">
        <f>D338</f>
        <v>0</v>
      </c>
      <c r="E337" s="897">
        <f t="shared" si="117"/>
        <v>0</v>
      </c>
      <c r="F337" s="897">
        <f t="shared" si="117"/>
        <v>0</v>
      </c>
      <c r="G337" s="897">
        <f t="shared" si="117"/>
        <v>0</v>
      </c>
      <c r="H337" s="897">
        <f t="shared" si="117"/>
        <v>0</v>
      </c>
      <c r="I337" s="897">
        <f t="shared" si="117"/>
        <v>0</v>
      </c>
      <c r="J337" s="897">
        <f t="shared" si="117"/>
        <v>0</v>
      </c>
      <c r="K337" s="897">
        <f t="shared" si="117"/>
        <v>0</v>
      </c>
      <c r="L337" s="897">
        <f t="shared" si="117"/>
        <v>0</v>
      </c>
      <c r="M337" s="897">
        <f t="shared" si="117"/>
        <v>0</v>
      </c>
      <c r="N337" s="897">
        <f>N338</f>
        <v>0</v>
      </c>
      <c r="O337" s="897">
        <f>O338</f>
        <v>0</v>
      </c>
      <c r="P337" s="897">
        <f>P338</f>
        <v>0</v>
      </c>
      <c r="Q337" s="898">
        <f t="shared" ref="Q337:Q394" si="118">C337-P337</f>
        <v>0</v>
      </c>
      <c r="R337" s="937">
        <f>R338</f>
        <v>0</v>
      </c>
      <c r="S337" s="935">
        <f t="shared" si="115"/>
        <v>0</v>
      </c>
      <c r="T337" s="935">
        <f t="shared" si="115"/>
        <v>0</v>
      </c>
      <c r="U337" s="935">
        <f t="shared" si="115"/>
        <v>0</v>
      </c>
      <c r="V337" s="935">
        <f t="shared" si="115"/>
        <v>0</v>
      </c>
      <c r="W337" s="935">
        <f t="shared" si="115"/>
        <v>0</v>
      </c>
      <c r="X337" s="935">
        <f t="shared" si="115"/>
        <v>0</v>
      </c>
      <c r="Y337" s="935">
        <f t="shared" si="98"/>
        <v>0</v>
      </c>
      <c r="Z337" s="935">
        <f t="shared" si="99"/>
        <v>0</v>
      </c>
    </row>
    <row r="338" spans="1:26">
      <c r="A338" s="978">
        <v>6691</v>
      </c>
      <c r="B338" s="977" t="s">
        <v>2139</v>
      </c>
      <c r="C338" s="897"/>
      <c r="D338" s="937">
        <v>0</v>
      </c>
      <c r="E338" s="937">
        <v>0</v>
      </c>
      <c r="F338" s="937">
        <v>0</v>
      </c>
      <c r="G338" s="937">
        <v>0</v>
      </c>
      <c r="H338" s="937">
        <v>0</v>
      </c>
      <c r="I338" s="937">
        <v>0</v>
      </c>
      <c r="J338" s="937">
        <v>0</v>
      </c>
      <c r="K338" s="937">
        <v>0</v>
      </c>
      <c r="L338" s="937">
        <v>0</v>
      </c>
      <c r="M338" s="937">
        <v>0</v>
      </c>
      <c r="N338" s="937">
        <v>0</v>
      </c>
      <c r="O338" s="937">
        <v>0</v>
      </c>
      <c r="P338" s="897">
        <f>SUM(D338:O338)</f>
        <v>0</v>
      </c>
      <c r="Q338" s="898">
        <f t="shared" si="118"/>
        <v>0</v>
      </c>
      <c r="R338" s="936">
        <f>P338/5</f>
        <v>0</v>
      </c>
      <c r="S338" s="935">
        <f t="shared" ref="S338:X347" si="119">R338</f>
        <v>0</v>
      </c>
      <c r="T338" s="935">
        <f t="shared" si="119"/>
        <v>0</v>
      </c>
      <c r="U338" s="935">
        <f t="shared" si="119"/>
        <v>0</v>
      </c>
      <c r="V338" s="935">
        <f t="shared" si="119"/>
        <v>0</v>
      </c>
      <c r="W338" s="935">
        <f t="shared" si="119"/>
        <v>0</v>
      </c>
      <c r="X338" s="935">
        <f t="shared" si="119"/>
        <v>0</v>
      </c>
      <c r="Y338" s="935">
        <f t="shared" si="98"/>
        <v>0</v>
      </c>
      <c r="Z338" s="935">
        <f t="shared" si="99"/>
        <v>0</v>
      </c>
    </row>
    <row r="339" spans="1:26" ht="13.5">
      <c r="A339" s="945">
        <v>69</v>
      </c>
      <c r="B339" s="944" t="s">
        <v>2140</v>
      </c>
      <c r="C339" s="908">
        <f t="shared" ref="C339:P340" si="120">C340</f>
        <v>0</v>
      </c>
      <c r="D339" s="943">
        <f t="shared" si="120"/>
        <v>0</v>
      </c>
      <c r="E339" s="908">
        <f t="shared" si="120"/>
        <v>0</v>
      </c>
      <c r="F339" s="908">
        <f t="shared" si="120"/>
        <v>0</v>
      </c>
      <c r="G339" s="908">
        <f t="shared" si="120"/>
        <v>0</v>
      </c>
      <c r="H339" s="908">
        <f t="shared" si="120"/>
        <v>0</v>
      </c>
      <c r="I339" s="908">
        <f t="shared" si="120"/>
        <v>0</v>
      </c>
      <c r="J339" s="908">
        <f t="shared" si="120"/>
        <v>0</v>
      </c>
      <c r="K339" s="908">
        <f t="shared" si="120"/>
        <v>0</v>
      </c>
      <c r="L339" s="908">
        <f t="shared" si="120"/>
        <v>0</v>
      </c>
      <c r="M339" s="908">
        <f t="shared" si="120"/>
        <v>0</v>
      </c>
      <c r="N339" s="908">
        <f t="shared" si="120"/>
        <v>0</v>
      </c>
      <c r="O339" s="908">
        <f t="shared" si="120"/>
        <v>0</v>
      </c>
      <c r="P339" s="908">
        <f t="shared" si="120"/>
        <v>0</v>
      </c>
      <c r="Q339" s="909">
        <f t="shared" si="118"/>
        <v>0</v>
      </c>
      <c r="R339" s="943">
        <f>R340</f>
        <v>0</v>
      </c>
      <c r="S339" s="941">
        <f t="shared" si="119"/>
        <v>0</v>
      </c>
      <c r="T339" s="941">
        <f t="shared" si="119"/>
        <v>0</v>
      </c>
      <c r="U339" s="941">
        <f t="shared" si="119"/>
        <v>0</v>
      </c>
      <c r="V339" s="941">
        <f t="shared" si="119"/>
        <v>0</v>
      </c>
      <c r="W339" s="941">
        <f t="shared" si="119"/>
        <v>0</v>
      </c>
      <c r="X339" s="941">
        <f t="shared" si="119"/>
        <v>0</v>
      </c>
      <c r="Y339" s="941">
        <f t="shared" si="98"/>
        <v>0</v>
      </c>
      <c r="Z339" s="941">
        <f t="shared" si="99"/>
        <v>0</v>
      </c>
    </row>
    <row r="340" spans="1:26">
      <c r="A340" s="976">
        <v>691</v>
      </c>
      <c r="B340" s="975" t="s">
        <v>2141</v>
      </c>
      <c r="C340" s="897">
        <f t="shared" si="120"/>
        <v>0</v>
      </c>
      <c r="D340" s="897">
        <f t="shared" si="120"/>
        <v>0</v>
      </c>
      <c r="E340" s="897">
        <f t="shared" si="120"/>
        <v>0</v>
      </c>
      <c r="F340" s="897">
        <f t="shared" si="120"/>
        <v>0</v>
      </c>
      <c r="G340" s="897">
        <f t="shared" si="120"/>
        <v>0</v>
      </c>
      <c r="H340" s="897">
        <f t="shared" si="120"/>
        <v>0</v>
      </c>
      <c r="I340" s="897">
        <f t="shared" si="120"/>
        <v>0</v>
      </c>
      <c r="J340" s="897">
        <f t="shared" si="120"/>
        <v>0</v>
      </c>
      <c r="K340" s="897">
        <f t="shared" si="120"/>
        <v>0</v>
      </c>
      <c r="L340" s="897">
        <f t="shared" si="120"/>
        <v>0</v>
      </c>
      <c r="M340" s="897">
        <f t="shared" si="120"/>
        <v>0</v>
      </c>
      <c r="N340" s="897">
        <f t="shared" si="120"/>
        <v>0</v>
      </c>
      <c r="O340" s="897">
        <f t="shared" si="120"/>
        <v>0</v>
      </c>
      <c r="P340" s="897">
        <f t="shared" si="120"/>
        <v>0</v>
      </c>
      <c r="Q340" s="898">
        <f t="shared" si="118"/>
        <v>0</v>
      </c>
      <c r="R340" s="937">
        <f>R341</f>
        <v>0</v>
      </c>
      <c r="S340" s="979">
        <f t="shared" si="119"/>
        <v>0</v>
      </c>
      <c r="T340" s="979">
        <f t="shared" si="119"/>
        <v>0</v>
      </c>
      <c r="U340" s="979">
        <f t="shared" si="119"/>
        <v>0</v>
      </c>
      <c r="V340" s="979">
        <f t="shared" si="119"/>
        <v>0</v>
      </c>
      <c r="W340" s="979">
        <f t="shared" si="119"/>
        <v>0</v>
      </c>
      <c r="X340" s="979">
        <f t="shared" si="119"/>
        <v>0</v>
      </c>
      <c r="Y340" s="979">
        <f t="shared" si="98"/>
        <v>0</v>
      </c>
      <c r="Z340" s="979">
        <f t="shared" si="99"/>
        <v>0</v>
      </c>
    </row>
    <row r="341" spans="1:26">
      <c r="A341" s="978">
        <v>6911</v>
      </c>
      <c r="B341" s="977" t="s">
        <v>2142</v>
      </c>
      <c r="C341" s="897"/>
      <c r="D341" s="937">
        <v>0</v>
      </c>
      <c r="E341" s="937">
        <v>0</v>
      </c>
      <c r="F341" s="897">
        <v>0</v>
      </c>
      <c r="G341" s="897"/>
      <c r="H341" s="897"/>
      <c r="I341" s="897"/>
      <c r="J341" s="897"/>
      <c r="K341" s="897"/>
      <c r="L341" s="897">
        <v>0</v>
      </c>
      <c r="M341" s="897">
        <v>0</v>
      </c>
      <c r="N341" s="897">
        <v>0</v>
      </c>
      <c r="O341" s="897"/>
      <c r="P341" s="897">
        <f>SUM(D341:O341)</f>
        <v>0</v>
      </c>
      <c r="Q341" s="898">
        <f t="shared" si="118"/>
        <v>0</v>
      </c>
      <c r="R341" s="936">
        <f>P341/5</f>
        <v>0</v>
      </c>
      <c r="S341" s="935">
        <f t="shared" si="119"/>
        <v>0</v>
      </c>
      <c r="T341" s="935">
        <f t="shared" si="119"/>
        <v>0</v>
      </c>
      <c r="U341" s="935">
        <f t="shared" si="119"/>
        <v>0</v>
      </c>
      <c r="V341" s="935">
        <f t="shared" si="119"/>
        <v>0</v>
      </c>
      <c r="W341" s="935">
        <f t="shared" si="119"/>
        <v>0</v>
      </c>
      <c r="X341" s="935">
        <f t="shared" si="119"/>
        <v>0</v>
      </c>
      <c r="Y341" s="935">
        <f t="shared" si="98"/>
        <v>0</v>
      </c>
      <c r="Z341" s="935">
        <f t="shared" si="99"/>
        <v>0</v>
      </c>
    </row>
    <row r="342" spans="1:26">
      <c r="A342" s="976">
        <v>692</v>
      </c>
      <c r="B342" s="975" t="s">
        <v>2143</v>
      </c>
      <c r="C342" s="897"/>
      <c r="D342" s="937">
        <f t="shared" ref="D342:K343" si="121">C342/12</f>
        <v>0</v>
      </c>
      <c r="E342" s="897">
        <f t="shared" si="121"/>
        <v>0</v>
      </c>
      <c r="F342" s="897">
        <f t="shared" si="121"/>
        <v>0</v>
      </c>
      <c r="G342" s="897">
        <f t="shared" si="121"/>
        <v>0</v>
      </c>
      <c r="H342" s="897">
        <f t="shared" si="121"/>
        <v>0</v>
      </c>
      <c r="I342" s="897">
        <f t="shared" si="121"/>
        <v>0</v>
      </c>
      <c r="J342" s="897">
        <f t="shared" si="121"/>
        <v>0</v>
      </c>
      <c r="K342" s="897">
        <f t="shared" si="121"/>
        <v>0</v>
      </c>
      <c r="L342" s="897">
        <v>0</v>
      </c>
      <c r="M342" s="897">
        <v>0</v>
      </c>
      <c r="N342" s="897">
        <v>0</v>
      </c>
      <c r="O342" s="897">
        <v>0</v>
      </c>
      <c r="P342" s="897">
        <f>SUM(D342:O342)</f>
        <v>0</v>
      </c>
      <c r="Q342" s="898">
        <f t="shared" si="118"/>
        <v>0</v>
      </c>
      <c r="R342" s="936">
        <f>Q342/7</f>
        <v>0</v>
      </c>
      <c r="S342" s="935">
        <f t="shared" si="119"/>
        <v>0</v>
      </c>
      <c r="T342" s="935">
        <f t="shared" si="119"/>
        <v>0</v>
      </c>
      <c r="U342" s="935">
        <f t="shared" si="119"/>
        <v>0</v>
      </c>
      <c r="V342" s="935">
        <f t="shared" si="119"/>
        <v>0</v>
      </c>
      <c r="W342" s="935">
        <f t="shared" si="119"/>
        <v>0</v>
      </c>
      <c r="X342" s="935">
        <f t="shared" si="119"/>
        <v>0</v>
      </c>
      <c r="Y342" s="935">
        <f t="shared" si="98"/>
        <v>0</v>
      </c>
      <c r="Z342" s="935">
        <f t="shared" si="99"/>
        <v>0</v>
      </c>
    </row>
    <row r="343" spans="1:26">
      <c r="A343" s="974">
        <v>6921</v>
      </c>
      <c r="B343" s="973" t="s">
        <v>2144</v>
      </c>
      <c r="C343" s="971"/>
      <c r="D343" s="972">
        <f t="shared" si="121"/>
        <v>0</v>
      </c>
      <c r="E343" s="971">
        <f t="shared" si="121"/>
        <v>0</v>
      </c>
      <c r="F343" s="971">
        <f t="shared" si="121"/>
        <v>0</v>
      </c>
      <c r="G343" s="971">
        <f t="shared" si="121"/>
        <v>0</v>
      </c>
      <c r="H343" s="971">
        <f t="shared" si="121"/>
        <v>0</v>
      </c>
      <c r="I343" s="971">
        <f t="shared" si="121"/>
        <v>0</v>
      </c>
      <c r="J343" s="971">
        <f t="shared" si="121"/>
        <v>0</v>
      </c>
      <c r="K343" s="971">
        <f t="shared" si="121"/>
        <v>0</v>
      </c>
      <c r="L343" s="971">
        <f>K343/12</f>
        <v>0</v>
      </c>
      <c r="M343" s="897">
        <v>0</v>
      </c>
      <c r="N343" s="897">
        <v>0</v>
      </c>
      <c r="O343" s="897">
        <v>0</v>
      </c>
      <c r="P343" s="897">
        <f>SUM(D343:O343)</f>
        <v>0</v>
      </c>
      <c r="Q343" s="970">
        <f t="shared" si="118"/>
        <v>0</v>
      </c>
      <c r="R343" s="936">
        <f>Q343/7</f>
        <v>0</v>
      </c>
      <c r="S343" s="935">
        <f t="shared" si="119"/>
        <v>0</v>
      </c>
      <c r="T343" s="935">
        <f t="shared" si="119"/>
        <v>0</v>
      </c>
      <c r="U343" s="935">
        <f t="shared" si="119"/>
        <v>0</v>
      </c>
      <c r="V343" s="935">
        <f t="shared" si="119"/>
        <v>0</v>
      </c>
      <c r="W343" s="935">
        <f t="shared" si="119"/>
        <v>0</v>
      </c>
      <c r="X343" s="935">
        <f t="shared" si="119"/>
        <v>0</v>
      </c>
      <c r="Y343" s="935">
        <f t="shared" si="98"/>
        <v>0</v>
      </c>
      <c r="Z343" s="935">
        <f t="shared" si="99"/>
        <v>0</v>
      </c>
    </row>
    <row r="344" spans="1:26">
      <c r="A344" s="969" t="s">
        <v>2145</v>
      </c>
      <c r="B344" s="968" t="s">
        <v>2146</v>
      </c>
      <c r="C344" s="966">
        <f t="shared" ref="C344:P345" si="122">C345</f>
        <v>0</v>
      </c>
      <c r="D344" s="967">
        <f t="shared" si="122"/>
        <v>0</v>
      </c>
      <c r="E344" s="966">
        <f t="shared" si="122"/>
        <v>0</v>
      </c>
      <c r="F344" s="966">
        <f t="shared" si="122"/>
        <v>0</v>
      </c>
      <c r="G344" s="966">
        <f t="shared" si="122"/>
        <v>0</v>
      </c>
      <c r="H344" s="966">
        <f t="shared" si="122"/>
        <v>0</v>
      </c>
      <c r="I344" s="966">
        <f t="shared" si="122"/>
        <v>0</v>
      </c>
      <c r="J344" s="966">
        <f t="shared" si="122"/>
        <v>0</v>
      </c>
      <c r="K344" s="966">
        <f t="shared" si="122"/>
        <v>0</v>
      </c>
      <c r="L344" s="966">
        <f t="shared" si="122"/>
        <v>0</v>
      </c>
      <c r="M344" s="966">
        <f t="shared" si="122"/>
        <v>0</v>
      </c>
      <c r="N344" s="966">
        <f t="shared" si="122"/>
        <v>0</v>
      </c>
      <c r="O344" s="966">
        <f t="shared" si="122"/>
        <v>0</v>
      </c>
      <c r="P344" s="966">
        <f t="shared" si="122"/>
        <v>0</v>
      </c>
      <c r="Q344" s="965">
        <f t="shared" si="118"/>
        <v>0</v>
      </c>
      <c r="R344" s="947">
        <f>R345</f>
        <v>0</v>
      </c>
      <c r="S344" s="946">
        <f t="shared" si="119"/>
        <v>0</v>
      </c>
      <c r="T344" s="946">
        <f t="shared" si="119"/>
        <v>0</v>
      </c>
      <c r="U344" s="946">
        <f t="shared" si="119"/>
        <v>0</v>
      </c>
      <c r="V344" s="946">
        <f t="shared" si="119"/>
        <v>0</v>
      </c>
      <c r="W344" s="946">
        <f t="shared" si="119"/>
        <v>0</v>
      </c>
      <c r="X344" s="946">
        <f t="shared" si="119"/>
        <v>0</v>
      </c>
      <c r="Y344" s="946">
        <f t="shared" si="98"/>
        <v>0</v>
      </c>
      <c r="Z344" s="946">
        <f t="shared" si="99"/>
        <v>0</v>
      </c>
    </row>
    <row r="345" spans="1:26">
      <c r="A345" s="945">
        <v>65</v>
      </c>
      <c r="B345" s="964" t="s">
        <v>2147</v>
      </c>
      <c r="C345" s="916">
        <f t="shared" si="122"/>
        <v>0</v>
      </c>
      <c r="D345" s="963">
        <f t="shared" si="122"/>
        <v>0</v>
      </c>
      <c r="E345" s="916">
        <f t="shared" si="122"/>
        <v>0</v>
      </c>
      <c r="F345" s="916">
        <f t="shared" si="122"/>
        <v>0</v>
      </c>
      <c r="G345" s="916">
        <f t="shared" si="122"/>
        <v>0</v>
      </c>
      <c r="H345" s="916">
        <f t="shared" si="122"/>
        <v>0</v>
      </c>
      <c r="I345" s="916">
        <f t="shared" si="122"/>
        <v>0</v>
      </c>
      <c r="J345" s="916">
        <f t="shared" si="122"/>
        <v>0</v>
      </c>
      <c r="K345" s="916">
        <f t="shared" si="122"/>
        <v>0</v>
      </c>
      <c r="L345" s="916">
        <f t="shared" si="122"/>
        <v>0</v>
      </c>
      <c r="M345" s="916">
        <f t="shared" si="122"/>
        <v>0</v>
      </c>
      <c r="N345" s="916">
        <f t="shared" si="122"/>
        <v>0</v>
      </c>
      <c r="O345" s="916">
        <f t="shared" si="122"/>
        <v>0</v>
      </c>
      <c r="P345" s="916">
        <f t="shared" si="122"/>
        <v>0</v>
      </c>
      <c r="Q345" s="917">
        <f t="shared" si="118"/>
        <v>0</v>
      </c>
      <c r="R345" s="962"/>
      <c r="S345" s="961">
        <f t="shared" si="119"/>
        <v>0</v>
      </c>
      <c r="T345" s="961">
        <f t="shared" si="119"/>
        <v>0</v>
      </c>
      <c r="U345" s="961">
        <f t="shared" si="119"/>
        <v>0</v>
      </c>
      <c r="V345" s="961">
        <f t="shared" si="119"/>
        <v>0</v>
      </c>
      <c r="W345" s="961">
        <f t="shared" si="119"/>
        <v>0</v>
      </c>
      <c r="X345" s="961">
        <f t="shared" si="119"/>
        <v>0</v>
      </c>
      <c r="Y345" s="961">
        <f t="shared" si="98"/>
        <v>0</v>
      </c>
      <c r="Z345" s="961">
        <f t="shared" si="99"/>
        <v>0</v>
      </c>
    </row>
    <row r="346" spans="1:26" ht="13.5">
      <c r="A346" s="945">
        <v>651</v>
      </c>
      <c r="B346" s="944" t="s">
        <v>2148</v>
      </c>
      <c r="C346" s="908">
        <f t="shared" ref="C346:P346" si="123">SUM(C347:C352)</f>
        <v>0</v>
      </c>
      <c r="D346" s="943">
        <f t="shared" si="123"/>
        <v>0</v>
      </c>
      <c r="E346" s="908">
        <f t="shared" si="123"/>
        <v>0</v>
      </c>
      <c r="F346" s="908">
        <f t="shared" si="123"/>
        <v>0</v>
      </c>
      <c r="G346" s="908">
        <f t="shared" si="123"/>
        <v>0</v>
      </c>
      <c r="H346" s="908">
        <f t="shared" si="123"/>
        <v>0</v>
      </c>
      <c r="I346" s="908">
        <f t="shared" si="123"/>
        <v>0</v>
      </c>
      <c r="J346" s="908">
        <f t="shared" si="123"/>
        <v>0</v>
      </c>
      <c r="K346" s="908">
        <f t="shared" si="123"/>
        <v>0</v>
      </c>
      <c r="L346" s="908">
        <f t="shared" si="123"/>
        <v>0</v>
      </c>
      <c r="M346" s="908">
        <f t="shared" si="123"/>
        <v>0</v>
      </c>
      <c r="N346" s="908">
        <f t="shared" si="123"/>
        <v>0</v>
      </c>
      <c r="O346" s="908">
        <f t="shared" si="123"/>
        <v>0</v>
      </c>
      <c r="P346" s="908">
        <f t="shared" si="123"/>
        <v>0</v>
      </c>
      <c r="Q346" s="909">
        <f t="shared" si="118"/>
        <v>0</v>
      </c>
      <c r="R346" s="960"/>
      <c r="S346" s="959">
        <f t="shared" si="119"/>
        <v>0</v>
      </c>
      <c r="T346" s="959">
        <f t="shared" si="119"/>
        <v>0</v>
      </c>
      <c r="U346" s="959">
        <f t="shared" si="119"/>
        <v>0</v>
      </c>
      <c r="V346" s="959">
        <f t="shared" si="119"/>
        <v>0</v>
      </c>
      <c r="W346" s="959">
        <f t="shared" si="119"/>
        <v>0</v>
      </c>
      <c r="X346" s="959">
        <f t="shared" si="119"/>
        <v>0</v>
      </c>
      <c r="Y346" s="959">
        <f t="shared" si="98"/>
        <v>0</v>
      </c>
      <c r="Z346" s="959">
        <f t="shared" si="99"/>
        <v>0</v>
      </c>
    </row>
    <row r="347" spans="1:26">
      <c r="A347" s="939">
        <v>6511</v>
      </c>
      <c r="B347" s="953" t="s">
        <v>2149</v>
      </c>
      <c r="C347" s="897"/>
      <c r="D347" s="937">
        <v>0</v>
      </c>
      <c r="E347" s="937">
        <v>0</v>
      </c>
      <c r="F347" s="897">
        <v>0</v>
      </c>
      <c r="G347" s="897"/>
      <c r="H347" s="897"/>
      <c r="I347" s="897"/>
      <c r="J347" s="897"/>
      <c r="K347" s="897"/>
      <c r="L347" s="897">
        <v>0</v>
      </c>
      <c r="M347" s="897">
        <v>0</v>
      </c>
      <c r="N347" s="897">
        <v>0</v>
      </c>
      <c r="O347" s="897">
        <v>0</v>
      </c>
      <c r="P347" s="897">
        <f t="shared" ref="P347:P352" si="124">SUM(D347:O347)</f>
        <v>0</v>
      </c>
      <c r="Q347" s="898">
        <f t="shared" si="118"/>
        <v>0</v>
      </c>
      <c r="R347" s="936"/>
      <c r="S347" s="935">
        <f t="shared" si="119"/>
        <v>0</v>
      </c>
      <c r="T347" s="935">
        <f t="shared" si="119"/>
        <v>0</v>
      </c>
      <c r="U347" s="935">
        <f t="shared" si="119"/>
        <v>0</v>
      </c>
      <c r="V347" s="935">
        <f t="shared" si="119"/>
        <v>0</v>
      </c>
      <c r="W347" s="935">
        <f t="shared" si="119"/>
        <v>0</v>
      </c>
      <c r="X347" s="935">
        <f t="shared" si="119"/>
        <v>0</v>
      </c>
      <c r="Y347" s="935">
        <f t="shared" si="98"/>
        <v>0</v>
      </c>
      <c r="Z347" s="935">
        <f t="shared" si="99"/>
        <v>0</v>
      </c>
    </row>
    <row r="348" spans="1:26" hidden="1">
      <c r="A348" s="939">
        <v>6512</v>
      </c>
      <c r="B348" s="953" t="s">
        <v>2150</v>
      </c>
      <c r="C348" s="897"/>
      <c r="D348" s="937"/>
      <c r="E348" s="937"/>
      <c r="F348" s="897"/>
      <c r="G348" s="897"/>
      <c r="H348" s="897"/>
      <c r="I348" s="897"/>
      <c r="J348" s="897"/>
      <c r="K348" s="897"/>
      <c r="L348" s="897"/>
      <c r="M348" s="897">
        <v>0</v>
      </c>
      <c r="N348" s="897">
        <v>0</v>
      </c>
      <c r="O348" s="897">
        <v>0</v>
      </c>
      <c r="P348" s="897">
        <f t="shared" si="124"/>
        <v>0</v>
      </c>
      <c r="Q348" s="898">
        <f t="shared" si="118"/>
        <v>0</v>
      </c>
      <c r="R348" s="936"/>
      <c r="S348" s="935">
        <f t="shared" ref="S348:X357" si="125">R348</f>
        <v>0</v>
      </c>
      <c r="T348" s="935">
        <f t="shared" si="125"/>
        <v>0</v>
      </c>
      <c r="U348" s="935">
        <f t="shared" si="125"/>
        <v>0</v>
      </c>
      <c r="V348" s="935">
        <f t="shared" si="125"/>
        <v>0</v>
      </c>
      <c r="W348" s="935">
        <f t="shared" si="125"/>
        <v>0</v>
      </c>
      <c r="X348" s="935">
        <f t="shared" si="125"/>
        <v>0</v>
      </c>
      <c r="Y348" s="935">
        <f t="shared" si="98"/>
        <v>0</v>
      </c>
      <c r="Z348" s="935">
        <f t="shared" si="99"/>
        <v>0</v>
      </c>
    </row>
    <row r="349" spans="1:26" hidden="1">
      <c r="A349" s="939">
        <v>6513</v>
      </c>
      <c r="B349" s="953" t="s">
        <v>2151</v>
      </c>
      <c r="C349" s="897"/>
      <c r="D349" s="937"/>
      <c r="E349" s="937"/>
      <c r="F349" s="897"/>
      <c r="G349" s="897"/>
      <c r="H349" s="897"/>
      <c r="I349" s="897"/>
      <c r="J349" s="897"/>
      <c r="K349" s="897"/>
      <c r="L349" s="897"/>
      <c r="M349" s="897">
        <v>0</v>
      </c>
      <c r="N349" s="897">
        <v>0</v>
      </c>
      <c r="O349" s="897">
        <v>0</v>
      </c>
      <c r="P349" s="897">
        <f t="shared" si="124"/>
        <v>0</v>
      </c>
      <c r="Q349" s="898">
        <f t="shared" si="118"/>
        <v>0</v>
      </c>
      <c r="R349" s="936"/>
      <c r="S349" s="935">
        <f t="shared" si="125"/>
        <v>0</v>
      </c>
      <c r="T349" s="935">
        <f t="shared" si="125"/>
        <v>0</v>
      </c>
      <c r="U349" s="935">
        <f t="shared" si="125"/>
        <v>0</v>
      </c>
      <c r="V349" s="935">
        <f t="shared" si="125"/>
        <v>0</v>
      </c>
      <c r="W349" s="935">
        <f t="shared" si="125"/>
        <v>0</v>
      </c>
      <c r="X349" s="935">
        <f t="shared" si="125"/>
        <v>0</v>
      </c>
      <c r="Y349" s="935">
        <f t="shared" si="98"/>
        <v>0</v>
      </c>
      <c r="Z349" s="935">
        <f t="shared" si="99"/>
        <v>0</v>
      </c>
    </row>
    <row r="350" spans="1:26">
      <c r="A350" s="939">
        <v>6514</v>
      </c>
      <c r="B350" s="953" t="s">
        <v>2152</v>
      </c>
      <c r="C350" s="897"/>
      <c r="D350" s="937">
        <v>0</v>
      </c>
      <c r="E350" s="937">
        <v>0</v>
      </c>
      <c r="F350" s="937">
        <v>0</v>
      </c>
      <c r="G350" s="937"/>
      <c r="H350" s="937"/>
      <c r="I350" s="937"/>
      <c r="J350" s="897"/>
      <c r="K350" s="897"/>
      <c r="L350" s="897"/>
      <c r="M350" s="897"/>
      <c r="N350" s="897"/>
      <c r="O350" s="897"/>
      <c r="P350" s="897">
        <f t="shared" si="124"/>
        <v>0</v>
      </c>
      <c r="Q350" s="898">
        <f t="shared" si="118"/>
        <v>0</v>
      </c>
      <c r="R350" s="936"/>
      <c r="S350" s="935">
        <f t="shared" si="125"/>
        <v>0</v>
      </c>
      <c r="T350" s="935">
        <f t="shared" si="125"/>
        <v>0</v>
      </c>
      <c r="U350" s="935">
        <f t="shared" si="125"/>
        <v>0</v>
      </c>
      <c r="V350" s="935">
        <f t="shared" si="125"/>
        <v>0</v>
      </c>
      <c r="W350" s="935">
        <f t="shared" si="125"/>
        <v>0</v>
      </c>
      <c r="X350" s="935">
        <f t="shared" si="125"/>
        <v>0</v>
      </c>
      <c r="Y350" s="935">
        <f t="shared" si="98"/>
        <v>0</v>
      </c>
      <c r="Z350" s="935">
        <f t="shared" si="99"/>
        <v>0</v>
      </c>
    </row>
    <row r="351" spans="1:26">
      <c r="A351" s="939">
        <v>6515</v>
      </c>
      <c r="B351" s="953" t="s">
        <v>2153</v>
      </c>
      <c r="C351" s="897"/>
      <c r="D351" s="937">
        <v>0</v>
      </c>
      <c r="E351" s="937">
        <v>0</v>
      </c>
      <c r="F351" s="897">
        <v>0</v>
      </c>
      <c r="G351" s="897"/>
      <c r="H351" s="897"/>
      <c r="I351" s="897"/>
      <c r="J351" s="897"/>
      <c r="K351" s="897"/>
      <c r="L351" s="897">
        <v>0</v>
      </c>
      <c r="M351" s="897">
        <v>0</v>
      </c>
      <c r="N351" s="897">
        <v>0</v>
      </c>
      <c r="O351" s="897">
        <v>0</v>
      </c>
      <c r="P351" s="897">
        <f t="shared" si="124"/>
        <v>0</v>
      </c>
      <c r="Q351" s="898">
        <f t="shared" si="118"/>
        <v>0</v>
      </c>
      <c r="R351" s="936"/>
      <c r="S351" s="935">
        <f t="shared" si="125"/>
        <v>0</v>
      </c>
      <c r="T351" s="935">
        <f t="shared" si="125"/>
        <v>0</v>
      </c>
      <c r="U351" s="935">
        <f t="shared" si="125"/>
        <v>0</v>
      </c>
      <c r="V351" s="935">
        <f t="shared" si="125"/>
        <v>0</v>
      </c>
      <c r="W351" s="935">
        <f t="shared" si="125"/>
        <v>0</v>
      </c>
      <c r="X351" s="935">
        <f t="shared" si="125"/>
        <v>0</v>
      </c>
      <c r="Y351" s="935">
        <f t="shared" si="98"/>
        <v>0</v>
      </c>
      <c r="Z351" s="935">
        <f t="shared" si="99"/>
        <v>0</v>
      </c>
    </row>
    <row r="352" spans="1:26">
      <c r="A352" s="939">
        <v>6516</v>
      </c>
      <c r="B352" s="953" t="s">
        <v>2154</v>
      </c>
      <c r="C352" s="897"/>
      <c r="D352" s="937">
        <v>0</v>
      </c>
      <c r="E352" s="937">
        <v>0</v>
      </c>
      <c r="F352" s="897">
        <v>0</v>
      </c>
      <c r="G352" s="897"/>
      <c r="H352" s="897"/>
      <c r="I352" s="897"/>
      <c r="J352" s="897"/>
      <c r="K352" s="897"/>
      <c r="L352" s="897">
        <v>0</v>
      </c>
      <c r="M352" s="897">
        <v>0</v>
      </c>
      <c r="N352" s="897">
        <v>0</v>
      </c>
      <c r="O352" s="897">
        <v>0</v>
      </c>
      <c r="P352" s="897">
        <f t="shared" si="124"/>
        <v>0</v>
      </c>
      <c r="Q352" s="898">
        <f t="shared" si="118"/>
        <v>0</v>
      </c>
      <c r="R352" s="936"/>
      <c r="S352" s="935">
        <f t="shared" si="125"/>
        <v>0</v>
      </c>
      <c r="T352" s="935">
        <f t="shared" si="125"/>
        <v>0</v>
      </c>
      <c r="U352" s="935">
        <f t="shared" si="125"/>
        <v>0</v>
      </c>
      <c r="V352" s="935">
        <f t="shared" si="125"/>
        <v>0</v>
      </c>
      <c r="W352" s="935">
        <f t="shared" si="125"/>
        <v>0</v>
      </c>
      <c r="X352" s="935">
        <f t="shared" si="125"/>
        <v>0</v>
      </c>
      <c r="Y352" s="935">
        <f t="shared" si="98"/>
        <v>0</v>
      </c>
      <c r="Z352" s="935">
        <f t="shared" si="99"/>
        <v>0</v>
      </c>
    </row>
    <row r="353" spans="1:26" hidden="1">
      <c r="A353" s="939">
        <v>6517</v>
      </c>
      <c r="B353" s="953" t="s">
        <v>2155</v>
      </c>
      <c r="C353" s="897"/>
      <c r="D353" s="937">
        <f t="shared" ref="D353:H362" si="126">C353/12</f>
        <v>0</v>
      </c>
      <c r="E353" s="897">
        <f t="shared" si="126"/>
        <v>0</v>
      </c>
      <c r="F353" s="897">
        <f t="shared" si="126"/>
        <v>0</v>
      </c>
      <c r="G353" s="897">
        <f t="shared" si="126"/>
        <v>0</v>
      </c>
      <c r="H353" s="897">
        <f t="shared" si="126"/>
        <v>0</v>
      </c>
      <c r="I353" s="897"/>
      <c r="J353" s="897"/>
      <c r="K353" s="897"/>
      <c r="L353" s="897"/>
      <c r="M353" s="897"/>
      <c r="N353" s="897"/>
      <c r="O353" s="897"/>
      <c r="P353" s="897">
        <f t="shared" ref="P353:P378" si="127">SUM(D353:H353)</f>
        <v>0</v>
      </c>
      <c r="Q353" s="898">
        <f t="shared" si="118"/>
        <v>0</v>
      </c>
      <c r="R353" s="936">
        <f t="shared" ref="R353:R378" si="128">Q353/7</f>
        <v>0</v>
      </c>
      <c r="S353" s="935">
        <f t="shared" si="125"/>
        <v>0</v>
      </c>
      <c r="T353" s="935">
        <f t="shared" si="125"/>
        <v>0</v>
      </c>
      <c r="U353" s="935">
        <f t="shared" si="125"/>
        <v>0</v>
      </c>
      <c r="V353" s="935">
        <f t="shared" si="125"/>
        <v>0</v>
      </c>
      <c r="W353" s="935">
        <f t="shared" si="125"/>
        <v>0</v>
      </c>
      <c r="X353" s="935">
        <f t="shared" si="125"/>
        <v>0</v>
      </c>
      <c r="Y353" s="935">
        <f t="shared" si="98"/>
        <v>0</v>
      </c>
      <c r="Z353" s="935">
        <f t="shared" si="99"/>
        <v>0</v>
      </c>
    </row>
    <row r="354" spans="1:26" hidden="1">
      <c r="A354" s="939">
        <v>6518</v>
      </c>
      <c r="B354" s="953" t="s">
        <v>2156</v>
      </c>
      <c r="C354" s="897"/>
      <c r="D354" s="937">
        <f t="shared" si="126"/>
        <v>0</v>
      </c>
      <c r="E354" s="897">
        <f t="shared" si="126"/>
        <v>0</v>
      </c>
      <c r="F354" s="897">
        <f t="shared" si="126"/>
        <v>0</v>
      </c>
      <c r="G354" s="897">
        <f t="shared" si="126"/>
        <v>0</v>
      </c>
      <c r="H354" s="897">
        <f t="shared" si="126"/>
        <v>0</v>
      </c>
      <c r="I354" s="897"/>
      <c r="J354" s="897"/>
      <c r="K354" s="897"/>
      <c r="L354" s="897"/>
      <c r="M354" s="897"/>
      <c r="N354" s="897"/>
      <c r="O354" s="897"/>
      <c r="P354" s="897">
        <f t="shared" si="127"/>
        <v>0</v>
      </c>
      <c r="Q354" s="898">
        <f t="shared" si="118"/>
        <v>0</v>
      </c>
      <c r="R354" s="936">
        <f t="shared" si="128"/>
        <v>0</v>
      </c>
      <c r="S354" s="935">
        <f t="shared" si="125"/>
        <v>0</v>
      </c>
      <c r="T354" s="935">
        <f t="shared" si="125"/>
        <v>0</v>
      </c>
      <c r="U354" s="935">
        <f t="shared" si="125"/>
        <v>0</v>
      </c>
      <c r="V354" s="935">
        <f t="shared" si="125"/>
        <v>0</v>
      </c>
      <c r="W354" s="935">
        <f t="shared" si="125"/>
        <v>0</v>
      </c>
      <c r="X354" s="935">
        <f t="shared" si="125"/>
        <v>0</v>
      </c>
      <c r="Y354" s="935">
        <f t="shared" ref="Y354:Y391" si="129">SUM(R354:X354)</f>
        <v>0</v>
      </c>
      <c r="Z354" s="935">
        <f t="shared" ref="Z354:Z391" si="130">Q354-Y354</f>
        <v>0</v>
      </c>
    </row>
    <row r="355" spans="1:26" hidden="1">
      <c r="A355" s="939">
        <v>6519</v>
      </c>
      <c r="B355" s="953" t="s">
        <v>2157</v>
      </c>
      <c r="C355" s="897"/>
      <c r="D355" s="937">
        <f t="shared" si="126"/>
        <v>0</v>
      </c>
      <c r="E355" s="897">
        <f t="shared" si="126"/>
        <v>0</v>
      </c>
      <c r="F355" s="897">
        <f t="shared" si="126"/>
        <v>0</v>
      </c>
      <c r="G355" s="897">
        <f t="shared" si="126"/>
        <v>0</v>
      </c>
      <c r="H355" s="897">
        <f t="shared" si="126"/>
        <v>0</v>
      </c>
      <c r="I355" s="897"/>
      <c r="J355" s="897"/>
      <c r="K355" s="897"/>
      <c r="L355" s="897"/>
      <c r="M355" s="897"/>
      <c r="N355" s="897"/>
      <c r="O355" s="897"/>
      <c r="P355" s="897">
        <f t="shared" si="127"/>
        <v>0</v>
      </c>
      <c r="Q355" s="898">
        <f t="shared" si="118"/>
        <v>0</v>
      </c>
      <c r="R355" s="936">
        <f t="shared" si="128"/>
        <v>0</v>
      </c>
      <c r="S355" s="935">
        <f t="shared" si="125"/>
        <v>0</v>
      </c>
      <c r="T355" s="935">
        <f t="shared" si="125"/>
        <v>0</v>
      </c>
      <c r="U355" s="935">
        <f t="shared" si="125"/>
        <v>0</v>
      </c>
      <c r="V355" s="935">
        <f t="shared" si="125"/>
        <v>0</v>
      </c>
      <c r="W355" s="935">
        <f t="shared" si="125"/>
        <v>0</v>
      </c>
      <c r="X355" s="935">
        <f t="shared" si="125"/>
        <v>0</v>
      </c>
      <c r="Y355" s="935">
        <f t="shared" si="129"/>
        <v>0</v>
      </c>
      <c r="Z355" s="935">
        <f t="shared" si="130"/>
        <v>0</v>
      </c>
    </row>
    <row r="356" spans="1:26" hidden="1">
      <c r="A356" s="951">
        <v>652</v>
      </c>
      <c r="B356" s="950" t="s">
        <v>2158</v>
      </c>
      <c r="C356" s="897"/>
      <c r="D356" s="937">
        <f t="shared" si="126"/>
        <v>0</v>
      </c>
      <c r="E356" s="897">
        <f t="shared" si="126"/>
        <v>0</v>
      </c>
      <c r="F356" s="897">
        <f t="shared" si="126"/>
        <v>0</v>
      </c>
      <c r="G356" s="897">
        <f t="shared" si="126"/>
        <v>0</v>
      </c>
      <c r="H356" s="897">
        <f t="shared" si="126"/>
        <v>0</v>
      </c>
      <c r="I356" s="897"/>
      <c r="J356" s="897"/>
      <c r="K356" s="897"/>
      <c r="L356" s="897"/>
      <c r="M356" s="897"/>
      <c r="N356" s="897"/>
      <c r="O356" s="897"/>
      <c r="P356" s="897">
        <f t="shared" si="127"/>
        <v>0</v>
      </c>
      <c r="Q356" s="898">
        <f t="shared" si="118"/>
        <v>0</v>
      </c>
      <c r="R356" s="936">
        <f t="shared" si="128"/>
        <v>0</v>
      </c>
      <c r="S356" s="935">
        <f t="shared" si="125"/>
        <v>0</v>
      </c>
      <c r="T356" s="935">
        <f t="shared" si="125"/>
        <v>0</v>
      </c>
      <c r="U356" s="935">
        <f t="shared" si="125"/>
        <v>0</v>
      </c>
      <c r="V356" s="935">
        <f t="shared" si="125"/>
        <v>0</v>
      </c>
      <c r="W356" s="935">
        <f t="shared" si="125"/>
        <v>0</v>
      </c>
      <c r="X356" s="935">
        <f t="shared" si="125"/>
        <v>0</v>
      </c>
      <c r="Y356" s="935">
        <f t="shared" si="129"/>
        <v>0</v>
      </c>
      <c r="Z356" s="935">
        <f t="shared" si="130"/>
        <v>0</v>
      </c>
    </row>
    <row r="357" spans="1:26" hidden="1">
      <c r="A357" s="939">
        <v>6521</v>
      </c>
      <c r="B357" s="953" t="s">
        <v>2159</v>
      </c>
      <c r="C357" s="897"/>
      <c r="D357" s="937">
        <f t="shared" si="126"/>
        <v>0</v>
      </c>
      <c r="E357" s="897">
        <f t="shared" si="126"/>
        <v>0</v>
      </c>
      <c r="F357" s="897">
        <f t="shared" si="126"/>
        <v>0</v>
      </c>
      <c r="G357" s="897">
        <f t="shared" si="126"/>
        <v>0</v>
      </c>
      <c r="H357" s="897">
        <f t="shared" si="126"/>
        <v>0</v>
      </c>
      <c r="I357" s="897"/>
      <c r="J357" s="897"/>
      <c r="K357" s="897"/>
      <c r="L357" s="897"/>
      <c r="M357" s="897"/>
      <c r="N357" s="897"/>
      <c r="O357" s="897"/>
      <c r="P357" s="897">
        <f t="shared" si="127"/>
        <v>0</v>
      </c>
      <c r="Q357" s="898">
        <f t="shared" si="118"/>
        <v>0</v>
      </c>
      <c r="R357" s="936">
        <f t="shared" si="128"/>
        <v>0</v>
      </c>
      <c r="S357" s="935">
        <f t="shared" si="125"/>
        <v>0</v>
      </c>
      <c r="T357" s="935">
        <f t="shared" si="125"/>
        <v>0</v>
      </c>
      <c r="U357" s="935">
        <f t="shared" si="125"/>
        <v>0</v>
      </c>
      <c r="V357" s="935">
        <f t="shared" si="125"/>
        <v>0</v>
      </c>
      <c r="W357" s="935">
        <f t="shared" si="125"/>
        <v>0</v>
      </c>
      <c r="X357" s="935">
        <f t="shared" si="125"/>
        <v>0</v>
      </c>
      <c r="Y357" s="935">
        <f t="shared" si="129"/>
        <v>0</v>
      </c>
      <c r="Z357" s="935">
        <f t="shared" si="130"/>
        <v>0</v>
      </c>
    </row>
    <row r="358" spans="1:26" hidden="1">
      <c r="A358" s="939">
        <v>6522</v>
      </c>
      <c r="B358" s="953" t="s">
        <v>2160</v>
      </c>
      <c r="C358" s="897"/>
      <c r="D358" s="937">
        <f t="shared" si="126"/>
        <v>0</v>
      </c>
      <c r="E358" s="897">
        <f t="shared" si="126"/>
        <v>0</v>
      </c>
      <c r="F358" s="897">
        <f t="shared" si="126"/>
        <v>0</v>
      </c>
      <c r="G358" s="897">
        <f t="shared" si="126"/>
        <v>0</v>
      </c>
      <c r="H358" s="897">
        <f t="shared" si="126"/>
        <v>0</v>
      </c>
      <c r="I358" s="897"/>
      <c r="J358" s="897"/>
      <c r="K358" s="897"/>
      <c r="L358" s="897"/>
      <c r="M358" s="897"/>
      <c r="N358" s="897"/>
      <c r="O358" s="897"/>
      <c r="P358" s="897">
        <f t="shared" si="127"/>
        <v>0</v>
      </c>
      <c r="Q358" s="898">
        <f t="shared" si="118"/>
        <v>0</v>
      </c>
      <c r="R358" s="936">
        <f t="shared" si="128"/>
        <v>0</v>
      </c>
      <c r="S358" s="935">
        <f t="shared" ref="S358:X367" si="131">R358</f>
        <v>0</v>
      </c>
      <c r="T358" s="935">
        <f t="shared" si="131"/>
        <v>0</v>
      </c>
      <c r="U358" s="935">
        <f t="shared" si="131"/>
        <v>0</v>
      </c>
      <c r="V358" s="935">
        <f t="shared" si="131"/>
        <v>0</v>
      </c>
      <c r="W358" s="935">
        <f t="shared" si="131"/>
        <v>0</v>
      </c>
      <c r="X358" s="935">
        <f t="shared" si="131"/>
        <v>0</v>
      </c>
      <c r="Y358" s="935">
        <f t="shared" si="129"/>
        <v>0</v>
      </c>
      <c r="Z358" s="935">
        <f t="shared" si="130"/>
        <v>0</v>
      </c>
    </row>
    <row r="359" spans="1:26" hidden="1">
      <c r="A359" s="939">
        <v>6523</v>
      </c>
      <c r="B359" s="953" t="s">
        <v>2161</v>
      </c>
      <c r="C359" s="897"/>
      <c r="D359" s="937">
        <f t="shared" si="126"/>
        <v>0</v>
      </c>
      <c r="E359" s="897">
        <f t="shared" si="126"/>
        <v>0</v>
      </c>
      <c r="F359" s="897">
        <f t="shared" si="126"/>
        <v>0</v>
      </c>
      <c r="G359" s="897">
        <f t="shared" si="126"/>
        <v>0</v>
      </c>
      <c r="H359" s="897">
        <f t="shared" si="126"/>
        <v>0</v>
      </c>
      <c r="I359" s="897"/>
      <c r="J359" s="897"/>
      <c r="K359" s="897"/>
      <c r="L359" s="897"/>
      <c r="M359" s="897"/>
      <c r="N359" s="897"/>
      <c r="O359" s="897"/>
      <c r="P359" s="897">
        <f t="shared" si="127"/>
        <v>0</v>
      </c>
      <c r="Q359" s="898">
        <f t="shared" si="118"/>
        <v>0</v>
      </c>
      <c r="R359" s="936">
        <f t="shared" si="128"/>
        <v>0</v>
      </c>
      <c r="S359" s="935">
        <f t="shared" si="131"/>
        <v>0</v>
      </c>
      <c r="T359" s="935">
        <f t="shared" si="131"/>
        <v>0</v>
      </c>
      <c r="U359" s="935">
        <f t="shared" si="131"/>
        <v>0</v>
      </c>
      <c r="V359" s="935">
        <f t="shared" si="131"/>
        <v>0</v>
      </c>
      <c r="W359" s="935">
        <f t="shared" si="131"/>
        <v>0</v>
      </c>
      <c r="X359" s="935">
        <f t="shared" si="131"/>
        <v>0</v>
      </c>
      <c r="Y359" s="935">
        <f t="shared" si="129"/>
        <v>0</v>
      </c>
      <c r="Z359" s="935">
        <f t="shared" si="130"/>
        <v>0</v>
      </c>
    </row>
    <row r="360" spans="1:26" hidden="1">
      <c r="A360" s="939">
        <v>6524</v>
      </c>
      <c r="B360" s="953" t="s">
        <v>2162</v>
      </c>
      <c r="C360" s="897"/>
      <c r="D360" s="937">
        <f t="shared" si="126"/>
        <v>0</v>
      </c>
      <c r="E360" s="897">
        <f t="shared" si="126"/>
        <v>0</v>
      </c>
      <c r="F360" s="897">
        <f t="shared" si="126"/>
        <v>0</v>
      </c>
      <c r="G360" s="897">
        <f t="shared" si="126"/>
        <v>0</v>
      </c>
      <c r="H360" s="897">
        <f t="shared" si="126"/>
        <v>0</v>
      </c>
      <c r="I360" s="897"/>
      <c r="J360" s="897"/>
      <c r="K360" s="897"/>
      <c r="L360" s="897"/>
      <c r="M360" s="897"/>
      <c r="N360" s="897"/>
      <c r="O360" s="897"/>
      <c r="P360" s="897">
        <f t="shared" si="127"/>
        <v>0</v>
      </c>
      <c r="Q360" s="898">
        <f t="shared" si="118"/>
        <v>0</v>
      </c>
      <c r="R360" s="936">
        <f t="shared" si="128"/>
        <v>0</v>
      </c>
      <c r="S360" s="935">
        <f t="shared" si="131"/>
        <v>0</v>
      </c>
      <c r="T360" s="935">
        <f t="shared" si="131"/>
        <v>0</v>
      </c>
      <c r="U360" s="935">
        <f t="shared" si="131"/>
        <v>0</v>
      </c>
      <c r="V360" s="935">
        <f t="shared" si="131"/>
        <v>0</v>
      </c>
      <c r="W360" s="935">
        <f t="shared" si="131"/>
        <v>0</v>
      </c>
      <c r="X360" s="935">
        <f t="shared" si="131"/>
        <v>0</v>
      </c>
      <c r="Y360" s="935">
        <f t="shared" si="129"/>
        <v>0</v>
      </c>
      <c r="Z360" s="935">
        <f t="shared" si="130"/>
        <v>0</v>
      </c>
    </row>
    <row r="361" spans="1:26" hidden="1">
      <c r="A361" s="939">
        <v>6525</v>
      </c>
      <c r="B361" s="953" t="s">
        <v>2163</v>
      </c>
      <c r="C361" s="897"/>
      <c r="D361" s="937">
        <f t="shared" si="126"/>
        <v>0</v>
      </c>
      <c r="E361" s="897">
        <f t="shared" si="126"/>
        <v>0</v>
      </c>
      <c r="F361" s="897">
        <f t="shared" si="126"/>
        <v>0</v>
      </c>
      <c r="G361" s="897">
        <f t="shared" si="126"/>
        <v>0</v>
      </c>
      <c r="H361" s="897">
        <f t="shared" si="126"/>
        <v>0</v>
      </c>
      <c r="I361" s="897"/>
      <c r="J361" s="897"/>
      <c r="K361" s="897"/>
      <c r="L361" s="897"/>
      <c r="M361" s="897"/>
      <c r="N361" s="897"/>
      <c r="O361" s="897"/>
      <c r="P361" s="897">
        <f t="shared" si="127"/>
        <v>0</v>
      </c>
      <c r="Q361" s="898">
        <f t="shared" si="118"/>
        <v>0</v>
      </c>
      <c r="R361" s="936">
        <f t="shared" si="128"/>
        <v>0</v>
      </c>
      <c r="S361" s="935">
        <f t="shared" si="131"/>
        <v>0</v>
      </c>
      <c r="T361" s="935">
        <f t="shared" si="131"/>
        <v>0</v>
      </c>
      <c r="U361" s="935">
        <f t="shared" si="131"/>
        <v>0</v>
      </c>
      <c r="V361" s="935">
        <f t="shared" si="131"/>
        <v>0</v>
      </c>
      <c r="W361" s="935">
        <f t="shared" si="131"/>
        <v>0</v>
      </c>
      <c r="X361" s="935">
        <f t="shared" si="131"/>
        <v>0</v>
      </c>
      <c r="Y361" s="935">
        <f t="shared" si="129"/>
        <v>0</v>
      </c>
      <c r="Z361" s="935">
        <f t="shared" si="130"/>
        <v>0</v>
      </c>
    </row>
    <row r="362" spans="1:26" hidden="1">
      <c r="A362" s="939">
        <v>6526</v>
      </c>
      <c r="B362" s="953" t="s">
        <v>2164</v>
      </c>
      <c r="C362" s="897"/>
      <c r="D362" s="937">
        <f t="shared" si="126"/>
        <v>0</v>
      </c>
      <c r="E362" s="897">
        <f t="shared" si="126"/>
        <v>0</v>
      </c>
      <c r="F362" s="897">
        <f t="shared" si="126"/>
        <v>0</v>
      </c>
      <c r="G362" s="897">
        <f t="shared" si="126"/>
        <v>0</v>
      </c>
      <c r="H362" s="897">
        <f t="shared" si="126"/>
        <v>0</v>
      </c>
      <c r="I362" s="897"/>
      <c r="J362" s="897"/>
      <c r="K362" s="897"/>
      <c r="L362" s="897"/>
      <c r="M362" s="897"/>
      <c r="N362" s="897"/>
      <c r="O362" s="897"/>
      <c r="P362" s="897">
        <f t="shared" si="127"/>
        <v>0</v>
      </c>
      <c r="Q362" s="898">
        <f t="shared" si="118"/>
        <v>0</v>
      </c>
      <c r="R362" s="936">
        <f t="shared" si="128"/>
        <v>0</v>
      </c>
      <c r="S362" s="935">
        <f t="shared" si="131"/>
        <v>0</v>
      </c>
      <c r="T362" s="935">
        <f t="shared" si="131"/>
        <v>0</v>
      </c>
      <c r="U362" s="935">
        <f t="shared" si="131"/>
        <v>0</v>
      </c>
      <c r="V362" s="935">
        <f t="shared" si="131"/>
        <v>0</v>
      </c>
      <c r="W362" s="935">
        <f t="shared" si="131"/>
        <v>0</v>
      </c>
      <c r="X362" s="935">
        <f t="shared" si="131"/>
        <v>0</v>
      </c>
      <c r="Y362" s="935">
        <f t="shared" si="129"/>
        <v>0</v>
      </c>
      <c r="Z362" s="935">
        <f t="shared" si="130"/>
        <v>0</v>
      </c>
    </row>
    <row r="363" spans="1:26" hidden="1">
      <c r="A363" s="939">
        <v>6527</v>
      </c>
      <c r="B363" s="953" t="s">
        <v>2165</v>
      </c>
      <c r="C363" s="897"/>
      <c r="D363" s="937">
        <f t="shared" ref="D363:H372" si="132">C363/12</f>
        <v>0</v>
      </c>
      <c r="E363" s="897">
        <f t="shared" si="132"/>
        <v>0</v>
      </c>
      <c r="F363" s="897">
        <f t="shared" si="132"/>
        <v>0</v>
      </c>
      <c r="G363" s="897">
        <f t="shared" si="132"/>
        <v>0</v>
      </c>
      <c r="H363" s="897">
        <f t="shared" si="132"/>
        <v>0</v>
      </c>
      <c r="I363" s="897"/>
      <c r="J363" s="897"/>
      <c r="K363" s="897"/>
      <c r="L363" s="897"/>
      <c r="M363" s="897"/>
      <c r="N363" s="897"/>
      <c r="O363" s="897"/>
      <c r="P363" s="897">
        <f t="shared" si="127"/>
        <v>0</v>
      </c>
      <c r="Q363" s="898">
        <f t="shared" si="118"/>
        <v>0</v>
      </c>
      <c r="R363" s="936">
        <f t="shared" si="128"/>
        <v>0</v>
      </c>
      <c r="S363" s="935">
        <f t="shared" si="131"/>
        <v>0</v>
      </c>
      <c r="T363" s="935">
        <f t="shared" si="131"/>
        <v>0</v>
      </c>
      <c r="U363" s="935">
        <f t="shared" si="131"/>
        <v>0</v>
      </c>
      <c r="V363" s="935">
        <f t="shared" si="131"/>
        <v>0</v>
      </c>
      <c r="W363" s="935">
        <f t="shared" si="131"/>
        <v>0</v>
      </c>
      <c r="X363" s="935">
        <f t="shared" si="131"/>
        <v>0</v>
      </c>
      <c r="Y363" s="935">
        <f t="shared" si="129"/>
        <v>0</v>
      </c>
      <c r="Z363" s="935">
        <f t="shared" si="130"/>
        <v>0</v>
      </c>
    </row>
    <row r="364" spans="1:26" hidden="1">
      <c r="A364" s="939">
        <v>6529</v>
      </c>
      <c r="B364" s="953" t="s">
        <v>2166</v>
      </c>
      <c r="C364" s="897"/>
      <c r="D364" s="937">
        <f t="shared" si="132"/>
        <v>0</v>
      </c>
      <c r="E364" s="897">
        <f t="shared" si="132"/>
        <v>0</v>
      </c>
      <c r="F364" s="897">
        <f t="shared" si="132"/>
        <v>0</v>
      </c>
      <c r="G364" s="897">
        <f t="shared" si="132"/>
        <v>0</v>
      </c>
      <c r="H364" s="897">
        <f t="shared" si="132"/>
        <v>0</v>
      </c>
      <c r="I364" s="897"/>
      <c r="J364" s="897"/>
      <c r="K364" s="897"/>
      <c r="L364" s="897"/>
      <c r="M364" s="897"/>
      <c r="N364" s="897"/>
      <c r="O364" s="897"/>
      <c r="P364" s="897">
        <f t="shared" si="127"/>
        <v>0</v>
      </c>
      <c r="Q364" s="898">
        <f t="shared" si="118"/>
        <v>0</v>
      </c>
      <c r="R364" s="936">
        <f t="shared" si="128"/>
        <v>0</v>
      </c>
      <c r="S364" s="935">
        <f t="shared" si="131"/>
        <v>0</v>
      </c>
      <c r="T364" s="935">
        <f t="shared" si="131"/>
        <v>0</v>
      </c>
      <c r="U364" s="935">
        <f t="shared" si="131"/>
        <v>0</v>
      </c>
      <c r="V364" s="935">
        <f t="shared" si="131"/>
        <v>0</v>
      </c>
      <c r="W364" s="935">
        <f t="shared" si="131"/>
        <v>0</v>
      </c>
      <c r="X364" s="935">
        <f t="shared" si="131"/>
        <v>0</v>
      </c>
      <c r="Y364" s="935">
        <f t="shared" si="129"/>
        <v>0</v>
      </c>
      <c r="Z364" s="935">
        <f t="shared" si="130"/>
        <v>0</v>
      </c>
    </row>
    <row r="365" spans="1:26" hidden="1">
      <c r="A365" s="951">
        <v>653</v>
      </c>
      <c r="B365" s="950" t="s">
        <v>2167</v>
      </c>
      <c r="C365" s="897"/>
      <c r="D365" s="937">
        <f t="shared" si="132"/>
        <v>0</v>
      </c>
      <c r="E365" s="897">
        <f t="shared" si="132"/>
        <v>0</v>
      </c>
      <c r="F365" s="897">
        <f t="shared" si="132"/>
        <v>0</v>
      </c>
      <c r="G365" s="897">
        <f t="shared" si="132"/>
        <v>0</v>
      </c>
      <c r="H365" s="897">
        <f t="shared" si="132"/>
        <v>0</v>
      </c>
      <c r="I365" s="897"/>
      <c r="J365" s="897"/>
      <c r="K365" s="897"/>
      <c r="L365" s="897"/>
      <c r="M365" s="897"/>
      <c r="N365" s="897"/>
      <c r="O365" s="897"/>
      <c r="P365" s="897">
        <f t="shared" si="127"/>
        <v>0</v>
      </c>
      <c r="Q365" s="898">
        <f t="shared" si="118"/>
        <v>0</v>
      </c>
      <c r="R365" s="936">
        <f t="shared" si="128"/>
        <v>0</v>
      </c>
      <c r="S365" s="935">
        <f t="shared" si="131"/>
        <v>0</v>
      </c>
      <c r="T365" s="935">
        <f t="shared" si="131"/>
        <v>0</v>
      </c>
      <c r="U365" s="935">
        <f t="shared" si="131"/>
        <v>0</v>
      </c>
      <c r="V365" s="935">
        <f t="shared" si="131"/>
        <v>0</v>
      </c>
      <c r="W365" s="935">
        <f t="shared" si="131"/>
        <v>0</v>
      </c>
      <c r="X365" s="935">
        <f t="shared" si="131"/>
        <v>0</v>
      </c>
      <c r="Y365" s="935">
        <f t="shared" si="129"/>
        <v>0</v>
      </c>
      <c r="Z365" s="935">
        <f t="shared" si="130"/>
        <v>0</v>
      </c>
    </row>
    <row r="366" spans="1:26" hidden="1">
      <c r="A366" s="939">
        <v>6531</v>
      </c>
      <c r="B366" s="953" t="s">
        <v>2168</v>
      </c>
      <c r="C366" s="897"/>
      <c r="D366" s="937">
        <f t="shared" si="132"/>
        <v>0</v>
      </c>
      <c r="E366" s="897">
        <f t="shared" si="132"/>
        <v>0</v>
      </c>
      <c r="F366" s="897">
        <f t="shared" si="132"/>
        <v>0</v>
      </c>
      <c r="G366" s="897">
        <f t="shared" si="132"/>
        <v>0</v>
      </c>
      <c r="H366" s="897">
        <f t="shared" si="132"/>
        <v>0</v>
      </c>
      <c r="I366" s="897"/>
      <c r="J366" s="897"/>
      <c r="K366" s="897"/>
      <c r="L366" s="897"/>
      <c r="M366" s="897"/>
      <c r="N366" s="897"/>
      <c r="O366" s="897"/>
      <c r="P366" s="897">
        <f t="shared" si="127"/>
        <v>0</v>
      </c>
      <c r="Q366" s="898">
        <f t="shared" si="118"/>
        <v>0</v>
      </c>
      <c r="R366" s="936">
        <f t="shared" si="128"/>
        <v>0</v>
      </c>
      <c r="S366" s="935">
        <f t="shared" si="131"/>
        <v>0</v>
      </c>
      <c r="T366" s="935">
        <f t="shared" si="131"/>
        <v>0</v>
      </c>
      <c r="U366" s="935">
        <f t="shared" si="131"/>
        <v>0</v>
      </c>
      <c r="V366" s="935">
        <f t="shared" si="131"/>
        <v>0</v>
      </c>
      <c r="W366" s="935">
        <f t="shared" si="131"/>
        <v>0</v>
      </c>
      <c r="X366" s="935">
        <f t="shared" si="131"/>
        <v>0</v>
      </c>
      <c r="Y366" s="935">
        <f t="shared" si="129"/>
        <v>0</v>
      </c>
      <c r="Z366" s="935">
        <f t="shared" si="130"/>
        <v>0</v>
      </c>
    </row>
    <row r="367" spans="1:26" hidden="1">
      <c r="A367" s="939">
        <v>6532</v>
      </c>
      <c r="B367" s="953" t="s">
        <v>2169</v>
      </c>
      <c r="C367" s="897"/>
      <c r="D367" s="937">
        <f t="shared" si="132"/>
        <v>0</v>
      </c>
      <c r="E367" s="897">
        <f t="shared" si="132"/>
        <v>0</v>
      </c>
      <c r="F367" s="897">
        <f t="shared" si="132"/>
        <v>0</v>
      </c>
      <c r="G367" s="897">
        <f t="shared" si="132"/>
        <v>0</v>
      </c>
      <c r="H367" s="897">
        <f t="shared" si="132"/>
        <v>0</v>
      </c>
      <c r="I367" s="897"/>
      <c r="J367" s="897"/>
      <c r="K367" s="897"/>
      <c r="L367" s="897"/>
      <c r="M367" s="897"/>
      <c r="N367" s="897"/>
      <c r="O367" s="897"/>
      <c r="P367" s="897">
        <f t="shared" si="127"/>
        <v>0</v>
      </c>
      <c r="Q367" s="898">
        <f t="shared" si="118"/>
        <v>0</v>
      </c>
      <c r="R367" s="936">
        <f t="shared" si="128"/>
        <v>0</v>
      </c>
      <c r="S367" s="935">
        <f t="shared" si="131"/>
        <v>0</v>
      </c>
      <c r="T367" s="935">
        <f t="shared" si="131"/>
        <v>0</v>
      </c>
      <c r="U367" s="935">
        <f t="shared" si="131"/>
        <v>0</v>
      </c>
      <c r="V367" s="935">
        <f t="shared" si="131"/>
        <v>0</v>
      </c>
      <c r="W367" s="935">
        <f t="shared" si="131"/>
        <v>0</v>
      </c>
      <c r="X367" s="935">
        <f t="shared" si="131"/>
        <v>0</v>
      </c>
      <c r="Y367" s="935">
        <f t="shared" si="129"/>
        <v>0</v>
      </c>
      <c r="Z367" s="935">
        <f t="shared" si="130"/>
        <v>0</v>
      </c>
    </row>
    <row r="368" spans="1:26" hidden="1">
      <c r="A368" s="939">
        <v>6533</v>
      </c>
      <c r="B368" s="953" t="s">
        <v>2170</v>
      </c>
      <c r="C368" s="897"/>
      <c r="D368" s="937">
        <f t="shared" si="132"/>
        <v>0</v>
      </c>
      <c r="E368" s="897">
        <f t="shared" si="132"/>
        <v>0</v>
      </c>
      <c r="F368" s="897">
        <f t="shared" si="132"/>
        <v>0</v>
      </c>
      <c r="G368" s="897">
        <f t="shared" si="132"/>
        <v>0</v>
      </c>
      <c r="H368" s="897">
        <f t="shared" si="132"/>
        <v>0</v>
      </c>
      <c r="I368" s="897"/>
      <c r="J368" s="897"/>
      <c r="K368" s="897"/>
      <c r="L368" s="897"/>
      <c r="M368" s="897"/>
      <c r="N368" s="897"/>
      <c r="O368" s="897"/>
      <c r="P368" s="897">
        <f t="shared" si="127"/>
        <v>0</v>
      </c>
      <c r="Q368" s="898">
        <f t="shared" si="118"/>
        <v>0</v>
      </c>
      <c r="R368" s="936">
        <f t="shared" si="128"/>
        <v>0</v>
      </c>
      <c r="S368" s="935">
        <f t="shared" ref="S368:X377" si="133">R368</f>
        <v>0</v>
      </c>
      <c r="T368" s="935">
        <f t="shared" si="133"/>
        <v>0</v>
      </c>
      <c r="U368" s="935">
        <f t="shared" si="133"/>
        <v>0</v>
      </c>
      <c r="V368" s="935">
        <f t="shared" si="133"/>
        <v>0</v>
      </c>
      <c r="W368" s="935">
        <f t="shared" si="133"/>
        <v>0</v>
      </c>
      <c r="X368" s="935">
        <f t="shared" si="133"/>
        <v>0</v>
      </c>
      <c r="Y368" s="935">
        <f t="shared" si="129"/>
        <v>0</v>
      </c>
      <c r="Z368" s="935">
        <f t="shared" si="130"/>
        <v>0</v>
      </c>
    </row>
    <row r="369" spans="1:26" hidden="1">
      <c r="A369" s="939">
        <v>6534</v>
      </c>
      <c r="B369" s="953" t="s">
        <v>2171</v>
      </c>
      <c r="C369" s="897"/>
      <c r="D369" s="937">
        <f t="shared" si="132"/>
        <v>0</v>
      </c>
      <c r="E369" s="897">
        <f t="shared" si="132"/>
        <v>0</v>
      </c>
      <c r="F369" s="897">
        <f t="shared" si="132"/>
        <v>0</v>
      </c>
      <c r="G369" s="897">
        <f t="shared" si="132"/>
        <v>0</v>
      </c>
      <c r="H369" s="897">
        <f t="shared" si="132"/>
        <v>0</v>
      </c>
      <c r="I369" s="897"/>
      <c r="J369" s="897"/>
      <c r="K369" s="897"/>
      <c r="L369" s="897"/>
      <c r="M369" s="897"/>
      <c r="N369" s="897"/>
      <c r="O369" s="897"/>
      <c r="P369" s="897">
        <f t="shared" si="127"/>
        <v>0</v>
      </c>
      <c r="Q369" s="898">
        <f t="shared" si="118"/>
        <v>0</v>
      </c>
      <c r="R369" s="936">
        <f t="shared" si="128"/>
        <v>0</v>
      </c>
      <c r="S369" s="935">
        <f t="shared" si="133"/>
        <v>0</v>
      </c>
      <c r="T369" s="935">
        <f t="shared" si="133"/>
        <v>0</v>
      </c>
      <c r="U369" s="935">
        <f t="shared" si="133"/>
        <v>0</v>
      </c>
      <c r="V369" s="935">
        <f t="shared" si="133"/>
        <v>0</v>
      </c>
      <c r="W369" s="935">
        <f t="shared" si="133"/>
        <v>0</v>
      </c>
      <c r="X369" s="935">
        <f t="shared" si="133"/>
        <v>0</v>
      </c>
      <c r="Y369" s="935">
        <f t="shared" si="129"/>
        <v>0</v>
      </c>
      <c r="Z369" s="935">
        <f t="shared" si="130"/>
        <v>0</v>
      </c>
    </row>
    <row r="370" spans="1:26" hidden="1">
      <c r="A370" s="939">
        <v>6539</v>
      </c>
      <c r="B370" s="953" t="s">
        <v>2172</v>
      </c>
      <c r="C370" s="897"/>
      <c r="D370" s="937">
        <f t="shared" si="132"/>
        <v>0</v>
      </c>
      <c r="E370" s="897">
        <f t="shared" si="132"/>
        <v>0</v>
      </c>
      <c r="F370" s="897">
        <f t="shared" si="132"/>
        <v>0</v>
      </c>
      <c r="G370" s="897">
        <f t="shared" si="132"/>
        <v>0</v>
      </c>
      <c r="H370" s="897">
        <f t="shared" si="132"/>
        <v>0</v>
      </c>
      <c r="I370" s="897"/>
      <c r="J370" s="897"/>
      <c r="K370" s="897"/>
      <c r="L370" s="897"/>
      <c r="M370" s="897"/>
      <c r="N370" s="897"/>
      <c r="O370" s="897"/>
      <c r="P370" s="897">
        <f t="shared" si="127"/>
        <v>0</v>
      </c>
      <c r="Q370" s="898">
        <f t="shared" si="118"/>
        <v>0</v>
      </c>
      <c r="R370" s="936">
        <f t="shared" si="128"/>
        <v>0</v>
      </c>
      <c r="S370" s="935">
        <f t="shared" si="133"/>
        <v>0</v>
      </c>
      <c r="T370" s="935">
        <f t="shared" si="133"/>
        <v>0</v>
      </c>
      <c r="U370" s="935">
        <f t="shared" si="133"/>
        <v>0</v>
      </c>
      <c r="V370" s="935">
        <f t="shared" si="133"/>
        <v>0</v>
      </c>
      <c r="W370" s="935">
        <f t="shared" si="133"/>
        <v>0</v>
      </c>
      <c r="X370" s="935">
        <f t="shared" si="133"/>
        <v>0</v>
      </c>
      <c r="Y370" s="935">
        <f t="shared" si="129"/>
        <v>0</v>
      </c>
      <c r="Z370" s="935">
        <f t="shared" si="130"/>
        <v>0</v>
      </c>
    </row>
    <row r="371" spans="1:26" s="911" customFormat="1" hidden="1">
      <c r="A371" s="958">
        <v>654</v>
      </c>
      <c r="B371" s="957" t="s">
        <v>2173</v>
      </c>
      <c r="C371" s="900"/>
      <c r="D371" s="956">
        <f t="shared" si="132"/>
        <v>0</v>
      </c>
      <c r="E371" s="900">
        <f t="shared" si="132"/>
        <v>0</v>
      </c>
      <c r="F371" s="900">
        <f t="shared" si="132"/>
        <v>0</v>
      </c>
      <c r="G371" s="900">
        <f t="shared" si="132"/>
        <v>0</v>
      </c>
      <c r="H371" s="900">
        <f t="shared" si="132"/>
        <v>0</v>
      </c>
      <c r="I371" s="900"/>
      <c r="J371" s="900"/>
      <c r="K371" s="900"/>
      <c r="L371" s="900"/>
      <c r="M371" s="900"/>
      <c r="N371" s="900"/>
      <c r="O371" s="900"/>
      <c r="P371" s="900">
        <f t="shared" si="127"/>
        <v>0</v>
      </c>
      <c r="Q371" s="910">
        <f t="shared" si="118"/>
        <v>0</v>
      </c>
      <c r="R371" s="955">
        <f t="shared" si="128"/>
        <v>0</v>
      </c>
      <c r="S371" s="954">
        <f t="shared" si="133"/>
        <v>0</v>
      </c>
      <c r="T371" s="954">
        <f t="shared" si="133"/>
        <v>0</v>
      </c>
      <c r="U371" s="954">
        <f t="shared" si="133"/>
        <v>0</v>
      </c>
      <c r="V371" s="954">
        <f t="shared" si="133"/>
        <v>0</v>
      </c>
      <c r="W371" s="954">
        <f t="shared" si="133"/>
        <v>0</v>
      </c>
      <c r="X371" s="954">
        <f t="shared" si="133"/>
        <v>0</v>
      </c>
      <c r="Y371" s="954">
        <f t="shared" si="129"/>
        <v>0</v>
      </c>
      <c r="Z371" s="954">
        <f t="shared" si="130"/>
        <v>0</v>
      </c>
    </row>
    <row r="372" spans="1:26" hidden="1">
      <c r="A372" s="951">
        <v>657</v>
      </c>
      <c r="B372" s="950" t="s">
        <v>2174</v>
      </c>
      <c r="C372" s="897"/>
      <c r="D372" s="937">
        <f t="shared" si="132"/>
        <v>0</v>
      </c>
      <c r="E372" s="897">
        <f t="shared" si="132"/>
        <v>0</v>
      </c>
      <c r="F372" s="897">
        <f t="shared" si="132"/>
        <v>0</v>
      </c>
      <c r="G372" s="897">
        <f t="shared" si="132"/>
        <v>0</v>
      </c>
      <c r="H372" s="897">
        <f t="shared" si="132"/>
        <v>0</v>
      </c>
      <c r="I372" s="897"/>
      <c r="J372" s="897"/>
      <c r="K372" s="897"/>
      <c r="L372" s="897"/>
      <c r="M372" s="897"/>
      <c r="N372" s="897"/>
      <c r="O372" s="897"/>
      <c r="P372" s="897">
        <f t="shared" si="127"/>
        <v>0</v>
      </c>
      <c r="Q372" s="898">
        <f t="shared" si="118"/>
        <v>0</v>
      </c>
      <c r="R372" s="936">
        <f t="shared" si="128"/>
        <v>0</v>
      </c>
      <c r="S372" s="935">
        <f t="shared" si="133"/>
        <v>0</v>
      </c>
      <c r="T372" s="935">
        <f t="shared" si="133"/>
        <v>0</v>
      </c>
      <c r="U372" s="935">
        <f t="shared" si="133"/>
        <v>0</v>
      </c>
      <c r="V372" s="935">
        <f t="shared" si="133"/>
        <v>0</v>
      </c>
      <c r="W372" s="935">
        <f t="shared" si="133"/>
        <v>0</v>
      </c>
      <c r="X372" s="935">
        <f t="shared" si="133"/>
        <v>0</v>
      </c>
      <c r="Y372" s="935">
        <f t="shared" si="129"/>
        <v>0</v>
      </c>
      <c r="Z372" s="935">
        <f t="shared" si="130"/>
        <v>0</v>
      </c>
    </row>
    <row r="373" spans="1:26" hidden="1">
      <c r="A373" s="939">
        <v>6571</v>
      </c>
      <c r="B373" s="953" t="s">
        <v>2175</v>
      </c>
      <c r="C373" s="897"/>
      <c r="D373" s="937">
        <f t="shared" ref="D373:H378" si="134">C373/12</f>
        <v>0</v>
      </c>
      <c r="E373" s="897">
        <f t="shared" si="134"/>
        <v>0</v>
      </c>
      <c r="F373" s="897">
        <f t="shared" si="134"/>
        <v>0</v>
      </c>
      <c r="G373" s="897">
        <f t="shared" si="134"/>
        <v>0</v>
      </c>
      <c r="H373" s="897">
        <f t="shared" si="134"/>
        <v>0</v>
      </c>
      <c r="I373" s="897"/>
      <c r="J373" s="897"/>
      <c r="K373" s="897"/>
      <c r="L373" s="897"/>
      <c r="M373" s="897"/>
      <c r="N373" s="897"/>
      <c r="O373" s="897"/>
      <c r="P373" s="897">
        <f t="shared" si="127"/>
        <v>0</v>
      </c>
      <c r="Q373" s="898">
        <f t="shared" si="118"/>
        <v>0</v>
      </c>
      <c r="R373" s="936">
        <f t="shared" si="128"/>
        <v>0</v>
      </c>
      <c r="S373" s="935">
        <f t="shared" si="133"/>
        <v>0</v>
      </c>
      <c r="T373" s="935">
        <f t="shared" si="133"/>
        <v>0</v>
      </c>
      <c r="U373" s="935">
        <f t="shared" si="133"/>
        <v>0</v>
      </c>
      <c r="V373" s="935">
        <f t="shared" si="133"/>
        <v>0</v>
      </c>
      <c r="W373" s="935">
        <f t="shared" si="133"/>
        <v>0</v>
      </c>
      <c r="X373" s="935">
        <f t="shared" si="133"/>
        <v>0</v>
      </c>
      <c r="Y373" s="935">
        <f t="shared" si="129"/>
        <v>0</v>
      </c>
      <c r="Z373" s="935">
        <f t="shared" si="130"/>
        <v>0</v>
      </c>
    </row>
    <row r="374" spans="1:26" hidden="1">
      <c r="A374" s="939">
        <v>6579</v>
      </c>
      <c r="B374" s="953" t="s">
        <v>2176</v>
      </c>
      <c r="C374" s="897"/>
      <c r="D374" s="937">
        <f t="shared" si="134"/>
        <v>0</v>
      </c>
      <c r="E374" s="897">
        <f t="shared" si="134"/>
        <v>0</v>
      </c>
      <c r="F374" s="897">
        <f t="shared" si="134"/>
        <v>0</v>
      </c>
      <c r="G374" s="897">
        <f t="shared" si="134"/>
        <v>0</v>
      </c>
      <c r="H374" s="897">
        <f t="shared" si="134"/>
        <v>0</v>
      </c>
      <c r="I374" s="897"/>
      <c r="J374" s="897"/>
      <c r="K374" s="897"/>
      <c r="L374" s="897"/>
      <c r="M374" s="897"/>
      <c r="N374" s="897"/>
      <c r="O374" s="897"/>
      <c r="P374" s="897">
        <f t="shared" si="127"/>
        <v>0</v>
      </c>
      <c r="Q374" s="898">
        <f t="shared" si="118"/>
        <v>0</v>
      </c>
      <c r="R374" s="936">
        <f t="shared" si="128"/>
        <v>0</v>
      </c>
      <c r="S374" s="935">
        <f t="shared" si="133"/>
        <v>0</v>
      </c>
      <c r="T374" s="935">
        <f t="shared" si="133"/>
        <v>0</v>
      </c>
      <c r="U374" s="935">
        <f t="shared" si="133"/>
        <v>0</v>
      </c>
      <c r="V374" s="935">
        <f t="shared" si="133"/>
        <v>0</v>
      </c>
      <c r="W374" s="935">
        <f t="shared" si="133"/>
        <v>0</v>
      </c>
      <c r="X374" s="935">
        <f t="shared" si="133"/>
        <v>0</v>
      </c>
      <c r="Y374" s="935">
        <f t="shared" si="129"/>
        <v>0</v>
      </c>
      <c r="Z374" s="935">
        <f t="shared" si="130"/>
        <v>0</v>
      </c>
    </row>
    <row r="375" spans="1:26" hidden="1">
      <c r="A375" s="951">
        <v>658</v>
      </c>
      <c r="B375" s="950" t="s">
        <v>2177</v>
      </c>
      <c r="C375" s="897"/>
      <c r="D375" s="937">
        <f t="shared" si="134"/>
        <v>0</v>
      </c>
      <c r="E375" s="897">
        <f t="shared" si="134"/>
        <v>0</v>
      </c>
      <c r="F375" s="897">
        <f t="shared" si="134"/>
        <v>0</v>
      </c>
      <c r="G375" s="897">
        <f t="shared" si="134"/>
        <v>0</v>
      </c>
      <c r="H375" s="897">
        <f t="shared" si="134"/>
        <v>0</v>
      </c>
      <c r="I375" s="897"/>
      <c r="J375" s="897"/>
      <c r="K375" s="897"/>
      <c r="L375" s="897"/>
      <c r="M375" s="897"/>
      <c r="N375" s="897"/>
      <c r="O375" s="897"/>
      <c r="P375" s="897">
        <f t="shared" si="127"/>
        <v>0</v>
      </c>
      <c r="Q375" s="898">
        <f t="shared" si="118"/>
        <v>0</v>
      </c>
      <c r="R375" s="936">
        <f t="shared" si="128"/>
        <v>0</v>
      </c>
      <c r="S375" s="935">
        <f t="shared" si="133"/>
        <v>0</v>
      </c>
      <c r="T375" s="935">
        <f t="shared" si="133"/>
        <v>0</v>
      </c>
      <c r="U375" s="935">
        <f t="shared" si="133"/>
        <v>0</v>
      </c>
      <c r="V375" s="935">
        <f t="shared" si="133"/>
        <v>0</v>
      </c>
      <c r="W375" s="935">
        <f t="shared" si="133"/>
        <v>0</v>
      </c>
      <c r="X375" s="935">
        <f t="shared" si="133"/>
        <v>0</v>
      </c>
      <c r="Y375" s="935">
        <f t="shared" si="129"/>
        <v>0</v>
      </c>
      <c r="Z375" s="935">
        <f t="shared" si="130"/>
        <v>0</v>
      </c>
    </row>
    <row r="376" spans="1:26" hidden="1">
      <c r="A376" s="939">
        <v>6581</v>
      </c>
      <c r="B376" s="952" t="s">
        <v>2178</v>
      </c>
      <c r="C376" s="897"/>
      <c r="D376" s="937">
        <f t="shared" si="134"/>
        <v>0</v>
      </c>
      <c r="E376" s="897">
        <f t="shared" si="134"/>
        <v>0</v>
      </c>
      <c r="F376" s="897">
        <f t="shared" si="134"/>
        <v>0</v>
      </c>
      <c r="G376" s="897">
        <f t="shared" si="134"/>
        <v>0</v>
      </c>
      <c r="H376" s="897">
        <f t="shared" si="134"/>
        <v>0</v>
      </c>
      <c r="I376" s="897"/>
      <c r="J376" s="897"/>
      <c r="K376" s="897"/>
      <c r="L376" s="897"/>
      <c r="M376" s="897"/>
      <c r="N376" s="897"/>
      <c r="O376" s="897"/>
      <c r="P376" s="897">
        <f t="shared" si="127"/>
        <v>0</v>
      </c>
      <c r="Q376" s="898">
        <f t="shared" si="118"/>
        <v>0</v>
      </c>
      <c r="R376" s="936">
        <f t="shared" si="128"/>
        <v>0</v>
      </c>
      <c r="S376" s="935">
        <f t="shared" si="133"/>
        <v>0</v>
      </c>
      <c r="T376" s="935">
        <f t="shared" si="133"/>
        <v>0</v>
      </c>
      <c r="U376" s="935">
        <f t="shared" si="133"/>
        <v>0</v>
      </c>
      <c r="V376" s="935">
        <f t="shared" si="133"/>
        <v>0</v>
      </c>
      <c r="W376" s="935">
        <f t="shared" si="133"/>
        <v>0</v>
      </c>
      <c r="X376" s="935">
        <f t="shared" si="133"/>
        <v>0</v>
      </c>
      <c r="Y376" s="935">
        <f t="shared" si="129"/>
        <v>0</v>
      </c>
      <c r="Z376" s="935">
        <f t="shared" si="130"/>
        <v>0</v>
      </c>
    </row>
    <row r="377" spans="1:26" hidden="1">
      <c r="A377" s="939">
        <v>6582</v>
      </c>
      <c r="B377" s="952" t="s">
        <v>2179</v>
      </c>
      <c r="C377" s="897"/>
      <c r="D377" s="937">
        <f t="shared" si="134"/>
        <v>0</v>
      </c>
      <c r="E377" s="897">
        <f t="shared" si="134"/>
        <v>0</v>
      </c>
      <c r="F377" s="897">
        <f t="shared" si="134"/>
        <v>0</v>
      </c>
      <c r="G377" s="897">
        <f t="shared" si="134"/>
        <v>0</v>
      </c>
      <c r="H377" s="897">
        <f t="shared" si="134"/>
        <v>0</v>
      </c>
      <c r="I377" s="897"/>
      <c r="J377" s="897"/>
      <c r="K377" s="897"/>
      <c r="L377" s="897"/>
      <c r="M377" s="897"/>
      <c r="N377" s="897"/>
      <c r="O377" s="897"/>
      <c r="P377" s="897">
        <f t="shared" si="127"/>
        <v>0</v>
      </c>
      <c r="Q377" s="898">
        <f t="shared" si="118"/>
        <v>0</v>
      </c>
      <c r="R377" s="936">
        <f t="shared" si="128"/>
        <v>0</v>
      </c>
      <c r="S377" s="935">
        <f t="shared" si="133"/>
        <v>0</v>
      </c>
      <c r="T377" s="935">
        <f t="shared" si="133"/>
        <v>0</v>
      </c>
      <c r="U377" s="935">
        <f t="shared" si="133"/>
        <v>0</v>
      </c>
      <c r="V377" s="935">
        <f t="shared" si="133"/>
        <v>0</v>
      </c>
      <c r="W377" s="935">
        <f t="shared" si="133"/>
        <v>0</v>
      </c>
      <c r="X377" s="935">
        <f t="shared" si="133"/>
        <v>0</v>
      </c>
      <c r="Y377" s="935">
        <f t="shared" si="129"/>
        <v>0</v>
      </c>
      <c r="Z377" s="935">
        <f t="shared" si="130"/>
        <v>0</v>
      </c>
    </row>
    <row r="378" spans="1:26" hidden="1">
      <c r="A378" s="951">
        <v>659</v>
      </c>
      <c r="B378" s="950" t="s">
        <v>2180</v>
      </c>
      <c r="C378" s="897"/>
      <c r="D378" s="937">
        <f t="shared" si="134"/>
        <v>0</v>
      </c>
      <c r="E378" s="897">
        <f t="shared" si="134"/>
        <v>0</v>
      </c>
      <c r="F378" s="897">
        <f t="shared" si="134"/>
        <v>0</v>
      </c>
      <c r="G378" s="897">
        <f t="shared" si="134"/>
        <v>0</v>
      </c>
      <c r="H378" s="897">
        <f t="shared" si="134"/>
        <v>0</v>
      </c>
      <c r="I378" s="897"/>
      <c r="J378" s="897"/>
      <c r="K378" s="897"/>
      <c r="L378" s="897"/>
      <c r="M378" s="897"/>
      <c r="N378" s="897"/>
      <c r="O378" s="897"/>
      <c r="P378" s="897">
        <f t="shared" si="127"/>
        <v>0</v>
      </c>
      <c r="Q378" s="898">
        <f t="shared" si="118"/>
        <v>0</v>
      </c>
      <c r="R378" s="936">
        <f t="shared" si="128"/>
        <v>0</v>
      </c>
      <c r="S378" s="935">
        <f t="shared" ref="S378:X387" si="135">R378</f>
        <v>0</v>
      </c>
      <c r="T378" s="935">
        <f t="shared" si="135"/>
        <v>0</v>
      </c>
      <c r="U378" s="935">
        <f t="shared" si="135"/>
        <v>0</v>
      </c>
      <c r="V378" s="935">
        <f t="shared" si="135"/>
        <v>0</v>
      </c>
      <c r="W378" s="935">
        <f t="shared" si="135"/>
        <v>0</v>
      </c>
      <c r="X378" s="935">
        <f t="shared" si="135"/>
        <v>0</v>
      </c>
      <c r="Y378" s="935">
        <f t="shared" si="129"/>
        <v>0</v>
      </c>
      <c r="Z378" s="935">
        <f t="shared" si="130"/>
        <v>0</v>
      </c>
    </row>
    <row r="379" spans="1:26">
      <c r="A379" s="949" t="s">
        <v>2181</v>
      </c>
      <c r="B379" s="948" t="s">
        <v>2182</v>
      </c>
      <c r="C379" s="894">
        <f t="shared" ref="C379:P379" si="136">C380</f>
        <v>0</v>
      </c>
      <c r="D379" s="947">
        <f t="shared" si="136"/>
        <v>0</v>
      </c>
      <c r="E379" s="894">
        <f t="shared" si="136"/>
        <v>0</v>
      </c>
      <c r="F379" s="894">
        <f t="shared" si="136"/>
        <v>0</v>
      </c>
      <c r="G379" s="894">
        <f t="shared" si="136"/>
        <v>0</v>
      </c>
      <c r="H379" s="894">
        <f t="shared" si="136"/>
        <v>0</v>
      </c>
      <c r="I379" s="894">
        <f t="shared" si="136"/>
        <v>0</v>
      </c>
      <c r="J379" s="894">
        <f t="shared" si="136"/>
        <v>0</v>
      </c>
      <c r="K379" s="894">
        <f t="shared" si="136"/>
        <v>0</v>
      </c>
      <c r="L379" s="894">
        <f t="shared" si="136"/>
        <v>0</v>
      </c>
      <c r="M379" s="894">
        <f t="shared" si="136"/>
        <v>0</v>
      </c>
      <c r="N379" s="894">
        <f t="shared" si="136"/>
        <v>0</v>
      </c>
      <c r="O379" s="894">
        <f t="shared" si="136"/>
        <v>0</v>
      </c>
      <c r="P379" s="894">
        <f t="shared" si="136"/>
        <v>0</v>
      </c>
      <c r="Q379" s="895">
        <f t="shared" si="118"/>
        <v>0</v>
      </c>
      <c r="R379" s="947">
        <f>R380</f>
        <v>0</v>
      </c>
      <c r="S379" s="946">
        <f t="shared" si="135"/>
        <v>0</v>
      </c>
      <c r="T379" s="946">
        <f t="shared" si="135"/>
        <v>0</v>
      </c>
      <c r="U379" s="946">
        <f t="shared" si="135"/>
        <v>0</v>
      </c>
      <c r="V379" s="946">
        <f t="shared" si="135"/>
        <v>0</v>
      </c>
      <c r="W379" s="946">
        <f t="shared" si="135"/>
        <v>0</v>
      </c>
      <c r="X379" s="946">
        <f t="shared" si="135"/>
        <v>0</v>
      </c>
      <c r="Y379" s="946">
        <f t="shared" si="129"/>
        <v>0</v>
      </c>
      <c r="Z379" s="946">
        <f t="shared" si="130"/>
        <v>0</v>
      </c>
    </row>
    <row r="380" spans="1:26" s="918" customFormat="1" ht="13.5">
      <c r="A380" s="945">
        <v>23</v>
      </c>
      <c r="B380" s="944" t="s">
        <v>2183</v>
      </c>
      <c r="C380" s="908">
        <f t="shared" ref="C380:P380" si="137">SUM(C381:C391)</f>
        <v>0</v>
      </c>
      <c r="D380" s="943">
        <f t="shared" si="137"/>
        <v>0</v>
      </c>
      <c r="E380" s="908">
        <f t="shared" si="137"/>
        <v>0</v>
      </c>
      <c r="F380" s="908">
        <f t="shared" si="137"/>
        <v>0</v>
      </c>
      <c r="G380" s="908">
        <f t="shared" si="137"/>
        <v>0</v>
      </c>
      <c r="H380" s="908">
        <f t="shared" si="137"/>
        <v>0</v>
      </c>
      <c r="I380" s="908">
        <f t="shared" si="137"/>
        <v>0</v>
      </c>
      <c r="J380" s="908">
        <f t="shared" si="137"/>
        <v>0</v>
      </c>
      <c r="K380" s="908">
        <f t="shared" si="137"/>
        <v>0</v>
      </c>
      <c r="L380" s="908">
        <f t="shared" si="137"/>
        <v>0</v>
      </c>
      <c r="M380" s="908">
        <f t="shared" si="137"/>
        <v>0</v>
      </c>
      <c r="N380" s="908">
        <f t="shared" si="137"/>
        <v>0</v>
      </c>
      <c r="O380" s="908">
        <f t="shared" si="137"/>
        <v>0</v>
      </c>
      <c r="P380" s="908">
        <f t="shared" si="137"/>
        <v>0</v>
      </c>
      <c r="Q380" s="909">
        <f t="shared" si="118"/>
        <v>0</v>
      </c>
      <c r="R380" s="942"/>
      <c r="S380" s="941">
        <f t="shared" si="135"/>
        <v>0</v>
      </c>
      <c r="T380" s="941">
        <f t="shared" si="135"/>
        <v>0</v>
      </c>
      <c r="U380" s="941">
        <f t="shared" si="135"/>
        <v>0</v>
      </c>
      <c r="V380" s="941">
        <f t="shared" si="135"/>
        <v>0</v>
      </c>
      <c r="W380" s="941">
        <f t="shared" si="135"/>
        <v>0</v>
      </c>
      <c r="X380" s="941">
        <f t="shared" si="135"/>
        <v>0</v>
      </c>
      <c r="Y380" s="941">
        <f t="shared" si="129"/>
        <v>0</v>
      </c>
      <c r="Z380" s="941">
        <f t="shared" si="130"/>
        <v>0</v>
      </c>
    </row>
    <row r="381" spans="1:26" s="918" customFormat="1" ht="15">
      <c r="A381" s="940" t="s">
        <v>2184</v>
      </c>
      <c r="B381" s="938" t="s">
        <v>2185</v>
      </c>
      <c r="C381" s="897"/>
      <c r="D381" s="937"/>
      <c r="E381" s="897"/>
      <c r="F381" s="897"/>
      <c r="G381" s="897"/>
      <c r="H381" s="897"/>
      <c r="I381" s="897"/>
      <c r="J381" s="897"/>
      <c r="K381" s="897"/>
      <c r="L381" s="897"/>
      <c r="M381" s="897"/>
      <c r="N381" s="897">
        <v>0</v>
      </c>
      <c r="O381" s="897"/>
      <c r="P381" s="897">
        <f t="shared" ref="P381:P391" si="138">SUM(D381:O381)</f>
        <v>0</v>
      </c>
      <c r="Q381" s="898">
        <f t="shared" si="118"/>
        <v>0</v>
      </c>
      <c r="R381" s="936"/>
      <c r="S381" s="935">
        <f t="shared" si="135"/>
        <v>0</v>
      </c>
      <c r="T381" s="935">
        <f t="shared" si="135"/>
        <v>0</v>
      </c>
      <c r="U381" s="935">
        <f t="shared" si="135"/>
        <v>0</v>
      </c>
      <c r="V381" s="935">
        <f t="shared" si="135"/>
        <v>0</v>
      </c>
      <c r="W381" s="935">
        <f t="shared" si="135"/>
        <v>0</v>
      </c>
      <c r="X381" s="935">
        <f t="shared" si="135"/>
        <v>0</v>
      </c>
      <c r="Y381" s="935">
        <f t="shared" si="129"/>
        <v>0</v>
      </c>
      <c r="Z381" s="935">
        <f t="shared" si="130"/>
        <v>0</v>
      </c>
    </row>
    <row r="382" spans="1:26" s="918" customFormat="1" ht="15">
      <c r="A382" s="940" t="s">
        <v>2186</v>
      </c>
      <c r="B382" s="938" t="s">
        <v>2187</v>
      </c>
      <c r="C382" s="897"/>
      <c r="D382" s="937"/>
      <c r="E382" s="897"/>
      <c r="F382" s="897"/>
      <c r="G382" s="897"/>
      <c r="H382" s="897"/>
      <c r="I382" s="897"/>
      <c r="J382" s="897"/>
      <c r="K382" s="897"/>
      <c r="L382" s="897"/>
      <c r="M382" s="897"/>
      <c r="N382" s="897"/>
      <c r="O382" s="897"/>
      <c r="P382" s="897">
        <f t="shared" si="138"/>
        <v>0</v>
      </c>
      <c r="Q382" s="898">
        <f t="shared" si="118"/>
        <v>0</v>
      </c>
      <c r="R382" s="936"/>
      <c r="S382" s="935">
        <f t="shared" si="135"/>
        <v>0</v>
      </c>
      <c r="T382" s="935">
        <f t="shared" si="135"/>
        <v>0</v>
      </c>
      <c r="U382" s="935">
        <f t="shared" si="135"/>
        <v>0</v>
      </c>
      <c r="V382" s="935">
        <f t="shared" si="135"/>
        <v>0</v>
      </c>
      <c r="W382" s="935">
        <f t="shared" si="135"/>
        <v>0</v>
      </c>
      <c r="X382" s="935">
        <f t="shared" si="135"/>
        <v>0</v>
      </c>
      <c r="Y382" s="935">
        <f t="shared" si="129"/>
        <v>0</v>
      </c>
      <c r="Z382" s="935">
        <f t="shared" si="130"/>
        <v>0</v>
      </c>
    </row>
    <row r="383" spans="1:26" s="918" customFormat="1">
      <c r="A383" s="939">
        <v>2431</v>
      </c>
      <c r="B383" s="938" t="s">
        <v>1076</v>
      </c>
      <c r="C383" s="897"/>
      <c r="D383" s="937"/>
      <c r="E383" s="897"/>
      <c r="F383" s="897"/>
      <c r="G383" s="897"/>
      <c r="H383" s="897"/>
      <c r="I383" s="897"/>
      <c r="J383" s="897"/>
      <c r="K383" s="897"/>
      <c r="L383" s="897"/>
      <c r="M383" s="897"/>
      <c r="N383" s="897"/>
      <c r="O383" s="897"/>
      <c r="P383" s="897">
        <f t="shared" si="138"/>
        <v>0</v>
      </c>
      <c r="Q383" s="898">
        <f t="shared" si="118"/>
        <v>0</v>
      </c>
      <c r="R383" s="936"/>
      <c r="S383" s="935">
        <f t="shared" si="135"/>
        <v>0</v>
      </c>
      <c r="T383" s="935">
        <f t="shared" si="135"/>
        <v>0</v>
      </c>
      <c r="U383" s="935">
        <f t="shared" si="135"/>
        <v>0</v>
      </c>
      <c r="V383" s="935">
        <f t="shared" si="135"/>
        <v>0</v>
      </c>
      <c r="W383" s="935">
        <f t="shared" si="135"/>
        <v>0</v>
      </c>
      <c r="X383" s="935">
        <f t="shared" si="135"/>
        <v>0</v>
      </c>
      <c r="Y383" s="935">
        <f t="shared" si="129"/>
        <v>0</v>
      </c>
      <c r="Z383" s="935">
        <f t="shared" si="130"/>
        <v>0</v>
      </c>
    </row>
    <row r="384" spans="1:26" s="918" customFormat="1">
      <c r="A384" s="939" t="s">
        <v>2188</v>
      </c>
      <c r="B384" s="938" t="s">
        <v>2189</v>
      </c>
      <c r="C384" s="897"/>
      <c r="D384" s="937"/>
      <c r="E384" s="897"/>
      <c r="F384" s="897"/>
      <c r="G384" s="897"/>
      <c r="H384" s="897"/>
      <c r="I384" s="897"/>
      <c r="J384" s="897"/>
      <c r="K384" s="897"/>
      <c r="L384" s="897"/>
      <c r="M384" s="897"/>
      <c r="N384" s="897"/>
      <c r="O384" s="897"/>
      <c r="P384" s="897">
        <f t="shared" si="138"/>
        <v>0</v>
      </c>
      <c r="Q384" s="898">
        <f t="shared" si="118"/>
        <v>0</v>
      </c>
      <c r="R384" s="936"/>
      <c r="S384" s="935">
        <f t="shared" si="135"/>
        <v>0</v>
      </c>
      <c r="T384" s="935">
        <f t="shared" si="135"/>
        <v>0</v>
      </c>
      <c r="U384" s="935">
        <f t="shared" si="135"/>
        <v>0</v>
      </c>
      <c r="V384" s="935">
        <f t="shared" si="135"/>
        <v>0</v>
      </c>
      <c r="W384" s="935">
        <f t="shared" si="135"/>
        <v>0</v>
      </c>
      <c r="X384" s="935">
        <f t="shared" si="135"/>
        <v>0</v>
      </c>
      <c r="Y384" s="935">
        <f t="shared" si="129"/>
        <v>0</v>
      </c>
      <c r="Z384" s="935">
        <f t="shared" si="130"/>
        <v>0</v>
      </c>
    </row>
    <row r="385" spans="1:26" s="918" customFormat="1">
      <c r="A385" s="939">
        <v>6112</v>
      </c>
      <c r="B385" s="938" t="s">
        <v>2190</v>
      </c>
      <c r="C385" s="897"/>
      <c r="D385" s="937"/>
      <c r="E385" s="897"/>
      <c r="F385" s="897"/>
      <c r="G385" s="897"/>
      <c r="H385" s="897"/>
      <c r="I385" s="897"/>
      <c r="J385" s="897"/>
      <c r="K385" s="897"/>
      <c r="L385" s="897"/>
      <c r="M385" s="897"/>
      <c r="N385" s="897"/>
      <c r="O385" s="897"/>
      <c r="P385" s="897">
        <f t="shared" si="138"/>
        <v>0</v>
      </c>
      <c r="Q385" s="898">
        <f t="shared" si="118"/>
        <v>0</v>
      </c>
      <c r="R385" s="936"/>
      <c r="S385" s="935">
        <f t="shared" si="135"/>
        <v>0</v>
      </c>
      <c r="T385" s="935">
        <f t="shared" si="135"/>
        <v>0</v>
      </c>
      <c r="U385" s="935">
        <f t="shared" si="135"/>
        <v>0</v>
      </c>
      <c r="V385" s="935">
        <f t="shared" si="135"/>
        <v>0</v>
      </c>
      <c r="W385" s="935">
        <f t="shared" si="135"/>
        <v>0</v>
      </c>
      <c r="X385" s="935">
        <f t="shared" si="135"/>
        <v>0</v>
      </c>
      <c r="Y385" s="935">
        <f t="shared" si="129"/>
        <v>0</v>
      </c>
      <c r="Z385" s="935">
        <f t="shared" si="130"/>
        <v>0</v>
      </c>
    </row>
    <row r="386" spans="1:26" s="918" customFormat="1">
      <c r="A386" s="939">
        <v>6171</v>
      </c>
      <c r="B386" s="938" t="s">
        <v>2191</v>
      </c>
      <c r="C386" s="897"/>
      <c r="D386" s="937"/>
      <c r="E386" s="897"/>
      <c r="F386" s="897"/>
      <c r="G386" s="897"/>
      <c r="H386" s="897"/>
      <c r="I386" s="897"/>
      <c r="J386" s="897"/>
      <c r="K386" s="897"/>
      <c r="L386" s="897"/>
      <c r="M386" s="897"/>
      <c r="N386" s="897"/>
      <c r="O386" s="897"/>
      <c r="P386" s="897">
        <f t="shared" si="138"/>
        <v>0</v>
      </c>
      <c r="Q386" s="898">
        <f t="shared" si="118"/>
        <v>0</v>
      </c>
      <c r="R386" s="936"/>
      <c r="S386" s="935">
        <f t="shared" si="135"/>
        <v>0</v>
      </c>
      <c r="T386" s="935">
        <f t="shared" si="135"/>
        <v>0</v>
      </c>
      <c r="U386" s="935">
        <f t="shared" si="135"/>
        <v>0</v>
      </c>
      <c r="V386" s="935">
        <f t="shared" si="135"/>
        <v>0</v>
      </c>
      <c r="W386" s="935">
        <f t="shared" si="135"/>
        <v>0</v>
      </c>
      <c r="X386" s="935">
        <f t="shared" si="135"/>
        <v>0</v>
      </c>
      <c r="Y386" s="935">
        <f t="shared" si="129"/>
        <v>0</v>
      </c>
      <c r="Z386" s="935">
        <f t="shared" si="130"/>
        <v>0</v>
      </c>
    </row>
    <row r="387" spans="1:26">
      <c r="A387" s="939">
        <v>6200</v>
      </c>
      <c r="B387" s="938" t="s">
        <v>2192</v>
      </c>
      <c r="C387" s="897"/>
      <c r="D387" s="937"/>
      <c r="E387" s="897"/>
      <c r="F387" s="897"/>
      <c r="G387" s="897"/>
      <c r="H387" s="897"/>
      <c r="I387" s="897"/>
      <c r="J387" s="897"/>
      <c r="K387" s="897"/>
      <c r="L387" s="897"/>
      <c r="M387" s="897"/>
      <c r="N387" s="897"/>
      <c r="O387" s="897"/>
      <c r="P387" s="897">
        <f t="shared" si="138"/>
        <v>0</v>
      </c>
      <c r="Q387" s="898">
        <f t="shared" si="118"/>
        <v>0</v>
      </c>
      <c r="R387" s="936"/>
      <c r="S387" s="935">
        <f t="shared" si="135"/>
        <v>0</v>
      </c>
      <c r="T387" s="935">
        <f t="shared" si="135"/>
        <v>0</v>
      </c>
      <c r="U387" s="935">
        <f t="shared" si="135"/>
        <v>0</v>
      </c>
      <c r="V387" s="935">
        <f t="shared" si="135"/>
        <v>0</v>
      </c>
      <c r="W387" s="935">
        <f t="shared" si="135"/>
        <v>0</v>
      </c>
      <c r="X387" s="935">
        <f t="shared" si="135"/>
        <v>0</v>
      </c>
      <c r="Y387" s="935">
        <f t="shared" si="129"/>
        <v>0</v>
      </c>
      <c r="Z387" s="935">
        <f t="shared" si="130"/>
        <v>0</v>
      </c>
    </row>
    <row r="388" spans="1:26">
      <c r="A388" s="939">
        <v>6212</v>
      </c>
      <c r="B388" s="938" t="s">
        <v>2193</v>
      </c>
      <c r="C388" s="897"/>
      <c r="D388" s="937"/>
      <c r="E388" s="897"/>
      <c r="F388" s="897"/>
      <c r="G388" s="897"/>
      <c r="H388" s="897"/>
      <c r="I388" s="897"/>
      <c r="J388" s="897"/>
      <c r="K388" s="897"/>
      <c r="L388" s="897"/>
      <c r="M388" s="897"/>
      <c r="N388" s="897"/>
      <c r="O388" s="897"/>
      <c r="P388" s="897">
        <f t="shared" si="138"/>
        <v>0</v>
      </c>
      <c r="Q388" s="898">
        <f t="shared" si="118"/>
        <v>0</v>
      </c>
      <c r="R388" s="936"/>
      <c r="S388" s="935">
        <f t="shared" ref="S388:X391" si="139">R388</f>
        <v>0</v>
      </c>
      <c r="T388" s="935">
        <f t="shared" si="139"/>
        <v>0</v>
      </c>
      <c r="U388" s="935">
        <f t="shared" si="139"/>
        <v>0</v>
      </c>
      <c r="V388" s="935">
        <f t="shared" si="139"/>
        <v>0</v>
      </c>
      <c r="W388" s="935">
        <f t="shared" si="139"/>
        <v>0</v>
      </c>
      <c r="X388" s="935">
        <f t="shared" si="139"/>
        <v>0</v>
      </c>
      <c r="Y388" s="935">
        <f t="shared" si="129"/>
        <v>0</v>
      </c>
      <c r="Z388" s="935">
        <f t="shared" si="130"/>
        <v>0</v>
      </c>
    </row>
    <row r="389" spans="1:26">
      <c r="A389" s="939">
        <v>6234</v>
      </c>
      <c r="B389" s="938" t="s">
        <v>2194</v>
      </c>
      <c r="C389" s="897"/>
      <c r="D389" s="937"/>
      <c r="E389" s="897"/>
      <c r="F389" s="897"/>
      <c r="G389" s="897"/>
      <c r="H389" s="897"/>
      <c r="I389" s="897"/>
      <c r="J389" s="897"/>
      <c r="K389" s="897"/>
      <c r="L389" s="897"/>
      <c r="M389" s="897"/>
      <c r="N389" s="897"/>
      <c r="O389" s="897"/>
      <c r="P389" s="897">
        <f t="shared" si="138"/>
        <v>0</v>
      </c>
      <c r="Q389" s="898">
        <f t="shared" si="118"/>
        <v>0</v>
      </c>
      <c r="R389" s="936"/>
      <c r="S389" s="935">
        <f t="shared" si="139"/>
        <v>0</v>
      </c>
      <c r="T389" s="935">
        <f t="shared" si="139"/>
        <v>0</v>
      </c>
      <c r="U389" s="935">
        <f t="shared" si="139"/>
        <v>0</v>
      </c>
      <c r="V389" s="935">
        <f t="shared" si="139"/>
        <v>0</v>
      </c>
      <c r="W389" s="935">
        <f t="shared" si="139"/>
        <v>0</v>
      </c>
      <c r="X389" s="935">
        <f t="shared" si="139"/>
        <v>0</v>
      </c>
      <c r="Y389" s="935">
        <f t="shared" si="129"/>
        <v>0</v>
      </c>
      <c r="Z389" s="935">
        <f t="shared" si="130"/>
        <v>0</v>
      </c>
    </row>
    <row r="390" spans="1:26">
      <c r="A390" s="939">
        <v>6235</v>
      </c>
      <c r="B390" s="938" t="s">
        <v>2195</v>
      </c>
      <c r="C390" s="897"/>
      <c r="D390" s="937"/>
      <c r="E390" s="897"/>
      <c r="F390" s="897"/>
      <c r="G390" s="897"/>
      <c r="H390" s="897"/>
      <c r="I390" s="897"/>
      <c r="J390" s="897"/>
      <c r="K390" s="897"/>
      <c r="L390" s="897"/>
      <c r="M390" s="897"/>
      <c r="N390" s="897">
        <v>0</v>
      </c>
      <c r="O390" s="897">
        <v>0</v>
      </c>
      <c r="P390" s="897">
        <f t="shared" si="138"/>
        <v>0</v>
      </c>
      <c r="Q390" s="898">
        <f t="shared" si="118"/>
        <v>0</v>
      </c>
      <c r="R390" s="936"/>
      <c r="S390" s="935">
        <f t="shared" si="139"/>
        <v>0</v>
      </c>
      <c r="T390" s="935">
        <f t="shared" si="139"/>
        <v>0</v>
      </c>
      <c r="U390" s="935">
        <f t="shared" si="139"/>
        <v>0</v>
      </c>
      <c r="V390" s="935">
        <f t="shared" si="139"/>
        <v>0</v>
      </c>
      <c r="W390" s="935">
        <f t="shared" si="139"/>
        <v>0</v>
      </c>
      <c r="X390" s="935">
        <f t="shared" si="139"/>
        <v>0</v>
      </c>
      <c r="Y390" s="935">
        <f t="shared" si="129"/>
        <v>0</v>
      </c>
      <c r="Z390" s="935">
        <f t="shared" si="130"/>
        <v>0</v>
      </c>
    </row>
    <row r="391" spans="1:26">
      <c r="A391" s="939">
        <v>9159</v>
      </c>
      <c r="B391" s="938" t="s">
        <v>2196</v>
      </c>
      <c r="C391" s="897"/>
      <c r="D391" s="937"/>
      <c r="E391" s="897"/>
      <c r="F391" s="897"/>
      <c r="G391" s="897"/>
      <c r="H391" s="897"/>
      <c r="I391" s="897"/>
      <c r="J391" s="897"/>
      <c r="K391" s="897"/>
      <c r="L391" s="897"/>
      <c r="M391" s="897"/>
      <c r="N391" s="897">
        <v>0</v>
      </c>
      <c r="O391" s="897">
        <v>0</v>
      </c>
      <c r="P391" s="897">
        <f t="shared" si="138"/>
        <v>0</v>
      </c>
      <c r="Q391" s="898">
        <f t="shared" si="118"/>
        <v>0</v>
      </c>
      <c r="R391" s="936"/>
      <c r="S391" s="935">
        <f t="shared" si="139"/>
        <v>0</v>
      </c>
      <c r="T391" s="935">
        <f t="shared" si="139"/>
        <v>0</v>
      </c>
      <c r="U391" s="935">
        <f t="shared" si="139"/>
        <v>0</v>
      </c>
      <c r="V391" s="935">
        <f t="shared" si="139"/>
        <v>0</v>
      </c>
      <c r="W391" s="935">
        <f t="shared" si="139"/>
        <v>0</v>
      </c>
      <c r="X391" s="935">
        <f t="shared" si="139"/>
        <v>0</v>
      </c>
      <c r="Y391" s="935">
        <f t="shared" si="129"/>
        <v>0</v>
      </c>
      <c r="Z391" s="935">
        <f t="shared" si="130"/>
        <v>0</v>
      </c>
    </row>
    <row r="392" spans="1:26">
      <c r="A392" s="934"/>
      <c r="B392" s="933" t="s">
        <v>2207</v>
      </c>
      <c r="C392" s="932"/>
      <c r="D392" s="932"/>
      <c r="E392" s="931"/>
      <c r="F392" s="931"/>
      <c r="G392" s="931"/>
      <c r="H392" s="931"/>
      <c r="I392" s="931"/>
      <c r="J392" s="931"/>
      <c r="K392" s="1293"/>
      <c r="L392" s="1293"/>
      <c r="M392" s="1293"/>
      <c r="N392" s="1293"/>
      <c r="O392" s="1293"/>
      <c r="P392" s="930">
        <f>SUM(D392:N392)</f>
        <v>0</v>
      </c>
      <c r="Q392" s="930">
        <f t="shared" si="118"/>
        <v>0</v>
      </c>
      <c r="R392" s="936"/>
      <c r="S392" s="935"/>
      <c r="T392" s="935"/>
      <c r="U392" s="935"/>
      <c r="V392" s="935"/>
      <c r="W392" s="935"/>
      <c r="X392" s="935"/>
      <c r="Y392" s="935"/>
      <c r="Z392" s="935"/>
    </row>
    <row r="393" spans="1:26">
      <c r="A393" s="934" t="s">
        <v>2197</v>
      </c>
      <c r="B393" s="933" t="s">
        <v>2198</v>
      </c>
      <c r="C393" s="931">
        <f t="shared" ref="C393:P393" si="140">C394</f>
        <v>0</v>
      </c>
      <c r="D393" s="932">
        <f t="shared" si="140"/>
        <v>0</v>
      </c>
      <c r="E393" s="931">
        <f t="shared" si="140"/>
        <v>0</v>
      </c>
      <c r="F393" s="931">
        <f t="shared" si="140"/>
        <v>0</v>
      </c>
      <c r="G393" s="931">
        <f t="shared" si="140"/>
        <v>0</v>
      </c>
      <c r="H393" s="931">
        <f t="shared" si="140"/>
        <v>0</v>
      </c>
      <c r="I393" s="931">
        <f t="shared" si="140"/>
        <v>0</v>
      </c>
      <c r="J393" s="931">
        <f t="shared" si="140"/>
        <v>0</v>
      </c>
      <c r="K393" s="1288">
        <f t="shared" si="140"/>
        <v>0</v>
      </c>
      <c r="L393" s="1288">
        <f t="shared" si="140"/>
        <v>0</v>
      </c>
      <c r="M393" s="1288">
        <f t="shared" si="140"/>
        <v>0</v>
      </c>
      <c r="N393" s="1288">
        <f t="shared" si="140"/>
        <v>0</v>
      </c>
      <c r="O393" s="1288">
        <f t="shared" si="140"/>
        <v>0</v>
      </c>
      <c r="P393" s="1288">
        <f t="shared" si="140"/>
        <v>0</v>
      </c>
      <c r="Q393" s="930">
        <f t="shared" si="118"/>
        <v>0</v>
      </c>
      <c r="R393" s="929">
        <f>R394</f>
        <v>0</v>
      </c>
      <c r="S393" s="928">
        <f t="shared" ref="S393:X394" si="141">R393</f>
        <v>0</v>
      </c>
      <c r="T393" s="928">
        <f t="shared" si="141"/>
        <v>0</v>
      </c>
      <c r="U393" s="928">
        <f t="shared" si="141"/>
        <v>0</v>
      </c>
      <c r="V393" s="928">
        <f t="shared" si="141"/>
        <v>0</v>
      </c>
      <c r="W393" s="928">
        <f t="shared" si="141"/>
        <v>0</v>
      </c>
      <c r="X393" s="928">
        <f t="shared" si="141"/>
        <v>0</v>
      </c>
      <c r="Y393" s="928">
        <f>SUM(R393:X393)</f>
        <v>0</v>
      </c>
      <c r="Z393" s="928">
        <f>Q393-Y393</f>
        <v>0</v>
      </c>
    </row>
    <row r="394" spans="1:26">
      <c r="A394" s="927">
        <v>9219</v>
      </c>
      <c r="B394" s="926" t="s">
        <v>2199</v>
      </c>
      <c r="C394" s="924"/>
      <c r="D394" s="925"/>
      <c r="E394" s="924"/>
      <c r="F394" s="924"/>
      <c r="G394" s="924"/>
      <c r="H394" s="924"/>
      <c r="I394" s="924"/>
      <c r="J394" s="924"/>
      <c r="K394" s="924"/>
      <c r="L394" s="924"/>
      <c r="M394" s="924"/>
      <c r="N394" s="924"/>
      <c r="O394" s="924"/>
      <c r="P394" s="924">
        <f>SUM(D394:O394)</f>
        <v>0</v>
      </c>
      <c r="Q394" s="923">
        <f t="shared" si="118"/>
        <v>0</v>
      </c>
      <c r="R394" s="922"/>
      <c r="S394" s="921">
        <f t="shared" si="141"/>
        <v>0</v>
      </c>
      <c r="T394" s="921">
        <f t="shared" si="141"/>
        <v>0</v>
      </c>
      <c r="U394" s="921">
        <f t="shared" si="141"/>
        <v>0</v>
      </c>
      <c r="V394" s="921">
        <f t="shared" si="141"/>
        <v>0</v>
      </c>
      <c r="W394" s="921">
        <f t="shared" si="141"/>
        <v>0</v>
      </c>
      <c r="X394" s="921">
        <f t="shared" si="141"/>
        <v>0</v>
      </c>
      <c r="Y394" s="921">
        <f>SUM(R394:X394)</f>
        <v>0</v>
      </c>
      <c r="Z394" s="921">
        <f>Q394-Y394</f>
        <v>0</v>
      </c>
    </row>
    <row r="395" spans="1:26">
      <c r="A395" s="1292"/>
      <c r="B395" s="1123" t="s">
        <v>1770</v>
      </c>
      <c r="C395" s="1292"/>
      <c r="D395" s="1290">
        <f t="shared" ref="D395:O395" si="142">+D9-D25</f>
        <v>5590621.3829999994</v>
      </c>
      <c r="E395" s="1290">
        <f t="shared" si="142"/>
        <v>7783747.5520000001</v>
      </c>
      <c r="F395" s="1290">
        <f t="shared" si="142"/>
        <v>18210475.594000001</v>
      </c>
      <c r="G395" s="1290">
        <f t="shared" si="142"/>
        <v>5427765.0270000007</v>
      </c>
      <c r="H395" s="1290">
        <f t="shared" si="142"/>
        <v>8350971.6290000007</v>
      </c>
      <c r="I395" s="1290">
        <f t="shared" si="142"/>
        <v>20598376.410999998</v>
      </c>
      <c r="J395" s="1290">
        <f t="shared" si="142"/>
        <v>12145274.793</v>
      </c>
      <c r="K395" s="1290">
        <f t="shared" si="142"/>
        <v>7367686.6000399999</v>
      </c>
      <c r="L395" s="1290">
        <f t="shared" si="142"/>
        <v>12061412.563999999</v>
      </c>
      <c r="M395" s="1290">
        <f t="shared" si="142"/>
        <v>14013526.866999999</v>
      </c>
      <c r="N395" s="1290">
        <f t="shared" si="142"/>
        <v>6669756.8939999994</v>
      </c>
      <c r="O395" s="1290">
        <f t="shared" si="142"/>
        <v>11841544.390000001</v>
      </c>
      <c r="P395" s="1288">
        <f>+D395+E395+F395+G395+H395+I395+J395+K395+L395+M395+N395+O395</f>
        <v>130061159.70403999</v>
      </c>
      <c r="Q395" s="1123"/>
      <c r="R395" s="1124"/>
      <c r="S395" s="1124"/>
      <c r="T395" s="1124"/>
      <c r="U395" s="1124"/>
      <c r="V395" s="1124"/>
      <c r="W395" s="1124"/>
      <c r="X395" s="1124"/>
      <c r="Y395" s="1124"/>
      <c r="Z395" s="1124"/>
    </row>
    <row r="396" spans="1:26">
      <c r="A396" s="1291"/>
      <c r="B396" s="1211" t="s">
        <v>2694</v>
      </c>
      <c r="C396" s="1291"/>
      <c r="D396" s="1290"/>
      <c r="E396" s="1290"/>
      <c r="F396" s="1290"/>
      <c r="G396" s="1290"/>
      <c r="H396" s="1290"/>
      <c r="I396" s="1290"/>
      <c r="J396" s="1290"/>
      <c r="K396" s="1290"/>
      <c r="L396" s="1290"/>
      <c r="M396" s="1290"/>
      <c r="N396" s="1289"/>
      <c r="O396" s="1289"/>
      <c r="P396" s="1288">
        <f>SUM(D396:O396)</f>
        <v>0</v>
      </c>
      <c r="Q396" s="1125"/>
      <c r="R396" s="1124"/>
      <c r="S396" s="1124"/>
      <c r="T396" s="1124"/>
      <c r="U396" s="1124"/>
      <c r="V396" s="1124"/>
      <c r="W396" s="1124"/>
      <c r="X396" s="1124"/>
      <c r="Y396" s="1124"/>
      <c r="Z396" s="1124"/>
    </row>
    <row r="397" spans="1:26" ht="13.5" thickBot="1">
      <c r="A397" s="1286"/>
      <c r="B397" s="1287" t="s">
        <v>2204</v>
      </c>
      <c r="C397" s="1286"/>
      <c r="D397" s="1285">
        <f t="shared" ref="D397:O397" si="143">+D395+D396</f>
        <v>5590621.3829999994</v>
      </c>
      <c r="E397" s="1285">
        <f t="shared" si="143"/>
        <v>7783747.5520000001</v>
      </c>
      <c r="F397" s="1285">
        <f t="shared" si="143"/>
        <v>18210475.594000001</v>
      </c>
      <c r="G397" s="1285">
        <f t="shared" si="143"/>
        <v>5427765.0270000007</v>
      </c>
      <c r="H397" s="1285">
        <f t="shared" si="143"/>
        <v>8350971.6290000007</v>
      </c>
      <c r="I397" s="1285">
        <f t="shared" si="143"/>
        <v>20598376.410999998</v>
      </c>
      <c r="J397" s="1285">
        <f t="shared" si="143"/>
        <v>12145274.793</v>
      </c>
      <c r="K397" s="1285">
        <f t="shared" si="143"/>
        <v>7367686.6000399999</v>
      </c>
      <c r="L397" s="1285">
        <f t="shared" si="143"/>
        <v>12061412.563999999</v>
      </c>
      <c r="M397" s="1285">
        <f t="shared" si="143"/>
        <v>14013526.866999999</v>
      </c>
      <c r="N397" s="1285">
        <f t="shared" si="143"/>
        <v>6669756.8939999994</v>
      </c>
      <c r="O397" s="1285">
        <f t="shared" si="143"/>
        <v>11841544.390000001</v>
      </c>
      <c r="P397" s="1284">
        <f>SUM(D397:O397)</f>
        <v>130061159.70403999</v>
      </c>
      <c r="Q397" s="1283"/>
      <c r="R397" s="1124"/>
      <c r="S397" s="1124"/>
      <c r="T397" s="1124"/>
      <c r="U397" s="1124"/>
      <c r="V397" s="1124"/>
      <c r="W397" s="1124"/>
      <c r="X397" s="1124"/>
      <c r="Y397" s="1124"/>
      <c r="Z397" s="1124"/>
    </row>
    <row r="398" spans="1:26">
      <c r="A398" s="2256"/>
      <c r="B398" s="2257"/>
      <c r="C398" s="893"/>
      <c r="D398" s="893"/>
      <c r="E398" s="893"/>
      <c r="F398" s="893"/>
      <c r="G398" s="893"/>
      <c r="H398" s="893"/>
      <c r="I398" s="893"/>
      <c r="J398" s="893"/>
      <c r="K398" s="893"/>
      <c r="L398" s="893"/>
      <c r="M398" s="893"/>
      <c r="N398" s="893"/>
      <c r="O398" s="893"/>
      <c r="P398" s="893"/>
      <c r="Q398" s="1282"/>
      <c r="R398" s="893"/>
      <c r="S398" s="893"/>
    </row>
    <row r="399" spans="1:26" ht="15.75">
      <c r="B399" s="1281"/>
    </row>
  </sheetData>
  <mergeCells count="14">
    <mergeCell ref="A398:B398"/>
    <mergeCell ref="A6:A7"/>
    <mergeCell ref="B6:B7"/>
    <mergeCell ref="C6:C7"/>
    <mergeCell ref="D6:F6"/>
    <mergeCell ref="A2:Q2"/>
    <mergeCell ref="A3:Q3"/>
    <mergeCell ref="A4:Q4"/>
    <mergeCell ref="A5:Q5"/>
    <mergeCell ref="V6:X6"/>
    <mergeCell ref="G6:I6"/>
    <mergeCell ref="J6:L6"/>
    <mergeCell ref="S6:U6"/>
    <mergeCell ref="M6:O6"/>
  </mergeCells>
  <printOptions horizontalCentered="1"/>
  <pageMargins left="0.15748031496062992" right="0.19685039370078741" top="0.15748031496062992" bottom="0.35433070866141736" header="0.15748031496062992" footer="0.15748031496062992"/>
  <pageSetup paperSize="9" scale="65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4">
    <pageSetUpPr fitToPage="1"/>
  </sheetPr>
  <dimension ref="A1:IV280"/>
  <sheetViews>
    <sheetView view="pageBreakPreview" zoomScale="80" zoomScaleNormal="80" zoomScaleSheetLayoutView="80" workbookViewId="0">
      <pane xSplit="5" ySplit="5" topLeftCell="M116" activePane="bottomRight" state="frozen"/>
      <selection activeCell="B1" sqref="B1"/>
      <selection pane="topRight" activeCell="E1" sqref="E1"/>
      <selection pane="bottomLeft" activeCell="B4" sqref="B4"/>
      <selection pane="bottomRight"/>
    </sheetView>
  </sheetViews>
  <sheetFormatPr defaultColWidth="9.140625" defaultRowHeight="21" outlineLevelRow="2"/>
  <cols>
    <col min="1" max="1" width="75.7109375" style="1668" hidden="1" customWidth="1"/>
    <col min="2" max="2" width="24.5703125" style="1668" hidden="1" customWidth="1"/>
    <col min="3" max="3" width="61.28515625" style="1668" customWidth="1"/>
    <col min="4" max="4" width="15.28515625" style="1668" hidden="1" customWidth="1"/>
    <col min="5" max="5" width="21.28515625" style="1668" bestFit="1" customWidth="1"/>
    <col min="6" max="6" width="22" style="1668" customWidth="1"/>
    <col min="7" max="7" width="23.7109375" style="1668" customWidth="1"/>
    <col min="8" max="10" width="22" style="1668" customWidth="1"/>
    <col min="11" max="17" width="23.7109375" style="1668" customWidth="1"/>
    <col min="18" max="18" width="28.5703125" style="1668" bestFit="1" customWidth="1"/>
    <col min="19" max="19" width="17" style="1668" bestFit="1" customWidth="1"/>
    <col min="20" max="21" width="17.85546875" style="1668" bestFit="1" customWidth="1"/>
    <col min="22" max="22" width="37.140625" style="1668" bestFit="1" customWidth="1"/>
    <col min="23" max="23" width="13" style="1668" bestFit="1" customWidth="1"/>
    <col min="24" max="24" width="16.28515625" style="1668" bestFit="1" customWidth="1"/>
    <col min="25" max="25" width="18.7109375" style="1668" bestFit="1" customWidth="1"/>
    <col min="26" max="26" width="20.28515625" style="1668" bestFit="1" customWidth="1"/>
    <col min="27" max="27" width="13.5703125" style="1668" bestFit="1" customWidth="1"/>
    <col min="28" max="33" width="9.140625" style="1668"/>
    <col min="34" max="34" width="9.5703125" style="1668" customWidth="1"/>
    <col min="35" max="16384" width="9.140625" style="1668"/>
  </cols>
  <sheetData>
    <row r="1" spans="1:27" ht="21.75" thickBot="1">
      <c r="A1" s="1654"/>
      <c r="B1" s="1655"/>
      <c r="C1" s="1655"/>
      <c r="D1" s="1656"/>
      <c r="E1" s="1657"/>
      <c r="F1" s="1658"/>
      <c r="G1" s="1659"/>
      <c r="H1" s="1660"/>
      <c r="I1" s="1661"/>
      <c r="J1" s="1662" t="s">
        <v>3020</v>
      </c>
      <c r="K1" s="1660"/>
      <c r="L1" s="1663"/>
      <c r="M1" s="1660"/>
      <c r="N1" s="1660"/>
      <c r="O1" s="1660"/>
      <c r="P1" s="1664"/>
      <c r="Q1" s="1660"/>
      <c r="R1" s="1665" t="s">
        <v>2757</v>
      </c>
      <c r="S1" s="1666"/>
      <c r="T1" s="1665"/>
      <c r="U1" s="1667"/>
      <c r="V1" s="1668" t="s">
        <v>2873</v>
      </c>
      <c r="X1" s="1669">
        <v>811390</v>
      </c>
      <c r="Y1" s="1668">
        <f>+R166/R8*100</f>
        <v>-2.7130005343784802</v>
      </c>
    </row>
    <row r="2" spans="1:27">
      <c r="A2" s="1654"/>
      <c r="B2" s="1655"/>
      <c r="C2" s="1655"/>
      <c r="D2" s="1656"/>
      <c r="E2" s="1657"/>
      <c r="F2" s="1658"/>
      <c r="G2" s="1658"/>
      <c r="H2" s="1658"/>
      <c r="I2" s="1658"/>
      <c r="J2" s="1658"/>
      <c r="K2" s="1658"/>
      <c r="L2" s="1658"/>
      <c r="M2" s="1658"/>
      <c r="N2" s="1658"/>
      <c r="O2" s="1658"/>
      <c r="P2" s="1658"/>
      <c r="Q2" s="1658"/>
      <c r="R2" s="1665"/>
      <c r="S2" s="1666"/>
      <c r="T2" s="1665"/>
      <c r="U2" s="1667"/>
      <c r="X2" s="1670"/>
    </row>
    <row r="3" spans="1:27" ht="21.75" thickBot="1">
      <c r="A3" s="1654"/>
      <c r="B3" s="1655"/>
      <c r="C3" s="1655"/>
      <c r="D3" s="1656"/>
      <c r="E3" s="1657"/>
      <c r="F3" s="1658"/>
      <c r="G3" s="1658"/>
      <c r="H3" s="1671"/>
      <c r="I3" s="1671"/>
      <c r="J3" s="1671"/>
      <c r="K3" s="1671"/>
      <c r="L3" s="1671"/>
      <c r="M3" s="1671"/>
      <c r="N3" s="1671">
        <f>TofeVI!O335</f>
        <v>-12865997.561085101</v>
      </c>
      <c r="O3" s="1671"/>
      <c r="P3" s="1671"/>
      <c r="Q3" s="1671"/>
      <c r="R3" s="1665"/>
      <c r="S3" s="1666"/>
      <c r="T3" s="1665"/>
      <c r="U3" s="1667"/>
      <c r="X3" s="1670"/>
    </row>
    <row r="4" spans="1:27">
      <c r="A4" s="1672"/>
      <c r="B4" s="1673"/>
      <c r="C4" s="1673"/>
      <c r="D4" s="1674" t="s">
        <v>237</v>
      </c>
      <c r="E4" s="2261" t="s">
        <v>3021</v>
      </c>
      <c r="F4" s="1674" t="s">
        <v>196</v>
      </c>
      <c r="G4" s="1674" t="s">
        <v>656</v>
      </c>
      <c r="H4" s="1674" t="s">
        <v>197</v>
      </c>
      <c r="I4" s="1674" t="s">
        <v>1091</v>
      </c>
      <c r="J4" s="1674" t="s">
        <v>199</v>
      </c>
      <c r="K4" s="1674" t="s">
        <v>200</v>
      </c>
      <c r="L4" s="1674" t="s">
        <v>201</v>
      </c>
      <c r="M4" s="1674" t="s">
        <v>202</v>
      </c>
      <c r="N4" s="1674" t="s">
        <v>203</v>
      </c>
      <c r="O4" s="1674" t="s">
        <v>204</v>
      </c>
      <c r="P4" s="1674" t="s">
        <v>205</v>
      </c>
      <c r="Q4" s="1674" t="s">
        <v>206</v>
      </c>
      <c r="R4" s="1674" t="s">
        <v>208</v>
      </c>
      <c r="S4" s="1675"/>
      <c r="T4" s="1676"/>
      <c r="U4" s="1676"/>
      <c r="V4" s="1676"/>
      <c r="W4" s="1677" t="s">
        <v>657</v>
      </c>
      <c r="X4" s="1678" t="s">
        <v>658</v>
      </c>
    </row>
    <row r="5" spans="1:27" ht="42.75" thickBot="1">
      <c r="A5" s="1679"/>
      <c r="B5" s="1680" t="s">
        <v>3049</v>
      </c>
      <c r="C5" s="1680"/>
      <c r="D5" s="1681" t="s">
        <v>3019</v>
      </c>
      <c r="E5" s="2262"/>
      <c r="F5" s="1682">
        <v>2019</v>
      </c>
      <c r="G5" s="1682">
        <v>2019</v>
      </c>
      <c r="H5" s="1682">
        <v>2019</v>
      </c>
      <c r="I5" s="1682">
        <v>2019</v>
      </c>
      <c r="J5" s="1682">
        <v>2019</v>
      </c>
      <c r="K5" s="1682">
        <v>2019</v>
      </c>
      <c r="L5" s="1682">
        <v>2019</v>
      </c>
      <c r="M5" s="1682">
        <v>2019</v>
      </c>
      <c r="N5" s="1682">
        <v>2019</v>
      </c>
      <c r="O5" s="1682">
        <v>2019</v>
      </c>
      <c r="P5" s="1682">
        <v>2019</v>
      </c>
      <c r="Q5" s="1682">
        <v>2019</v>
      </c>
      <c r="R5" s="1681" t="s">
        <v>659</v>
      </c>
      <c r="S5" s="1683" t="s">
        <v>660</v>
      </c>
      <c r="T5" s="1684" t="s">
        <v>238</v>
      </c>
      <c r="U5" s="1684" t="s">
        <v>239</v>
      </c>
      <c r="V5" s="1684" t="s">
        <v>240</v>
      </c>
      <c r="W5" s="1685" t="s">
        <v>661</v>
      </c>
      <c r="X5" s="1686"/>
    </row>
    <row r="6" spans="1:27" ht="21.75" thickTop="1">
      <c r="A6" s="1687" t="s">
        <v>186</v>
      </c>
      <c r="B6" s="1688">
        <v>1</v>
      </c>
      <c r="C6" s="1689" t="s">
        <v>662</v>
      </c>
      <c r="D6" s="1690">
        <f>D7+D116</f>
        <v>0</v>
      </c>
      <c r="E6" s="1690">
        <f>E7+E116+E114+E113+E112+E111</f>
        <v>0</v>
      </c>
      <c r="F6" s="1691">
        <f t="shared" ref="F6:K6" si="0">F7+F116</f>
        <v>5590621.3830000013</v>
      </c>
      <c r="G6" s="1690">
        <f t="shared" si="0"/>
        <v>7783747.5520000001</v>
      </c>
      <c r="H6" s="1690">
        <f t="shared" si="0"/>
        <v>18210475.593999997</v>
      </c>
      <c r="I6" s="1690">
        <f t="shared" si="0"/>
        <v>5427765.0270000007</v>
      </c>
      <c r="J6" s="1690">
        <f t="shared" si="0"/>
        <v>8350971.6290000007</v>
      </c>
      <c r="K6" s="1690">
        <f t="shared" si="0"/>
        <v>20498476.410999998</v>
      </c>
      <c r="L6" s="1690">
        <f>+L7+L116</f>
        <v>12145274.793000001</v>
      </c>
      <c r="M6" s="1690">
        <f>+M7+M116</f>
        <v>7367686.6000399999</v>
      </c>
      <c r="N6" s="1690">
        <f>N7+N116</f>
        <v>12061412.563999999</v>
      </c>
      <c r="O6" s="1690">
        <f>O7+O116</f>
        <v>14013526.867000001</v>
      </c>
      <c r="P6" s="1690">
        <f>P7+P116</f>
        <v>6669756.8940000003</v>
      </c>
      <c r="Q6" s="1690">
        <f>Q7+Q116</f>
        <v>11841544.390000001</v>
      </c>
      <c r="R6" s="1692">
        <f>SUM(F6:Q6)</f>
        <v>129961259.70403999</v>
      </c>
      <c r="S6" s="1693">
        <f>SUM(F6:H6)</f>
        <v>31584844.528999999</v>
      </c>
      <c r="T6" s="1693">
        <f>SUM(F6:K6)</f>
        <v>65862057.596000001</v>
      </c>
      <c r="U6" s="1693">
        <f>SUM(F6:N6)</f>
        <v>97436431.553039998</v>
      </c>
      <c r="V6" s="1693">
        <f>R6</f>
        <v>129961259.70403999</v>
      </c>
      <c r="W6" s="1694" t="e">
        <f>R6/E6*100</f>
        <v>#DIV/0!</v>
      </c>
      <c r="X6" s="1695">
        <f>R6/$X$1*100/1000</f>
        <v>16.017113805203415</v>
      </c>
      <c r="AA6" s="1696"/>
    </row>
    <row r="7" spans="1:27">
      <c r="A7" s="1687" t="s">
        <v>663</v>
      </c>
      <c r="B7" s="1689" t="s">
        <v>404</v>
      </c>
      <c r="C7" s="1689" t="s">
        <v>2781</v>
      </c>
      <c r="D7" s="1690">
        <f t="shared" ref="D7:Q7" si="1">D8+D83</f>
        <v>0</v>
      </c>
      <c r="E7" s="1690">
        <f t="shared" si="1"/>
        <v>0</v>
      </c>
      <c r="F7" s="1691">
        <f t="shared" si="1"/>
        <v>5590621.3830000013</v>
      </c>
      <c r="G7" s="1690">
        <f t="shared" si="1"/>
        <v>6074760.9160000002</v>
      </c>
      <c r="H7" s="1690">
        <f t="shared" si="1"/>
        <v>11858807.958999999</v>
      </c>
      <c r="I7" s="1690">
        <f t="shared" si="1"/>
        <v>5427765.0270000007</v>
      </c>
      <c r="J7" s="1690">
        <f t="shared" si="1"/>
        <v>8350971.6290000007</v>
      </c>
      <c r="K7" s="1690">
        <f t="shared" si="1"/>
        <v>14381493.692</v>
      </c>
      <c r="L7" s="1690">
        <f t="shared" si="1"/>
        <v>12145274.793000001</v>
      </c>
      <c r="M7" s="1690">
        <f t="shared" si="1"/>
        <v>7367686.6000399999</v>
      </c>
      <c r="N7" s="1690">
        <f t="shared" si="1"/>
        <v>6228798.1840000004</v>
      </c>
      <c r="O7" s="1690">
        <f t="shared" si="1"/>
        <v>14013526.867000001</v>
      </c>
      <c r="P7" s="1690">
        <f t="shared" si="1"/>
        <v>6504756.8940000003</v>
      </c>
      <c r="Q7" s="1690">
        <f t="shared" si="1"/>
        <v>7652218.8700000001</v>
      </c>
      <c r="R7" s="1692">
        <f>SUM(F7:Q7)</f>
        <v>105596682.81404001</v>
      </c>
      <c r="S7" s="1693">
        <f>SUM(F7:H7)</f>
        <v>23524190.258000001</v>
      </c>
      <c r="T7" s="1693">
        <f>SUM(F7:K7)</f>
        <v>51684420.606000006</v>
      </c>
      <c r="U7" s="1693">
        <f>SUM(F7:N7)</f>
        <v>77426180.183040008</v>
      </c>
      <c r="V7" s="1693">
        <f>R7</f>
        <v>105596682.81404001</v>
      </c>
      <c r="W7" s="1694" t="e">
        <f>R7/E7*100</f>
        <v>#DIV/0!</v>
      </c>
      <c r="X7" s="1695">
        <f>R7/$X$1*100/1000</f>
        <v>13.01429433614415</v>
      </c>
      <c r="Z7" s="1697"/>
    </row>
    <row r="8" spans="1:27">
      <c r="A8" s="1698" t="s">
        <v>664</v>
      </c>
      <c r="B8" s="1689" t="s">
        <v>407</v>
      </c>
      <c r="C8" s="1689" t="s">
        <v>2782</v>
      </c>
      <c r="D8" s="1699">
        <f>SUM(D9:D63)</f>
        <v>0</v>
      </c>
      <c r="E8" s="1700">
        <f>SUM(E9:E63)</f>
        <v>0</v>
      </c>
      <c r="F8" s="1701">
        <f>+F9+F19+F20+F46+F63+F82</f>
        <v>4703236.5890000006</v>
      </c>
      <c r="G8" s="1701">
        <f t="shared" ref="G8:Q8" si="2">+G9+G19+G20+G46+G63+G82</f>
        <v>5310034.0120000001</v>
      </c>
      <c r="H8" s="1701">
        <f t="shared" si="2"/>
        <v>5789015.3990000002</v>
      </c>
      <c r="I8" s="1701">
        <f t="shared" si="2"/>
        <v>4886952.5250000004</v>
      </c>
      <c r="J8" s="1701">
        <f t="shared" si="2"/>
        <v>7444374.3550000004</v>
      </c>
      <c r="K8" s="1701">
        <f t="shared" si="2"/>
        <v>12840067.868999999</v>
      </c>
      <c r="L8" s="1701">
        <f t="shared" si="2"/>
        <v>10528724.684</v>
      </c>
      <c r="M8" s="1701">
        <f t="shared" si="2"/>
        <v>6543415.28804</v>
      </c>
      <c r="N8" s="1701">
        <f t="shared" si="2"/>
        <v>5516094.5750000002</v>
      </c>
      <c r="O8" s="1701">
        <f t="shared" si="2"/>
        <v>5919596.7800000003</v>
      </c>
      <c r="P8" s="1701">
        <f t="shared" si="2"/>
        <v>4299482.4110000003</v>
      </c>
      <c r="Q8" s="1701">
        <f t="shared" si="2"/>
        <v>5335644.8870000001</v>
      </c>
      <c r="R8" s="1692">
        <f t="shared" ref="R8:R123" si="3">SUM(F8:Q8)</f>
        <v>79116639.374039993</v>
      </c>
      <c r="S8" s="1702">
        <f>SUM(F8:H8)</f>
        <v>15802286</v>
      </c>
      <c r="T8" s="1702">
        <f>SUM(F8:K8)</f>
        <v>40973680.748999998</v>
      </c>
      <c r="U8" s="1702">
        <f>SUM(F8:N8)</f>
        <v>63561915.296039999</v>
      </c>
      <c r="V8" s="1702">
        <f>R8</f>
        <v>79116639.374039993</v>
      </c>
      <c r="W8" s="1694" t="e">
        <f>R8/E8*100</f>
        <v>#DIV/0!</v>
      </c>
      <c r="X8" s="1695">
        <f>R8/$X$1*100/1000</f>
        <v>9.7507535678329766</v>
      </c>
      <c r="Y8" s="1668">
        <v>19195473</v>
      </c>
      <c r="Z8" s="1665">
        <f>+R8-4910000</f>
        <v>74206639.374039993</v>
      </c>
    </row>
    <row r="9" spans="1:27">
      <c r="A9" s="1703" t="s">
        <v>665</v>
      </c>
      <c r="B9" s="1704" t="s">
        <v>410</v>
      </c>
      <c r="C9" s="1705" t="s">
        <v>3443</v>
      </c>
      <c r="D9" s="1699"/>
      <c r="E9" s="1699"/>
      <c r="F9" s="1701">
        <f>F10+F11+F14+F17+F18</f>
        <v>1344267.8020000001</v>
      </c>
      <c r="G9" s="1701">
        <f t="shared" ref="G9:Q9" si="4">G10+G11+G14+G17+G18</f>
        <v>1313791.6869999999</v>
      </c>
      <c r="H9" s="1701">
        <f t="shared" si="4"/>
        <v>2070155.1599999997</v>
      </c>
      <c r="I9" s="1701">
        <f t="shared" si="4"/>
        <v>1503870.2999999998</v>
      </c>
      <c r="J9" s="1701">
        <f t="shared" si="4"/>
        <v>2468355.4010000001</v>
      </c>
      <c r="K9" s="1701">
        <f t="shared" si="4"/>
        <v>6267048.8959999997</v>
      </c>
      <c r="L9" s="1701">
        <f t="shared" si="4"/>
        <v>4359957.3830000004</v>
      </c>
      <c r="M9" s="1701">
        <f t="shared" si="4"/>
        <v>2119342.1708</v>
      </c>
      <c r="N9" s="1701">
        <f t="shared" si="4"/>
        <v>1623095.189</v>
      </c>
      <c r="O9" s="1701">
        <f t="shared" si="4"/>
        <v>1512994.6400000001</v>
      </c>
      <c r="P9" s="1701">
        <f t="shared" si="4"/>
        <v>1128114.8319999999</v>
      </c>
      <c r="Q9" s="1701">
        <f t="shared" si="4"/>
        <v>1671288.828</v>
      </c>
      <c r="R9" s="1692">
        <f>SUM(F9:Q9)</f>
        <v>27382282.288800001</v>
      </c>
      <c r="S9" s="1702">
        <f>SUM(F9:H9)</f>
        <v>4728214.6490000002</v>
      </c>
      <c r="T9" s="1702">
        <f>SUM(F9:K9)</f>
        <v>14967489.245999999</v>
      </c>
      <c r="U9" s="1702">
        <f>SUM(F9:N9)</f>
        <v>23069883.9888</v>
      </c>
      <c r="V9" s="1702">
        <f>R9</f>
        <v>27382282.288800001</v>
      </c>
      <c r="W9" s="1694" t="e">
        <f>R9/E9*100</f>
        <v>#DIV/0!</v>
      </c>
      <c r="X9" s="1695">
        <f>R9/$X$1*100/1000</f>
        <v>3.3747374614920078</v>
      </c>
      <c r="Y9" s="1665">
        <f>+'Ordon-Dep'!O47</f>
        <v>1502783.2919999999</v>
      </c>
    </row>
    <row r="10" spans="1:27" hidden="1" outlineLevel="1">
      <c r="A10" s="1703"/>
      <c r="B10" s="1706" t="s">
        <v>3050</v>
      </c>
      <c r="C10" s="1720" t="s">
        <v>782</v>
      </c>
      <c r="D10" s="1699"/>
      <c r="E10" s="1699"/>
      <c r="F10" s="1701">
        <f>'Receitas (mensais)'!E16</f>
        <v>464452.783</v>
      </c>
      <c r="G10" s="1701">
        <f>'Receitas (mensais)'!F16</f>
        <v>362818.91000000003</v>
      </c>
      <c r="H10" s="1701">
        <f>'Receitas (mensais)'!G16</f>
        <v>1405719.2029999997</v>
      </c>
      <c r="I10" s="1701">
        <f>'Receitas (mensais)'!H16</f>
        <v>676775.44499999995</v>
      </c>
      <c r="J10" s="1701">
        <f>'Receitas (mensais)'!I16</f>
        <v>1369320.4680000001</v>
      </c>
      <c r="K10" s="1701">
        <f>'Receitas (mensais)'!J16</f>
        <v>3362646.9739999999</v>
      </c>
      <c r="L10" s="1701">
        <f>'Receitas (mensais)'!K16</f>
        <v>2014838.6740000001</v>
      </c>
      <c r="M10" s="1701">
        <f>'Receitas (mensais)'!L16</f>
        <v>863820.38100000005</v>
      </c>
      <c r="N10" s="1701">
        <f>'Receitas (mensais)'!M16</f>
        <v>648798.25800000003</v>
      </c>
      <c r="O10" s="1701">
        <f>'Receitas (mensais)'!N16</f>
        <v>550359.94200000004</v>
      </c>
      <c r="P10" s="1701">
        <f>'Receitas (mensais)'!O16</f>
        <v>395014.022</v>
      </c>
      <c r="Q10" s="1701">
        <f>'Receitas (mensais)'!P16</f>
        <v>1066782.058</v>
      </c>
      <c r="R10" s="1692">
        <f t="shared" ref="R10:R18" si="5">SUM(F10:Q10)</f>
        <v>13181347.117999999</v>
      </c>
      <c r="S10" s="1702"/>
      <c r="T10" s="1702"/>
      <c r="U10" s="1702"/>
      <c r="V10" s="1702"/>
      <c r="W10" s="1694"/>
      <c r="X10" s="1695"/>
      <c r="Y10" s="1665"/>
    </row>
    <row r="11" spans="1:27" hidden="1" outlineLevel="1">
      <c r="A11" s="1703"/>
      <c r="B11" s="1706" t="s">
        <v>3051</v>
      </c>
      <c r="C11" s="1720" t="s">
        <v>783</v>
      </c>
      <c r="D11" s="1699"/>
      <c r="E11" s="1699"/>
      <c r="F11" s="1701">
        <f>F12+F13</f>
        <v>67646.114000000001</v>
      </c>
      <c r="G11" s="1701">
        <f t="shared" ref="G11:Q11" si="6">G12+G13</f>
        <v>43992.152000000002</v>
      </c>
      <c r="H11" s="1701">
        <f t="shared" si="6"/>
        <v>66550.675000000003</v>
      </c>
      <c r="I11" s="1701">
        <f t="shared" si="6"/>
        <v>29433.440999999999</v>
      </c>
      <c r="J11" s="1701">
        <f t="shared" si="6"/>
        <v>604751.90800000005</v>
      </c>
      <c r="K11" s="1701">
        <f t="shared" si="6"/>
        <v>2306376.2250000001</v>
      </c>
      <c r="L11" s="1701">
        <f t="shared" si="6"/>
        <v>1557500.129</v>
      </c>
      <c r="M11" s="1701">
        <f t="shared" si="6"/>
        <v>553939.02</v>
      </c>
      <c r="N11" s="1701">
        <f t="shared" si="6"/>
        <v>311298.745</v>
      </c>
      <c r="O11" s="1701">
        <f t="shared" si="6"/>
        <v>15636.597</v>
      </c>
      <c r="P11" s="1701">
        <f t="shared" si="6"/>
        <v>8554.1130000000012</v>
      </c>
      <c r="Q11" s="1701">
        <f t="shared" si="6"/>
        <v>5317.4940000000006</v>
      </c>
      <c r="R11" s="1692">
        <f t="shared" si="5"/>
        <v>5570996.6130000008</v>
      </c>
      <c r="S11" s="1702"/>
      <c r="T11" s="1702"/>
      <c r="U11" s="1702"/>
      <c r="V11" s="1702"/>
      <c r="W11" s="1694"/>
      <c r="X11" s="1695"/>
      <c r="Y11" s="1665"/>
    </row>
    <row r="12" spans="1:27" hidden="1" outlineLevel="1">
      <c r="A12" s="1703"/>
      <c r="B12" s="1706" t="s">
        <v>3053</v>
      </c>
      <c r="C12" s="1719" t="s">
        <v>785</v>
      </c>
      <c r="D12" s="1699"/>
      <c r="E12" s="1699"/>
      <c r="F12" s="1701">
        <f>'Receitas (mensais)'!E18</f>
        <v>61067.111000000004</v>
      </c>
      <c r="G12" s="1701">
        <f>'Receitas (mensais)'!F18</f>
        <v>37897.698000000004</v>
      </c>
      <c r="H12" s="1701">
        <f>'Receitas (mensais)'!G18</f>
        <v>64327.925000000003</v>
      </c>
      <c r="I12" s="1701">
        <f>'Receitas (mensais)'!H18</f>
        <v>22433.175999999999</v>
      </c>
      <c r="J12" s="1701">
        <f>'Receitas (mensais)'!I18</f>
        <v>7368.6530000000002</v>
      </c>
      <c r="K12" s="1701">
        <f>'Receitas (mensais)'!J18</f>
        <v>19832.599999999999</v>
      </c>
      <c r="L12" s="1701">
        <f>'Receitas (mensais)'!K18</f>
        <v>41616.379000000001</v>
      </c>
      <c r="M12" s="1701">
        <f>'Receitas (mensais)'!L18</f>
        <v>13829.02</v>
      </c>
      <c r="N12" s="1701">
        <f>'Receitas (mensais)'!M18</f>
        <v>58098.229999999989</v>
      </c>
      <c r="O12" s="1701">
        <f>'Receitas (mensais)'!N18</f>
        <v>3812.9369999999999</v>
      </c>
      <c r="P12" s="1701">
        <f>'Receitas (mensais)'!O18</f>
        <v>8398.6130000000012</v>
      </c>
      <c r="Q12" s="1701">
        <f>'Receitas (mensais)'!P18</f>
        <v>5317.4940000000006</v>
      </c>
      <c r="R12" s="1692">
        <f t="shared" si="5"/>
        <v>343999.83600000001</v>
      </c>
      <c r="S12" s="1702"/>
      <c r="T12" s="1702"/>
      <c r="U12" s="1702"/>
      <c r="V12" s="1702"/>
      <c r="W12" s="1694"/>
      <c r="X12" s="1695"/>
      <c r="Y12" s="1665"/>
    </row>
    <row r="13" spans="1:27" hidden="1" outlineLevel="1">
      <c r="A13" s="1703"/>
      <c r="B13" s="1706" t="s">
        <v>3054</v>
      </c>
      <c r="C13" s="1719" t="s">
        <v>786</v>
      </c>
      <c r="D13" s="1699"/>
      <c r="E13" s="1699"/>
      <c r="F13" s="1701">
        <f>'Receitas (mensais)'!E19</f>
        <v>6579.0029999999997</v>
      </c>
      <c r="G13" s="1701">
        <f>'Receitas (mensais)'!F19</f>
        <v>6094.4539999999997</v>
      </c>
      <c r="H13" s="1701">
        <f>'Receitas (mensais)'!G19</f>
        <v>2222.75</v>
      </c>
      <c r="I13" s="1701">
        <f>'Receitas (mensais)'!H19</f>
        <v>7000.2649999999994</v>
      </c>
      <c r="J13" s="1701">
        <f>'Receitas (mensais)'!I19</f>
        <v>597383.255</v>
      </c>
      <c r="K13" s="1701">
        <f>'Receitas (mensais)'!J19</f>
        <v>2286543.625</v>
      </c>
      <c r="L13" s="1701">
        <f>'Receitas (mensais)'!K19</f>
        <v>1515883.75</v>
      </c>
      <c r="M13" s="1701">
        <f>'Receitas (mensais)'!L19</f>
        <v>540110</v>
      </c>
      <c r="N13" s="1701">
        <f>'Receitas (mensais)'!M19</f>
        <v>253200.51500000001</v>
      </c>
      <c r="O13" s="1701">
        <f>'Receitas (mensais)'!N19</f>
        <v>11823.66</v>
      </c>
      <c r="P13" s="1701">
        <f>'Receitas (mensais)'!O19</f>
        <v>155.5</v>
      </c>
      <c r="Q13" s="1701">
        <f>'Receitas (mensais)'!P19</f>
        <v>0</v>
      </c>
      <c r="R13" s="1692">
        <f t="shared" si="5"/>
        <v>5226996.7769999998</v>
      </c>
      <c r="S13" s="1702"/>
      <c r="T13" s="1702"/>
      <c r="U13" s="1702"/>
      <c r="V13" s="1702"/>
      <c r="W13" s="1694"/>
      <c r="X13" s="1695"/>
      <c r="Y13" s="1665"/>
    </row>
    <row r="14" spans="1:27" hidden="1" outlineLevel="1">
      <c r="A14" s="1703"/>
      <c r="B14" s="1706" t="s">
        <v>3052</v>
      </c>
      <c r="C14" s="1720" t="s">
        <v>276</v>
      </c>
      <c r="D14" s="1699"/>
      <c r="E14" s="1699"/>
      <c r="F14" s="1701">
        <f>F15+F16</f>
        <v>812073.90500000003</v>
      </c>
      <c r="G14" s="1701">
        <f t="shared" ref="G14:Q14" si="7">G15+G16</f>
        <v>906980.625</v>
      </c>
      <c r="H14" s="1701">
        <f t="shared" si="7"/>
        <v>597885.28200000001</v>
      </c>
      <c r="I14" s="1701">
        <f t="shared" si="7"/>
        <v>797661.41399999999</v>
      </c>
      <c r="J14" s="1701">
        <f t="shared" si="7"/>
        <v>494283.02499999991</v>
      </c>
      <c r="K14" s="1701">
        <f t="shared" si="7"/>
        <v>598025.69700000004</v>
      </c>
      <c r="L14" s="1701">
        <f t="shared" si="7"/>
        <v>787618.57999999984</v>
      </c>
      <c r="M14" s="1701">
        <f t="shared" si="7"/>
        <v>701582.76980000001</v>
      </c>
      <c r="N14" s="1701">
        <f t="shared" si="7"/>
        <v>662998.18599999999</v>
      </c>
      <c r="O14" s="1701">
        <f t="shared" si="7"/>
        <v>938066.00099999993</v>
      </c>
      <c r="P14" s="1701">
        <f t="shared" si="7"/>
        <v>718050.99699999997</v>
      </c>
      <c r="Q14" s="1701">
        <f t="shared" si="7"/>
        <v>597660.80599999998</v>
      </c>
      <c r="R14" s="1692">
        <f t="shared" si="5"/>
        <v>8612887.2877999991</v>
      </c>
      <c r="S14" s="1702"/>
      <c r="T14" s="1702"/>
      <c r="U14" s="1702"/>
      <c r="V14" s="1702"/>
      <c r="W14" s="1694"/>
      <c r="X14" s="1695"/>
      <c r="Y14" s="1665"/>
    </row>
    <row r="15" spans="1:27" hidden="1" outlineLevel="1">
      <c r="A15" s="1703"/>
      <c r="B15" s="1706" t="s">
        <v>3056</v>
      </c>
      <c r="C15" s="1719" t="s">
        <v>788</v>
      </c>
      <c r="D15" s="1699"/>
      <c r="E15" s="1699"/>
      <c r="F15" s="1701">
        <f>'Receitas (mensais)'!E21</f>
        <v>345185.69099999999</v>
      </c>
      <c r="G15" s="1701">
        <f>'Receitas (mensais)'!F21</f>
        <v>386003.64199999999</v>
      </c>
      <c r="H15" s="1701">
        <f>'Receitas (mensais)'!G21</f>
        <v>335544.73800000001</v>
      </c>
      <c r="I15" s="1701">
        <f>'Receitas (mensais)'!H21</f>
        <v>579787.12399999995</v>
      </c>
      <c r="J15" s="1701">
        <f>'Receitas (mensais)'!I21</f>
        <v>57213.502999999997</v>
      </c>
      <c r="K15" s="1701">
        <f>'Receitas (mensais)'!J21</f>
        <v>386384.00400000002</v>
      </c>
      <c r="L15" s="1701">
        <f>'Receitas (mensais)'!K21</f>
        <v>385489.18199999997</v>
      </c>
      <c r="M15" s="1701">
        <f>'Receitas (mensais)'!L21</f>
        <v>487659.43900000001</v>
      </c>
      <c r="N15" s="1701">
        <f>'Receitas (mensais)'!M21</f>
        <v>466170.62300000002</v>
      </c>
      <c r="O15" s="1701">
        <f>'Receitas (mensais)'!N21</f>
        <v>394464.37199999997</v>
      </c>
      <c r="P15" s="1701">
        <f>'Receitas (mensais)'!O21</f>
        <v>354945.64600000001</v>
      </c>
      <c r="Q15" s="1701">
        <f>'Receitas (mensais)'!P21</f>
        <v>381148.821</v>
      </c>
      <c r="R15" s="1692">
        <f t="shared" si="5"/>
        <v>4559996.7850000001</v>
      </c>
      <c r="S15" s="1702"/>
      <c r="T15" s="1702"/>
      <c r="U15" s="1702"/>
      <c r="V15" s="1702"/>
      <c r="W15" s="1694"/>
      <c r="X15" s="1695"/>
      <c r="Y15" s="1665"/>
    </row>
    <row r="16" spans="1:27" hidden="1" outlineLevel="1">
      <c r="A16" s="1703"/>
      <c r="B16" s="1706" t="s">
        <v>3057</v>
      </c>
      <c r="C16" s="1719" t="s">
        <v>790</v>
      </c>
      <c r="D16" s="1699"/>
      <c r="E16" s="1699"/>
      <c r="F16" s="1701">
        <f>'Receitas (mensais)'!E22</f>
        <v>466888.21400000004</v>
      </c>
      <c r="G16" s="1701">
        <f>'Receitas (mensais)'!F22</f>
        <v>520976.98300000001</v>
      </c>
      <c r="H16" s="1701">
        <f>'Receitas (mensais)'!G22</f>
        <v>262340.54399999999</v>
      </c>
      <c r="I16" s="1701">
        <f>'Receitas (mensais)'!H22</f>
        <v>217874.29000000004</v>
      </c>
      <c r="J16" s="1701">
        <f>'Receitas (mensais)'!I22</f>
        <v>437069.52199999994</v>
      </c>
      <c r="K16" s="1701">
        <f>'Receitas (mensais)'!J22</f>
        <v>211641.693</v>
      </c>
      <c r="L16" s="1701">
        <f>'Receitas (mensais)'!K22</f>
        <v>402129.39799999993</v>
      </c>
      <c r="M16" s="1701">
        <f>'Receitas (mensais)'!L22</f>
        <v>213923.33079999997</v>
      </c>
      <c r="N16" s="1701">
        <f>'Receitas (mensais)'!M22</f>
        <v>196827.56299999999</v>
      </c>
      <c r="O16" s="1701">
        <f>'Receitas (mensais)'!N22</f>
        <v>543601.62899999996</v>
      </c>
      <c r="P16" s="1701">
        <f>'Receitas (mensais)'!O22</f>
        <v>363105.35100000002</v>
      </c>
      <c r="Q16" s="1701">
        <f>'Receitas (mensais)'!P22</f>
        <v>216511.98499999996</v>
      </c>
      <c r="R16" s="1692">
        <f t="shared" si="5"/>
        <v>4052890.5027999994</v>
      </c>
      <c r="S16" s="1702"/>
      <c r="T16" s="1702"/>
      <c r="U16" s="1702"/>
      <c r="V16" s="1702"/>
      <c r="W16" s="1694"/>
      <c r="X16" s="1695"/>
      <c r="Y16" s="1665"/>
    </row>
    <row r="17" spans="1:29" hidden="1" outlineLevel="1">
      <c r="A17" s="1703"/>
      <c r="B17" s="1706" t="s">
        <v>3055</v>
      </c>
      <c r="C17" s="1720" t="s">
        <v>277</v>
      </c>
      <c r="D17" s="1699"/>
      <c r="E17" s="1699"/>
      <c r="F17" s="1701">
        <f>'Receitas (mensais)'!E23</f>
        <v>95</v>
      </c>
      <c r="G17" s="1701">
        <f>'Receitas (mensais)'!F23</f>
        <v>0</v>
      </c>
      <c r="H17" s="1701">
        <f>'Receitas (mensais)'!G23</f>
        <v>0</v>
      </c>
      <c r="I17" s="1701">
        <f>'Receitas (mensais)'!H23</f>
        <v>0</v>
      </c>
      <c r="J17" s="1701">
        <f>'Receitas (mensais)'!I23</f>
        <v>0</v>
      </c>
      <c r="K17" s="1701">
        <f>'Receitas (mensais)'!J23</f>
        <v>0</v>
      </c>
      <c r="L17" s="1701">
        <f>'Receitas (mensais)'!K23</f>
        <v>0</v>
      </c>
      <c r="M17" s="1701">
        <f>'Receitas (mensais)'!L23</f>
        <v>0</v>
      </c>
      <c r="N17" s="1701">
        <f>'Receitas (mensais)'!M23</f>
        <v>0</v>
      </c>
      <c r="O17" s="1701">
        <f>'Receitas (mensais)'!N23</f>
        <v>8932.1</v>
      </c>
      <c r="P17" s="1701">
        <f>'Receitas (mensais)'!O23</f>
        <v>6495.7000000000007</v>
      </c>
      <c r="Q17" s="1701">
        <f>'Receitas (mensais)'!P23</f>
        <v>1528.47</v>
      </c>
      <c r="R17" s="1692">
        <f t="shared" si="5"/>
        <v>17051.27</v>
      </c>
      <c r="S17" s="1702"/>
      <c r="T17" s="1702"/>
      <c r="U17" s="1702"/>
      <c r="V17" s="1702"/>
      <c r="W17" s="1694"/>
      <c r="X17" s="1695"/>
      <c r="Y17" s="1665"/>
    </row>
    <row r="18" spans="1:29" hidden="1" outlineLevel="1">
      <c r="A18" s="1703"/>
      <c r="B18" s="1706" t="s">
        <v>3058</v>
      </c>
      <c r="C18" s="1720" t="s">
        <v>793</v>
      </c>
      <c r="D18" s="1699"/>
      <c r="E18" s="1699"/>
      <c r="F18" s="1701">
        <f>'Receitas (mensais)'!E24</f>
        <v>0</v>
      </c>
      <c r="G18" s="1701">
        <f>'Receitas (mensais)'!F24</f>
        <v>0</v>
      </c>
      <c r="H18" s="1701">
        <f>'Receitas (mensais)'!G24</f>
        <v>0</v>
      </c>
      <c r="I18" s="1701">
        <f>'Receitas (mensais)'!H24</f>
        <v>0</v>
      </c>
      <c r="J18" s="1701">
        <f>'Receitas (mensais)'!I24</f>
        <v>0</v>
      </c>
      <c r="K18" s="1701">
        <f>'Receitas (mensais)'!J24</f>
        <v>0</v>
      </c>
      <c r="L18" s="1701">
        <f>'Receitas (mensais)'!K24</f>
        <v>0</v>
      </c>
      <c r="M18" s="1701">
        <f>'Receitas (mensais)'!L24</f>
        <v>0</v>
      </c>
      <c r="N18" s="1701">
        <f>'Receitas (mensais)'!M24</f>
        <v>0</v>
      </c>
      <c r="O18" s="1701">
        <f>'Receitas (mensais)'!N24</f>
        <v>0</v>
      </c>
      <c r="P18" s="1701">
        <f>'Receitas (mensais)'!O24</f>
        <v>0</v>
      </c>
      <c r="Q18" s="1701">
        <f>'Receitas (mensais)'!P24</f>
        <v>0</v>
      </c>
      <c r="R18" s="1692">
        <f t="shared" si="5"/>
        <v>0</v>
      </c>
      <c r="S18" s="1702"/>
      <c r="T18" s="1702"/>
      <c r="U18" s="1702"/>
      <c r="V18" s="1702"/>
      <c r="W18" s="1694"/>
      <c r="X18" s="1695"/>
      <c r="Y18" s="1665"/>
    </row>
    <row r="19" spans="1:29" collapsed="1">
      <c r="A19" s="1703" t="s">
        <v>806</v>
      </c>
      <c r="B19" s="1704" t="s">
        <v>414</v>
      </c>
      <c r="C19" s="1705" t="s">
        <v>3439</v>
      </c>
      <c r="D19" s="1699"/>
      <c r="E19" s="1699"/>
      <c r="F19" s="1701">
        <f>+'Receitas (mensais)'!E32</f>
        <v>39686.868999999999</v>
      </c>
      <c r="G19" s="1701">
        <f>+'Receitas (mensais)'!F32</f>
        <v>14623.688</v>
      </c>
      <c r="H19" s="1701">
        <f>+'Receitas (mensais)'!G32</f>
        <v>14221.947</v>
      </c>
      <c r="I19" s="1701">
        <f>+'Receitas (mensais)'!H32</f>
        <v>31968.258999999998</v>
      </c>
      <c r="J19" s="1701">
        <f>+'Receitas (mensais)'!I32</f>
        <v>5449.6790000000001</v>
      </c>
      <c r="K19" s="1701">
        <f>+'Receitas (mensais)'!J32</f>
        <v>9439.6400000000012</v>
      </c>
      <c r="L19" s="1701">
        <f>+'Receitas (mensais)'!K32</f>
        <v>13185.483</v>
      </c>
      <c r="M19" s="1701">
        <f>+'Receitas (mensais)'!L32</f>
        <v>6101.3669999999993</v>
      </c>
      <c r="N19" s="1701">
        <f>+'Receitas (mensais)'!M32</f>
        <v>2862.7919999999999</v>
      </c>
      <c r="O19" s="1701">
        <f>+'Receitas (mensais)'!N32</f>
        <v>8928.6209999999992</v>
      </c>
      <c r="P19" s="1701">
        <f>+'Receitas (mensais)'!O32</f>
        <v>4606.643</v>
      </c>
      <c r="Q19" s="1701">
        <f>+'Receitas (mensais)'!P32</f>
        <v>6360.2509999999984</v>
      </c>
      <c r="R19" s="1692">
        <f t="shared" si="3"/>
        <v>157435.23899999997</v>
      </c>
      <c r="S19" s="1702">
        <f>SUM(F19:H19)</f>
        <v>68532.504000000001</v>
      </c>
      <c r="T19" s="1702">
        <f>SUM(F19:K19)</f>
        <v>115390.08200000001</v>
      </c>
      <c r="U19" s="1702">
        <f>SUM(F19:N19)</f>
        <v>137539.72399999999</v>
      </c>
      <c r="V19" s="1702">
        <f>R19</f>
        <v>157435.23899999997</v>
      </c>
      <c r="W19" s="1694"/>
      <c r="X19" s="1695"/>
      <c r="Y19" s="1665">
        <f>100685000-Y8</f>
        <v>81489527</v>
      </c>
    </row>
    <row r="20" spans="1:29">
      <c r="A20" s="1703" t="s">
        <v>666</v>
      </c>
      <c r="B20" s="1704" t="s">
        <v>417</v>
      </c>
      <c r="C20" s="1705" t="s">
        <v>3063</v>
      </c>
      <c r="D20" s="1699"/>
      <c r="E20" s="1699"/>
      <c r="F20" s="1701">
        <f>F21+F31</f>
        <v>2276391.7540000002</v>
      </c>
      <c r="G20" s="1701">
        <f>+'Receitas (mensais)'!F62+'Receitas (mensais)'!F72</f>
        <v>2378357.574</v>
      </c>
      <c r="H20" s="1701">
        <f>+'Receitas (mensais)'!G62+'Receitas (mensais)'!G72</f>
        <v>2452914.148</v>
      </c>
      <c r="I20" s="1701">
        <f>+'Receitas (mensais)'!H62+'Receitas (mensais)'!H72</f>
        <v>2325702.4720000001</v>
      </c>
      <c r="J20" s="1701">
        <f>+'Receitas (mensais)'!I62+'Receitas (mensais)'!I72</f>
        <v>2701162.193</v>
      </c>
      <c r="K20" s="1701">
        <f>+'Receitas (mensais)'!J62+'Receitas (mensais)'!J72</f>
        <v>2708606.3509999998</v>
      </c>
      <c r="L20" s="1701">
        <f>+'Receitas (mensais)'!K62+'Receitas (mensais)'!K72</f>
        <v>2903217.0010000002</v>
      </c>
      <c r="M20" s="1701">
        <f>+'Receitas (mensais)'!L62+'Receitas (mensais)'!L72</f>
        <v>2464518.5379999997</v>
      </c>
      <c r="N20" s="1701">
        <f>+'Receitas (mensais)'!M62+'Receitas (mensais)'!M72</f>
        <v>2379894.551</v>
      </c>
      <c r="O20" s="1701">
        <f>+'Receitas (mensais)'!N62+'Receitas (mensais)'!N72</f>
        <v>2787058.2669999995</v>
      </c>
      <c r="P20" s="1701">
        <f>+'Receitas (mensais)'!O62+'Receitas (mensais)'!O72</f>
        <v>2248652.15</v>
      </c>
      <c r="Q20" s="1701">
        <f>+'Receitas (mensais)'!P62+'Receitas (mensais)'!P72</f>
        <v>2424258.602</v>
      </c>
      <c r="R20" s="1692">
        <f>SUM(F20:Q20)</f>
        <v>30050733.600999996</v>
      </c>
      <c r="S20" s="1702">
        <f>SUM(F20:H20)</f>
        <v>7107663.4759999998</v>
      </c>
      <c r="T20" s="1702">
        <f>SUM(F20:K20)</f>
        <v>14843134.491999999</v>
      </c>
      <c r="U20" s="1702">
        <f>SUM(F20:N20)</f>
        <v>22590764.581999999</v>
      </c>
      <c r="V20" s="1702">
        <f>R20</f>
        <v>30050733.600999996</v>
      </c>
      <c r="W20" s="1694" t="e">
        <f>R20/E20*100</f>
        <v>#DIV/0!</v>
      </c>
      <c r="X20" s="1695">
        <f>R20/$X$1*100/1000</f>
        <v>3.7036115309530553</v>
      </c>
      <c r="Y20" s="1665">
        <f>+Y8-Y9</f>
        <v>17692689.708000001</v>
      </c>
    </row>
    <row r="21" spans="1:29" s="1716" customFormat="1" hidden="1" outlineLevel="2">
      <c r="A21" s="1709"/>
      <c r="B21" s="1706" t="s">
        <v>3059</v>
      </c>
      <c r="C21" s="1720" t="str">
        <f>'Receitas (mensais)'!D62</f>
        <v>Impostos sobre o consumo (IEC)</v>
      </c>
      <c r="D21" s="1710"/>
      <c r="E21" s="1710"/>
      <c r="F21" s="1711">
        <f>F22+F25</f>
        <v>376623.674</v>
      </c>
      <c r="G21" s="1711">
        <f t="shared" ref="G21:Q21" si="8">G22+G25</f>
        <v>306134.59399999998</v>
      </c>
      <c r="H21" s="1711">
        <f t="shared" si="8"/>
        <v>382954.14600000001</v>
      </c>
      <c r="I21" s="1711">
        <f t="shared" si="8"/>
        <v>367704.02799999999</v>
      </c>
      <c r="J21" s="1711">
        <f t="shared" si="8"/>
        <v>408296.82400000002</v>
      </c>
      <c r="K21" s="1711">
        <f t="shared" si="8"/>
        <v>473008.29700000002</v>
      </c>
      <c r="L21" s="1711">
        <f t="shared" si="8"/>
        <v>470457.55499999999</v>
      </c>
      <c r="M21" s="1711">
        <f t="shared" si="8"/>
        <v>483241.38500000001</v>
      </c>
      <c r="N21" s="1711">
        <f t="shared" si="8"/>
        <v>391480.66000000003</v>
      </c>
      <c r="O21" s="1711">
        <f t="shared" si="8"/>
        <v>429872.212</v>
      </c>
      <c r="P21" s="1711">
        <f t="shared" si="8"/>
        <v>354493.087</v>
      </c>
      <c r="Q21" s="1711">
        <f t="shared" si="8"/>
        <v>479777.88099999994</v>
      </c>
      <c r="R21" s="1712">
        <f t="shared" si="3"/>
        <v>4924044.3430000003</v>
      </c>
      <c r="S21" s="1710"/>
      <c r="T21" s="1710"/>
      <c r="U21" s="1710"/>
      <c r="V21" s="1710"/>
      <c r="W21" s="1713"/>
      <c r="X21" s="1714"/>
      <c r="Y21" s="1715"/>
    </row>
    <row r="22" spans="1:29" s="1716" customFormat="1" hidden="1" outlineLevel="2">
      <c r="A22" s="1709"/>
      <c r="B22" s="1706" t="s">
        <v>3064</v>
      </c>
      <c r="C22" s="2150" t="str">
        <f>'Receitas (mensais)'!D63</f>
        <v>Bens importados</v>
      </c>
      <c r="D22" s="1710"/>
      <c r="E22" s="1710"/>
      <c r="F22" s="1711">
        <f>SUM(F23:F24)</f>
        <v>376623.674</v>
      </c>
      <c r="G22" s="1711">
        <f t="shared" ref="G22:Q22" si="9">SUM(G23:G24)</f>
        <v>306134.59399999998</v>
      </c>
      <c r="H22" s="1711">
        <f t="shared" si="9"/>
        <v>382624.50599999999</v>
      </c>
      <c r="I22" s="1711">
        <f t="shared" si="9"/>
        <v>367451.158</v>
      </c>
      <c r="J22" s="1711">
        <f t="shared" si="9"/>
        <v>408296.82400000002</v>
      </c>
      <c r="K22" s="1711">
        <f t="shared" si="9"/>
        <v>473008.29700000002</v>
      </c>
      <c r="L22" s="1711">
        <f t="shared" si="9"/>
        <v>470457.55499999999</v>
      </c>
      <c r="M22" s="1711">
        <f t="shared" si="9"/>
        <v>483241.38500000001</v>
      </c>
      <c r="N22" s="1711">
        <f t="shared" si="9"/>
        <v>391480.66000000003</v>
      </c>
      <c r="O22" s="1711">
        <f t="shared" si="9"/>
        <v>429241.04200000002</v>
      </c>
      <c r="P22" s="1711">
        <f t="shared" si="9"/>
        <v>354493.087</v>
      </c>
      <c r="Q22" s="1711">
        <f t="shared" si="9"/>
        <v>479777.88099999994</v>
      </c>
      <c r="R22" s="1712">
        <f t="shared" si="3"/>
        <v>4922830.6630000006</v>
      </c>
      <c r="S22" s="1710"/>
      <c r="T22" s="1710"/>
      <c r="U22" s="1710"/>
      <c r="V22" s="1710"/>
      <c r="W22" s="1713"/>
      <c r="X22" s="1714"/>
      <c r="Y22" s="1715"/>
      <c r="Z22" s="1717"/>
      <c r="AC22" s="1718"/>
    </row>
    <row r="23" spans="1:29" s="1716" customFormat="1" hidden="1" outlineLevel="2">
      <c r="A23" s="1709"/>
      <c r="B23" s="1706" t="s">
        <v>3066</v>
      </c>
      <c r="C23" s="2151" t="str">
        <f>'Receitas (mensais)'!D64</f>
        <v xml:space="preserve">       Combustivel</v>
      </c>
      <c r="D23" s="1710"/>
      <c r="E23" s="1710"/>
      <c r="F23" s="1711">
        <f>'Receitas (mensais)'!E64</f>
        <v>128274.428</v>
      </c>
      <c r="G23" s="1711">
        <f>'Receitas (mensais)'!F64</f>
        <v>66121.430999999997</v>
      </c>
      <c r="H23" s="1711">
        <f>'Receitas (mensais)'!G64</f>
        <v>95513.36</v>
      </c>
      <c r="I23" s="1711">
        <f>'Receitas (mensais)'!H64</f>
        <v>105093.598</v>
      </c>
      <c r="J23" s="1711">
        <f>'Receitas (mensais)'!I64</f>
        <v>134243.24799999999</v>
      </c>
      <c r="K23" s="1711">
        <f>'Receitas (mensais)'!J64</f>
        <v>100337.2</v>
      </c>
      <c r="L23" s="1711">
        <f>'Receitas (mensais)'!K64</f>
        <v>130967.898</v>
      </c>
      <c r="M23" s="1711">
        <f>'Receitas (mensais)'!L64</f>
        <v>114418.425</v>
      </c>
      <c r="N23" s="1711">
        <f>'Receitas (mensais)'!M64</f>
        <v>133874.43400000001</v>
      </c>
      <c r="O23" s="1711">
        <f>'Receitas (mensais)'!N64</f>
        <v>125725.588</v>
      </c>
      <c r="P23" s="1711">
        <f>'Receitas (mensais)'!O64</f>
        <v>119190.27899999999</v>
      </c>
      <c r="Q23" s="1711">
        <f>'Receitas (mensais)'!P64</f>
        <v>95583.361999999994</v>
      </c>
      <c r="R23" s="1712">
        <f t="shared" si="3"/>
        <v>1349343.2510000002</v>
      </c>
      <c r="S23" s="1710"/>
      <c r="T23" s="1710"/>
      <c r="U23" s="1710"/>
      <c r="V23" s="1710"/>
      <c r="W23" s="1713"/>
      <c r="X23" s="1714"/>
      <c r="Y23" s="1715"/>
      <c r="Z23" s="1717"/>
      <c r="AC23" s="1718"/>
    </row>
    <row r="24" spans="1:29" s="1716" customFormat="1" hidden="1" outlineLevel="2">
      <c r="A24" s="1709"/>
      <c r="B24" s="1706" t="s">
        <v>3067</v>
      </c>
      <c r="C24" s="2151" t="str">
        <f>'Receitas (mensais)'!D65</f>
        <v xml:space="preserve">       Outros  produtos</v>
      </c>
      <c r="D24" s="1710"/>
      <c r="E24" s="1710"/>
      <c r="F24" s="1711">
        <f>'Receitas (mensais)'!E65</f>
        <v>248349.24600000001</v>
      </c>
      <c r="G24" s="1711">
        <f>'Receitas (mensais)'!F65</f>
        <v>240013.163</v>
      </c>
      <c r="H24" s="1711">
        <f>'Receitas (mensais)'!G65</f>
        <v>287111.14600000001</v>
      </c>
      <c r="I24" s="1711">
        <f>'Receitas (mensais)'!H65</f>
        <v>262357.56</v>
      </c>
      <c r="J24" s="1711">
        <f>'Receitas (mensais)'!I65</f>
        <v>274053.576</v>
      </c>
      <c r="K24" s="1711">
        <f>'Receitas (mensais)'!J65</f>
        <v>372671.09700000001</v>
      </c>
      <c r="L24" s="1711">
        <f>'Receitas (mensais)'!K65</f>
        <v>339489.65700000001</v>
      </c>
      <c r="M24" s="1711">
        <f>'Receitas (mensais)'!L65</f>
        <v>368822.96</v>
      </c>
      <c r="N24" s="1711">
        <f>'Receitas (mensais)'!M65</f>
        <v>257606.226</v>
      </c>
      <c r="O24" s="1711">
        <f>'Receitas (mensais)'!N65</f>
        <v>303515.45400000003</v>
      </c>
      <c r="P24" s="1711">
        <f>'Receitas (mensais)'!O65</f>
        <v>235302.80799999999</v>
      </c>
      <c r="Q24" s="1711">
        <f>'Receitas (mensais)'!P65</f>
        <v>384194.51899999997</v>
      </c>
      <c r="R24" s="1712">
        <f t="shared" si="3"/>
        <v>3573487.412</v>
      </c>
      <c r="S24" s="1710"/>
      <c r="T24" s="1710"/>
      <c r="U24" s="1710"/>
      <c r="V24" s="1710"/>
      <c r="W24" s="1713"/>
      <c r="X24" s="1714"/>
      <c r="Y24" s="1715"/>
      <c r="Z24" s="1717"/>
      <c r="AC24" s="1718"/>
    </row>
    <row r="25" spans="1:29" s="1716" customFormat="1" hidden="1" outlineLevel="2">
      <c r="A25" s="1709"/>
      <c r="B25" s="1706" t="s">
        <v>3065</v>
      </c>
      <c r="C25" s="2149" t="str">
        <f>'Receitas (mensais)'!D66</f>
        <v>Produçao local/DGCI</v>
      </c>
      <c r="D25" s="1710"/>
      <c r="E25" s="1710"/>
      <c r="F25" s="1711">
        <f>SUM(F26:F30)</f>
        <v>0</v>
      </c>
      <c r="G25" s="1711">
        <f t="shared" ref="G25:Q25" si="10">SUM(G26:G30)</f>
        <v>0</v>
      </c>
      <c r="H25" s="1711">
        <f t="shared" si="10"/>
        <v>329.64</v>
      </c>
      <c r="I25" s="1711">
        <f t="shared" si="10"/>
        <v>252.87</v>
      </c>
      <c r="J25" s="1711">
        <f t="shared" si="10"/>
        <v>0</v>
      </c>
      <c r="K25" s="1711">
        <f t="shared" si="10"/>
        <v>0</v>
      </c>
      <c r="L25" s="1711">
        <f t="shared" si="10"/>
        <v>0</v>
      </c>
      <c r="M25" s="1711">
        <f t="shared" si="10"/>
        <v>0</v>
      </c>
      <c r="N25" s="1711">
        <f t="shared" si="10"/>
        <v>0</v>
      </c>
      <c r="O25" s="1711">
        <f t="shared" si="10"/>
        <v>631.16999999999996</v>
      </c>
      <c r="P25" s="1711">
        <f t="shared" si="10"/>
        <v>0</v>
      </c>
      <c r="Q25" s="1711">
        <f t="shared" si="10"/>
        <v>0</v>
      </c>
      <c r="R25" s="1712">
        <f t="shared" si="3"/>
        <v>1213.6799999999998</v>
      </c>
      <c r="S25" s="1710"/>
      <c r="T25" s="1710"/>
      <c r="U25" s="1710"/>
      <c r="V25" s="1710"/>
      <c r="W25" s="1713"/>
      <c r="X25" s="1714"/>
      <c r="Y25" s="1715"/>
      <c r="Z25" s="1717"/>
      <c r="AC25" s="1718"/>
    </row>
    <row r="26" spans="1:29" s="1716" customFormat="1" hidden="1" outlineLevel="2">
      <c r="A26" s="1709"/>
      <c r="B26" s="1706" t="s">
        <v>3079</v>
      </c>
      <c r="C26" s="2150" t="str">
        <f>'Receitas (mensais)'!D67</f>
        <v xml:space="preserve">         Aguardente - Produçao local</v>
      </c>
      <c r="D26" s="1710"/>
      <c r="E26" s="1710"/>
      <c r="F26" s="1711">
        <f>'Receitas (mensais)'!E67</f>
        <v>0</v>
      </c>
      <c r="G26" s="1711">
        <f>'Receitas (mensais)'!F67</f>
        <v>0</v>
      </c>
      <c r="H26" s="1711">
        <f>'Receitas (mensais)'!G67</f>
        <v>329.64</v>
      </c>
      <c r="I26" s="1711">
        <f>'Receitas (mensais)'!H67</f>
        <v>252.87</v>
      </c>
      <c r="J26" s="1711">
        <f>'Receitas (mensais)'!I67</f>
        <v>0</v>
      </c>
      <c r="K26" s="1711">
        <f>'Receitas (mensais)'!J67</f>
        <v>0</v>
      </c>
      <c r="L26" s="1711">
        <f>'Receitas (mensais)'!K67</f>
        <v>0</v>
      </c>
      <c r="M26" s="1711">
        <f>'Receitas (mensais)'!L67</f>
        <v>0</v>
      </c>
      <c r="N26" s="1711">
        <f>'Receitas (mensais)'!M67</f>
        <v>0</v>
      </c>
      <c r="O26" s="1711">
        <f>'Receitas (mensais)'!N67</f>
        <v>631.16999999999996</v>
      </c>
      <c r="P26" s="1711">
        <f>'Receitas (mensais)'!O67</f>
        <v>0</v>
      </c>
      <c r="Q26" s="1711">
        <f>'Receitas (mensais)'!P67</f>
        <v>0</v>
      </c>
      <c r="R26" s="1712">
        <f t="shared" si="3"/>
        <v>1213.6799999999998</v>
      </c>
      <c r="S26" s="1710"/>
      <c r="T26" s="1710"/>
      <c r="U26" s="1710"/>
      <c r="V26" s="1710"/>
      <c r="W26" s="1713"/>
      <c r="X26" s="1714"/>
      <c r="Y26" s="1715"/>
      <c r="Z26" s="1717"/>
      <c r="AC26" s="1718"/>
    </row>
    <row r="27" spans="1:29" s="1716" customFormat="1" hidden="1" outlineLevel="2">
      <c r="A27" s="1709"/>
      <c r="B27" s="1706" t="s">
        <v>3080</v>
      </c>
      <c r="C27" s="2150" t="str">
        <f>'Receitas (mensais)'!D68</f>
        <v xml:space="preserve">         Cerveja e Refrig.- Produçao local</v>
      </c>
      <c r="D27" s="1710"/>
      <c r="E27" s="1710"/>
      <c r="F27" s="1711">
        <f>'Receitas (mensais)'!E68</f>
        <v>0</v>
      </c>
      <c r="G27" s="1711">
        <f>'Receitas (mensais)'!F68</f>
        <v>0</v>
      </c>
      <c r="H27" s="1711">
        <f>'Receitas (mensais)'!G68</f>
        <v>0</v>
      </c>
      <c r="I27" s="1711">
        <f>'Receitas (mensais)'!H68</f>
        <v>0</v>
      </c>
      <c r="J27" s="1711">
        <f>'Receitas (mensais)'!I68</f>
        <v>0</v>
      </c>
      <c r="K27" s="1711">
        <f>'Receitas (mensais)'!J68</f>
        <v>0</v>
      </c>
      <c r="L27" s="1711">
        <f>'Receitas (mensais)'!K68</f>
        <v>0</v>
      </c>
      <c r="M27" s="1711">
        <f>'Receitas (mensais)'!L68</f>
        <v>0</v>
      </c>
      <c r="N27" s="1711">
        <f>'Receitas (mensais)'!M68</f>
        <v>0</v>
      </c>
      <c r="O27" s="1711">
        <f>'Receitas (mensais)'!N68</f>
        <v>0</v>
      </c>
      <c r="P27" s="1711">
        <f>'Receitas (mensais)'!O68</f>
        <v>0</v>
      </c>
      <c r="Q27" s="1711">
        <f>'Receitas (mensais)'!P68</f>
        <v>0</v>
      </c>
      <c r="R27" s="1712">
        <f t="shared" si="3"/>
        <v>0</v>
      </c>
      <c r="S27" s="1710"/>
      <c r="T27" s="1710"/>
      <c r="U27" s="1710"/>
      <c r="V27" s="1710"/>
      <c r="W27" s="1713"/>
      <c r="X27" s="1714"/>
      <c r="Y27" s="1715"/>
      <c r="Z27" s="1717"/>
      <c r="AC27" s="1718"/>
    </row>
    <row r="28" spans="1:29" s="1716" customFormat="1" hidden="1" outlineLevel="2">
      <c r="A28" s="1709"/>
      <c r="B28" s="1706" t="s">
        <v>3081</v>
      </c>
      <c r="C28" s="2150" t="str">
        <f>'Receitas (mensais)'!D69</f>
        <v xml:space="preserve">         Madeiras- Produçao local</v>
      </c>
      <c r="D28" s="1710"/>
      <c r="E28" s="1710"/>
      <c r="F28" s="1711">
        <f>'Receitas (mensais)'!E69</f>
        <v>0</v>
      </c>
      <c r="G28" s="1711">
        <f>'Receitas (mensais)'!F69</f>
        <v>0</v>
      </c>
      <c r="H28" s="1711">
        <f>'Receitas (mensais)'!G69</f>
        <v>0</v>
      </c>
      <c r="I28" s="1711">
        <f>'Receitas (mensais)'!H69</f>
        <v>0</v>
      </c>
      <c r="J28" s="1711">
        <f>'Receitas (mensais)'!I69</f>
        <v>0</v>
      </c>
      <c r="K28" s="1711">
        <f>'Receitas (mensais)'!J69</f>
        <v>0</v>
      </c>
      <c r="L28" s="1711">
        <f>'Receitas (mensais)'!K69</f>
        <v>0</v>
      </c>
      <c r="M28" s="1711">
        <f>'Receitas (mensais)'!L69</f>
        <v>0</v>
      </c>
      <c r="N28" s="1711">
        <f>'Receitas (mensais)'!M69</f>
        <v>0</v>
      </c>
      <c r="O28" s="1711">
        <f>'Receitas (mensais)'!N69</f>
        <v>0</v>
      </c>
      <c r="P28" s="1711">
        <f>'Receitas (mensais)'!O69</f>
        <v>0</v>
      </c>
      <c r="Q28" s="1711">
        <f>'Receitas (mensais)'!P69</f>
        <v>0</v>
      </c>
      <c r="R28" s="1712">
        <f t="shared" si="3"/>
        <v>0</v>
      </c>
      <c r="S28" s="1710"/>
      <c r="T28" s="1710"/>
      <c r="U28" s="1710"/>
      <c r="V28" s="1710"/>
      <c r="W28" s="1713"/>
      <c r="X28" s="1714"/>
      <c r="Y28" s="1715"/>
      <c r="Z28" s="1717"/>
      <c r="AC28" s="1718"/>
    </row>
    <row r="29" spans="1:29" s="1716" customFormat="1" hidden="1" outlineLevel="2">
      <c r="A29" s="1709"/>
      <c r="B29" s="1706" t="s">
        <v>3082</v>
      </c>
      <c r="C29" s="2150" t="str">
        <f>'Receitas (mensais)'!D70</f>
        <v xml:space="preserve">        Cerâmica</v>
      </c>
      <c r="D29" s="1710"/>
      <c r="E29" s="1710"/>
      <c r="F29" s="1711">
        <f>'Receitas (mensais)'!E70</f>
        <v>0</v>
      </c>
      <c r="G29" s="1711">
        <f>'Receitas (mensais)'!F70</f>
        <v>0</v>
      </c>
      <c r="H29" s="1711">
        <f>'Receitas (mensais)'!G70</f>
        <v>0</v>
      </c>
      <c r="I29" s="1711">
        <f>'Receitas (mensais)'!H70</f>
        <v>0</v>
      </c>
      <c r="J29" s="1711">
        <f>'Receitas (mensais)'!I70</f>
        <v>0</v>
      </c>
      <c r="K29" s="1711">
        <f>'Receitas (mensais)'!J70</f>
        <v>0</v>
      </c>
      <c r="L29" s="1711">
        <f>'Receitas (mensais)'!K70</f>
        <v>0</v>
      </c>
      <c r="M29" s="1711">
        <f>'Receitas (mensais)'!L70</f>
        <v>0</v>
      </c>
      <c r="N29" s="1711">
        <f>'Receitas (mensais)'!M70</f>
        <v>0</v>
      </c>
      <c r="O29" s="1711">
        <f>'Receitas (mensais)'!N70</f>
        <v>0</v>
      </c>
      <c r="P29" s="1711">
        <f>'Receitas (mensais)'!O70</f>
        <v>0</v>
      </c>
      <c r="Q29" s="1711">
        <f>'Receitas (mensais)'!P70</f>
        <v>0</v>
      </c>
      <c r="R29" s="1712">
        <f t="shared" si="3"/>
        <v>0</v>
      </c>
      <c r="S29" s="1710"/>
      <c r="T29" s="1710"/>
      <c r="U29" s="1710"/>
      <c r="V29" s="1710"/>
      <c r="W29" s="1713"/>
      <c r="X29" s="1714"/>
      <c r="Y29" s="1715"/>
      <c r="Z29" s="1717"/>
      <c r="AC29" s="1718"/>
    </row>
    <row r="30" spans="1:29" s="1716" customFormat="1" hidden="1" outlineLevel="2">
      <c r="A30" s="1709"/>
      <c r="B30" s="1706" t="s">
        <v>3083</v>
      </c>
      <c r="C30" s="2150" t="str">
        <f>'Receitas (mensais)'!D71</f>
        <v xml:space="preserve">         Outros</v>
      </c>
      <c r="D30" s="1710"/>
      <c r="E30" s="1710"/>
      <c r="F30" s="1711">
        <f>'Receitas (mensais)'!E71</f>
        <v>0</v>
      </c>
      <c r="G30" s="1711">
        <f>'Receitas (mensais)'!F71</f>
        <v>0</v>
      </c>
      <c r="H30" s="1711">
        <f>'Receitas (mensais)'!G71</f>
        <v>0</v>
      </c>
      <c r="I30" s="1711">
        <f>'Receitas (mensais)'!H71</f>
        <v>0</v>
      </c>
      <c r="J30" s="1711">
        <f>'Receitas (mensais)'!I71</f>
        <v>0</v>
      </c>
      <c r="K30" s="1711">
        <f>'Receitas (mensais)'!J71</f>
        <v>0</v>
      </c>
      <c r="L30" s="1711">
        <f>'Receitas (mensais)'!K71</f>
        <v>0</v>
      </c>
      <c r="M30" s="1711">
        <f>'Receitas (mensais)'!L71</f>
        <v>0</v>
      </c>
      <c r="N30" s="1711">
        <f>'Receitas (mensais)'!M71</f>
        <v>0</v>
      </c>
      <c r="O30" s="1711">
        <f>'Receitas (mensais)'!N71</f>
        <v>0</v>
      </c>
      <c r="P30" s="1711">
        <f>'Receitas (mensais)'!O71</f>
        <v>0</v>
      </c>
      <c r="Q30" s="1711">
        <f>'Receitas (mensais)'!P71</f>
        <v>0</v>
      </c>
      <c r="R30" s="1712">
        <f t="shared" si="3"/>
        <v>0</v>
      </c>
      <c r="S30" s="1710"/>
      <c r="T30" s="1710"/>
      <c r="U30" s="1710"/>
      <c r="V30" s="1710"/>
      <c r="W30" s="1713"/>
      <c r="X30" s="1714"/>
      <c r="Y30" s="1715"/>
      <c r="Z30" s="1717"/>
      <c r="AC30" s="1718"/>
    </row>
    <row r="31" spans="1:29" s="1716" customFormat="1" hidden="1" outlineLevel="2">
      <c r="A31" s="1709"/>
      <c r="B31" s="1706" t="s">
        <v>3060</v>
      </c>
      <c r="C31" s="1720" t="s">
        <v>875</v>
      </c>
      <c r="D31" s="1710"/>
      <c r="E31" s="1710"/>
      <c r="F31" s="1711">
        <f>F32+F36+F41+F44+F45</f>
        <v>1899768.08</v>
      </c>
      <c r="G31" s="1711">
        <f t="shared" ref="G31:Q31" si="11">G32+G36+G41+G44+G45</f>
        <v>2072222.98</v>
      </c>
      <c r="H31" s="1711">
        <f t="shared" si="11"/>
        <v>2069960.0019999999</v>
      </c>
      <c r="I31" s="1711">
        <f t="shared" si="11"/>
        <v>1957998.4439999999</v>
      </c>
      <c r="J31" s="1711">
        <f t="shared" si="11"/>
        <v>2292865.3689999999</v>
      </c>
      <c r="K31" s="1711">
        <f t="shared" si="11"/>
        <v>2235598.054</v>
      </c>
      <c r="L31" s="1711">
        <f t="shared" si="11"/>
        <v>2432759.446</v>
      </c>
      <c r="M31" s="1711">
        <f t="shared" si="11"/>
        <v>1981277.1529999999</v>
      </c>
      <c r="N31" s="1711">
        <f t="shared" si="11"/>
        <v>1988413.8909999998</v>
      </c>
      <c r="O31" s="1711">
        <f t="shared" si="11"/>
        <v>2357186.0549999997</v>
      </c>
      <c r="P31" s="1711">
        <f t="shared" si="11"/>
        <v>1894159.0629999998</v>
      </c>
      <c r="Q31" s="1711">
        <f t="shared" si="11"/>
        <v>1944480.7209999999</v>
      </c>
      <c r="R31" s="1712">
        <f t="shared" si="3"/>
        <v>25126689.258000001</v>
      </c>
      <c r="S31" s="1710"/>
      <c r="T31" s="1710"/>
      <c r="U31" s="1710"/>
      <c r="V31" s="1710"/>
      <c r="W31" s="1713"/>
      <c r="X31" s="1714"/>
      <c r="Y31" s="1715"/>
    </row>
    <row r="32" spans="1:29" s="1716" customFormat="1" hidden="1" outlineLevel="2">
      <c r="A32" s="1709"/>
      <c r="B32" s="1706" t="s">
        <v>3061</v>
      </c>
      <c r="C32" s="2149" t="s">
        <v>876</v>
      </c>
      <c r="D32" s="1710"/>
      <c r="E32" s="1710"/>
      <c r="F32" s="1711">
        <f>SUM(F33:F35)</f>
        <v>1109742.976</v>
      </c>
      <c r="G32" s="1711">
        <f t="shared" ref="G32:Q32" si="12">SUM(G33:G35)</f>
        <v>1307935.5020000001</v>
      </c>
      <c r="H32" s="1711">
        <f t="shared" si="12"/>
        <v>1238804.2379999999</v>
      </c>
      <c r="I32" s="1711">
        <f t="shared" si="12"/>
        <v>1073020.9779999999</v>
      </c>
      <c r="J32" s="1711">
        <f t="shared" si="12"/>
        <v>1538877.9100000001</v>
      </c>
      <c r="K32" s="1711">
        <f t="shared" si="12"/>
        <v>1266106.273</v>
      </c>
      <c r="L32" s="1711">
        <f t="shared" si="12"/>
        <v>1272964.125</v>
      </c>
      <c r="M32" s="1711">
        <f t="shared" si="12"/>
        <v>1028036.728</v>
      </c>
      <c r="N32" s="1711">
        <f t="shared" si="12"/>
        <v>1087622.5249999999</v>
      </c>
      <c r="O32" s="1711">
        <f t="shared" si="12"/>
        <v>1378781.111</v>
      </c>
      <c r="P32" s="1711">
        <f t="shared" si="12"/>
        <v>959753.04999999993</v>
      </c>
      <c r="Q32" s="1711">
        <f t="shared" si="12"/>
        <v>1134607.46</v>
      </c>
      <c r="R32" s="1712">
        <f t="shared" si="3"/>
        <v>14396252.876000002</v>
      </c>
      <c r="S32" s="1710"/>
      <c r="T32" s="1710"/>
      <c r="U32" s="1710"/>
      <c r="V32" s="1710"/>
      <c r="W32" s="1713"/>
      <c r="X32" s="1714"/>
      <c r="Y32" s="1715"/>
      <c r="Z32" s="1717"/>
      <c r="AC32" s="1718"/>
    </row>
    <row r="33" spans="1:29" s="1716" customFormat="1" hidden="1" outlineLevel="2">
      <c r="A33" s="1709"/>
      <c r="B33" s="1706" t="s">
        <v>3068</v>
      </c>
      <c r="C33" s="1720" t="s">
        <v>844</v>
      </c>
      <c r="D33" s="1710"/>
      <c r="E33" s="1710"/>
      <c r="F33" s="1711">
        <f>'Receitas (mensais)'!E74</f>
        <v>237210.24799999999</v>
      </c>
      <c r="G33" s="1711">
        <f>'Receitas (mensais)'!F74</f>
        <v>154817.394</v>
      </c>
      <c r="H33" s="1711">
        <f>'Receitas (mensais)'!G74</f>
        <v>178749.614</v>
      </c>
      <c r="I33" s="1711">
        <f>'Receitas (mensais)'!H74</f>
        <v>105093.598</v>
      </c>
      <c r="J33" s="1711">
        <f>'Receitas (mensais)'!I74</f>
        <v>255676.318</v>
      </c>
      <c r="K33" s="1711">
        <f>'Receitas (mensais)'!J74</f>
        <v>186406.864</v>
      </c>
      <c r="L33" s="1711">
        <f>'Receitas (mensais)'!K74</f>
        <v>244900.753</v>
      </c>
      <c r="M33" s="1711">
        <f>'Receitas (mensais)'!L74</f>
        <v>219216.77799999999</v>
      </c>
      <c r="N33" s="1711">
        <f>'Receitas (mensais)'!M74</f>
        <v>251102.497</v>
      </c>
      <c r="O33" s="1711">
        <f>'Receitas (mensais)'!N74</f>
        <v>230162.82500000001</v>
      </c>
      <c r="P33" s="1711">
        <f>'Receitas (mensais)'!O74</f>
        <v>222832.212</v>
      </c>
      <c r="Q33" s="1711">
        <f>'Receitas (mensais)'!P74</f>
        <v>174175.78700000001</v>
      </c>
      <c r="R33" s="1712">
        <f t="shared" si="3"/>
        <v>2460344.8879999998</v>
      </c>
      <c r="S33" s="1710"/>
      <c r="T33" s="1710"/>
      <c r="U33" s="1710"/>
      <c r="V33" s="1710"/>
      <c r="W33" s="1713"/>
      <c r="X33" s="1714"/>
      <c r="Y33" s="1715"/>
      <c r="Z33" s="1717"/>
      <c r="AC33" s="1718"/>
    </row>
    <row r="34" spans="1:29" s="1716" customFormat="1" hidden="1" outlineLevel="2">
      <c r="A34" s="1709"/>
      <c r="B34" s="1706" t="s">
        <v>3069</v>
      </c>
      <c r="C34" s="1720" t="s">
        <v>877</v>
      </c>
      <c r="D34" s="1710"/>
      <c r="E34" s="1710"/>
      <c r="F34" s="1711">
        <f>'Receitas (mensais)'!E75</f>
        <v>196109.93100000001</v>
      </c>
      <c r="G34" s="1711">
        <f>'Receitas (mensais)'!F75</f>
        <v>196598.948</v>
      </c>
      <c r="H34" s="1711">
        <f>'Receitas (mensais)'!G75</f>
        <v>199286.57699999999</v>
      </c>
      <c r="I34" s="1711">
        <f>'Receitas (mensais)'!H75</f>
        <v>93807.554999999993</v>
      </c>
      <c r="J34" s="1711">
        <f>'Receitas (mensais)'!I75</f>
        <v>274640.266</v>
      </c>
      <c r="K34" s="1711">
        <f>'Receitas (mensais)'!J75</f>
        <v>141286.48800000001</v>
      </c>
      <c r="L34" s="1711">
        <f>'Receitas (mensais)'!K75</f>
        <v>133201.59299999999</v>
      </c>
      <c r="M34" s="1711">
        <f>'Receitas (mensais)'!L75</f>
        <v>174054.54800000001</v>
      </c>
      <c r="N34" s="1711">
        <f>'Receitas (mensais)'!M75</f>
        <v>117945.776</v>
      </c>
      <c r="O34" s="1711">
        <f>'Receitas (mensais)'!N75</f>
        <v>199729.67499999999</v>
      </c>
      <c r="P34" s="1711">
        <f>'Receitas (mensais)'!O75</f>
        <v>66115.675000000003</v>
      </c>
      <c r="Q34" s="1711">
        <f>'Receitas (mensais)'!P75</f>
        <v>83595.956999999995</v>
      </c>
      <c r="R34" s="1712">
        <f t="shared" si="3"/>
        <v>1876372.9890000001</v>
      </c>
      <c r="S34" s="1710"/>
      <c r="T34" s="1710"/>
      <c r="U34" s="1710"/>
      <c r="V34" s="1710"/>
      <c r="W34" s="1713"/>
      <c r="X34" s="1714"/>
      <c r="Y34" s="1715"/>
      <c r="Z34" s="1717"/>
      <c r="AC34" s="1718"/>
    </row>
    <row r="35" spans="1:29" s="1716" customFormat="1" hidden="1" outlineLevel="2">
      <c r="A35" s="1709"/>
      <c r="B35" s="1706" t="s">
        <v>3070</v>
      </c>
      <c r="C35" s="1720" t="s">
        <v>878</v>
      </c>
      <c r="D35" s="1710"/>
      <c r="E35" s="1710"/>
      <c r="F35" s="1711">
        <f>'Receitas (mensais)'!E76</f>
        <v>676422.79700000002</v>
      </c>
      <c r="G35" s="1711">
        <f>'Receitas (mensais)'!F76</f>
        <v>956519.16</v>
      </c>
      <c r="H35" s="1711">
        <f>'Receitas (mensais)'!G76</f>
        <v>860768.04700000002</v>
      </c>
      <c r="I35" s="1711">
        <f>'Receitas (mensais)'!H76</f>
        <v>874119.82499999995</v>
      </c>
      <c r="J35" s="1711">
        <f>'Receitas (mensais)'!I76</f>
        <v>1008561.326</v>
      </c>
      <c r="K35" s="1711">
        <f>'Receitas (mensais)'!J76</f>
        <v>938412.92099999997</v>
      </c>
      <c r="L35" s="1711">
        <f>'Receitas (mensais)'!K76</f>
        <v>894861.77899999998</v>
      </c>
      <c r="M35" s="1711">
        <f>'Receitas (mensais)'!L76</f>
        <v>634765.402</v>
      </c>
      <c r="N35" s="1711">
        <f>'Receitas (mensais)'!M76</f>
        <v>718574.25199999998</v>
      </c>
      <c r="O35" s="1711">
        <f>'Receitas (mensais)'!N76</f>
        <v>948888.61100000003</v>
      </c>
      <c r="P35" s="1711">
        <f>'Receitas (mensais)'!O76</f>
        <v>670805.16299999994</v>
      </c>
      <c r="Q35" s="1711">
        <f>'Receitas (mensais)'!P76</f>
        <v>876835.71600000001</v>
      </c>
      <c r="R35" s="1712">
        <f t="shared" si="3"/>
        <v>10059534.999000002</v>
      </c>
      <c r="S35" s="1710"/>
      <c r="T35" s="1710"/>
      <c r="U35" s="1710"/>
      <c r="V35" s="1710"/>
      <c r="W35" s="1713"/>
      <c r="X35" s="1714"/>
      <c r="Y35" s="1715"/>
      <c r="Z35" s="1717"/>
      <c r="AC35" s="1718"/>
    </row>
    <row r="36" spans="1:29" s="1716" customFormat="1" hidden="1" outlineLevel="2">
      <c r="A36" s="1709"/>
      <c r="B36" s="1706" t="s">
        <v>3062</v>
      </c>
      <c r="C36" s="2149" t="s">
        <v>880</v>
      </c>
      <c r="D36" s="1710"/>
      <c r="E36" s="1710"/>
      <c r="F36" s="1711">
        <f>SUM(F37:F40)</f>
        <v>790025.10399999993</v>
      </c>
      <c r="G36" s="1711">
        <f t="shared" ref="G36:Q36" si="13">SUM(G37:G40)</f>
        <v>764287.478</v>
      </c>
      <c r="H36" s="1711">
        <f t="shared" si="13"/>
        <v>830990.55900000001</v>
      </c>
      <c r="I36" s="1711">
        <f t="shared" si="13"/>
        <v>884977.46600000001</v>
      </c>
      <c r="J36" s="1711">
        <f t="shared" si="13"/>
        <v>753987.45899999992</v>
      </c>
      <c r="K36" s="1711">
        <f t="shared" si="13"/>
        <v>969491.78099999996</v>
      </c>
      <c r="L36" s="1711">
        <f t="shared" si="13"/>
        <v>1159795.321</v>
      </c>
      <c r="M36" s="1711">
        <f t="shared" si="13"/>
        <v>953240.42499999993</v>
      </c>
      <c r="N36" s="1711">
        <f t="shared" si="13"/>
        <v>900791.36600000004</v>
      </c>
      <c r="O36" s="1711">
        <f t="shared" si="13"/>
        <v>978404.9439999999</v>
      </c>
      <c r="P36" s="1711">
        <f t="shared" si="13"/>
        <v>934406.01299999992</v>
      </c>
      <c r="Q36" s="1711">
        <f t="shared" si="13"/>
        <v>809795.34100000013</v>
      </c>
      <c r="R36" s="1712">
        <f t="shared" si="3"/>
        <v>10730193.256999999</v>
      </c>
      <c r="S36" s="1710"/>
      <c r="T36" s="1710"/>
      <c r="U36" s="1710"/>
      <c r="V36" s="1710"/>
      <c r="W36" s="1713"/>
      <c r="X36" s="1714"/>
      <c r="Y36" s="1715"/>
      <c r="Z36" s="1717"/>
      <c r="AC36" s="1718"/>
    </row>
    <row r="37" spans="1:29" s="1716" customFormat="1" hidden="1" outlineLevel="2">
      <c r="A37" s="1709"/>
      <c r="B37" s="1706" t="s">
        <v>3074</v>
      </c>
      <c r="C37" s="2151" t="s">
        <v>3071</v>
      </c>
      <c r="D37" s="1710"/>
      <c r="E37" s="1710"/>
      <c r="F37" s="1711">
        <f>'Receitas (mensais)'!E78</f>
        <v>0</v>
      </c>
      <c r="G37" s="1711">
        <f>'Receitas (mensais)'!F78</f>
        <v>0</v>
      </c>
      <c r="H37" s="1711">
        <f>'Receitas (mensais)'!G78</f>
        <v>0</v>
      </c>
      <c r="I37" s="1711">
        <f>'Receitas (mensais)'!H78</f>
        <v>0</v>
      </c>
      <c r="J37" s="1711">
        <f>'Receitas (mensais)'!I78</f>
        <v>0</v>
      </c>
      <c r="K37" s="1711">
        <f>'Receitas (mensais)'!J78</f>
        <v>0</v>
      </c>
      <c r="L37" s="1711">
        <f>'Receitas (mensais)'!K78</f>
        <v>0</v>
      </c>
      <c r="M37" s="1711">
        <f>'Receitas (mensais)'!L78</f>
        <v>0</v>
      </c>
      <c r="N37" s="1711">
        <f>'Receitas (mensais)'!M78</f>
        <v>0</v>
      </c>
      <c r="O37" s="1711">
        <f>'Receitas (mensais)'!N78</f>
        <v>0</v>
      </c>
      <c r="P37" s="1711">
        <f>'Receitas (mensais)'!O78</f>
        <v>0</v>
      </c>
      <c r="Q37" s="1711">
        <f>'Receitas (mensais)'!P78</f>
        <v>0</v>
      </c>
      <c r="R37" s="1712">
        <f t="shared" si="3"/>
        <v>0</v>
      </c>
      <c r="S37" s="1710"/>
      <c r="T37" s="1710"/>
      <c r="U37" s="1710"/>
      <c r="V37" s="1710"/>
      <c r="W37" s="1713"/>
      <c r="X37" s="1714"/>
      <c r="Y37" s="1715"/>
      <c r="Z37" s="1717"/>
      <c r="AC37" s="1718"/>
    </row>
    <row r="38" spans="1:29" s="1716" customFormat="1" hidden="1" outlineLevel="2">
      <c r="A38" s="1709"/>
      <c r="B38" s="1706" t="s">
        <v>3075</v>
      </c>
      <c r="C38" s="2151" t="s">
        <v>3072</v>
      </c>
      <c r="D38" s="1710"/>
      <c r="E38" s="1710"/>
      <c r="F38" s="1711">
        <f>'Receitas (mensais)'!E79</f>
        <v>0</v>
      </c>
      <c r="G38" s="1711">
        <f>'Receitas (mensais)'!F79</f>
        <v>0</v>
      </c>
      <c r="H38" s="1711">
        <f>'Receitas (mensais)'!G79</f>
        <v>0</v>
      </c>
      <c r="I38" s="1711">
        <f>'Receitas (mensais)'!H79</f>
        <v>0</v>
      </c>
      <c r="J38" s="1711">
        <f>'Receitas (mensais)'!I79</f>
        <v>0</v>
      </c>
      <c r="K38" s="1711">
        <f>'Receitas (mensais)'!J79</f>
        <v>0</v>
      </c>
      <c r="L38" s="1711">
        <f>'Receitas (mensais)'!K79</f>
        <v>715.41</v>
      </c>
      <c r="M38" s="1711">
        <f>'Receitas (mensais)'!L79</f>
        <v>0</v>
      </c>
      <c r="N38" s="1711">
        <f>'Receitas (mensais)'!M79</f>
        <v>0</v>
      </c>
      <c r="O38" s="1711">
        <f>'Receitas (mensais)'!N79</f>
        <v>0</v>
      </c>
      <c r="P38" s="1711">
        <f>'Receitas (mensais)'!O79</f>
        <v>480.75</v>
      </c>
      <c r="Q38" s="1711">
        <f>'Receitas (mensais)'!P79</f>
        <v>0</v>
      </c>
      <c r="R38" s="1712">
        <f t="shared" si="3"/>
        <v>1196.1599999999999</v>
      </c>
      <c r="S38" s="1710"/>
      <c r="T38" s="1710"/>
      <c r="U38" s="1710"/>
      <c r="V38" s="1710"/>
      <c r="W38" s="1713"/>
      <c r="X38" s="1714"/>
      <c r="Y38" s="1715"/>
      <c r="Z38" s="1717"/>
      <c r="AC38" s="1718"/>
    </row>
    <row r="39" spans="1:29" s="1716" customFormat="1" hidden="1" outlineLevel="2">
      <c r="A39" s="1709"/>
      <c r="B39" s="1706"/>
      <c r="C39" s="2151" t="s">
        <v>3440</v>
      </c>
      <c r="D39" s="1710"/>
      <c r="E39" s="1710"/>
      <c r="F39" s="1711">
        <f>'Receitas (mensais)'!E80</f>
        <v>0</v>
      </c>
      <c r="G39" s="1711">
        <f>'Receitas (mensais)'!F80</f>
        <v>0</v>
      </c>
      <c r="H39" s="1711">
        <f>'Receitas (mensais)'!G80</f>
        <v>0</v>
      </c>
      <c r="I39" s="1711">
        <f>'Receitas (mensais)'!H80</f>
        <v>0</v>
      </c>
      <c r="J39" s="1711">
        <f>'Receitas (mensais)'!I80</f>
        <v>0</v>
      </c>
      <c r="K39" s="1711">
        <f>'Receitas (mensais)'!J80</f>
        <v>0</v>
      </c>
      <c r="L39" s="1711">
        <f>'Receitas (mensais)'!K80</f>
        <v>0</v>
      </c>
      <c r="M39" s="1711">
        <f>'Receitas (mensais)'!L80</f>
        <v>0</v>
      </c>
      <c r="N39" s="1711">
        <f>'Receitas (mensais)'!M80</f>
        <v>0</v>
      </c>
      <c r="O39" s="1711">
        <f>'Receitas (mensais)'!N80</f>
        <v>0</v>
      </c>
      <c r="P39" s="1711">
        <f>'Receitas (mensais)'!O80</f>
        <v>0</v>
      </c>
      <c r="Q39" s="1711">
        <f>'Receitas (mensais)'!P80</f>
        <v>0</v>
      </c>
      <c r="R39" s="1712"/>
      <c r="S39" s="1710"/>
      <c r="T39" s="1710"/>
      <c r="U39" s="1710"/>
      <c r="V39" s="1710"/>
      <c r="W39" s="1713"/>
      <c r="X39" s="1714"/>
      <c r="Y39" s="1715"/>
      <c r="Z39" s="1717"/>
      <c r="AC39" s="1718"/>
    </row>
    <row r="40" spans="1:29" s="1716" customFormat="1" hidden="1" outlineLevel="2">
      <c r="A40" s="1709"/>
      <c r="B40" s="1706"/>
      <c r="C40" s="2151" t="s">
        <v>275</v>
      </c>
      <c r="D40" s="1710"/>
      <c r="E40" s="1710"/>
      <c r="F40" s="1711">
        <f>'Receitas (mensais)'!E81</f>
        <v>790025.10399999993</v>
      </c>
      <c r="G40" s="1711">
        <f>'Receitas (mensais)'!F81</f>
        <v>764287.478</v>
      </c>
      <c r="H40" s="1711">
        <f>'Receitas (mensais)'!G81</f>
        <v>830990.55900000001</v>
      </c>
      <c r="I40" s="1711">
        <f>'Receitas (mensais)'!H81</f>
        <v>884977.46600000001</v>
      </c>
      <c r="J40" s="1711">
        <f>'Receitas (mensais)'!I81</f>
        <v>753987.45899999992</v>
      </c>
      <c r="K40" s="1711">
        <f>'Receitas (mensais)'!J81</f>
        <v>969491.78099999996</v>
      </c>
      <c r="L40" s="1711">
        <f>'Receitas (mensais)'!K81</f>
        <v>1159079.9110000001</v>
      </c>
      <c r="M40" s="1711">
        <f>'Receitas (mensais)'!L81</f>
        <v>953240.42499999993</v>
      </c>
      <c r="N40" s="1711">
        <f>'Receitas (mensais)'!M81</f>
        <v>900791.36600000004</v>
      </c>
      <c r="O40" s="1711">
        <f>'Receitas (mensais)'!N81</f>
        <v>978404.9439999999</v>
      </c>
      <c r="P40" s="1711">
        <f>'Receitas (mensais)'!O81</f>
        <v>933925.26299999992</v>
      </c>
      <c r="Q40" s="1711">
        <f>'Receitas (mensais)'!P81</f>
        <v>809795.34100000013</v>
      </c>
      <c r="R40" s="1712"/>
      <c r="S40" s="1710"/>
      <c r="T40" s="1710"/>
      <c r="U40" s="1710"/>
      <c r="V40" s="1710"/>
      <c r="W40" s="1713"/>
      <c r="X40" s="1714"/>
      <c r="Y40" s="1715"/>
      <c r="Z40" s="1717"/>
      <c r="AC40" s="1718"/>
    </row>
    <row r="41" spans="1:29" s="1716" customFormat="1" hidden="1" outlineLevel="2">
      <c r="A41" s="1709"/>
      <c r="B41" s="1706" t="s">
        <v>3076</v>
      </c>
      <c r="C41" s="2149" t="s">
        <v>3073</v>
      </c>
      <c r="D41" s="1710"/>
      <c r="E41" s="1710"/>
      <c r="F41" s="1711">
        <f>F42+F43</f>
        <v>0</v>
      </c>
      <c r="G41" s="1711">
        <f t="shared" ref="G41:Q41" si="14">G42+G43</f>
        <v>0</v>
      </c>
      <c r="H41" s="1711">
        <f t="shared" si="14"/>
        <v>0</v>
      </c>
      <c r="I41" s="1711">
        <f t="shared" si="14"/>
        <v>0</v>
      </c>
      <c r="J41" s="1711">
        <f t="shared" si="14"/>
        <v>0</v>
      </c>
      <c r="K41" s="1711">
        <f t="shared" si="14"/>
        <v>0</v>
      </c>
      <c r="L41" s="1711">
        <f t="shared" si="14"/>
        <v>0</v>
      </c>
      <c r="M41" s="1711">
        <f t="shared" si="14"/>
        <v>0</v>
      </c>
      <c r="N41" s="1711">
        <f t="shared" si="14"/>
        <v>0</v>
      </c>
      <c r="O41" s="1711">
        <f t="shared" si="14"/>
        <v>0</v>
      </c>
      <c r="P41" s="1711">
        <f t="shared" si="14"/>
        <v>0</v>
      </c>
      <c r="Q41" s="1711">
        <f t="shared" si="14"/>
        <v>0</v>
      </c>
      <c r="R41" s="1712">
        <f t="shared" si="3"/>
        <v>0</v>
      </c>
      <c r="S41" s="1710"/>
      <c r="T41" s="1710"/>
      <c r="U41" s="1710"/>
      <c r="V41" s="1710"/>
      <c r="W41" s="1713"/>
      <c r="X41" s="1714"/>
      <c r="Y41" s="1715"/>
      <c r="Z41" s="1717"/>
      <c r="AC41" s="1718"/>
    </row>
    <row r="42" spans="1:29" s="1716" customFormat="1" hidden="1" outlineLevel="2">
      <c r="A42" s="1709"/>
      <c r="B42" s="1706"/>
      <c r="C42" s="2151" t="s">
        <v>3441</v>
      </c>
      <c r="D42" s="1710"/>
      <c r="E42" s="1710"/>
      <c r="F42" s="1711">
        <f>'Receitas (mensais)'!E83</f>
        <v>0</v>
      </c>
      <c r="G42" s="1711">
        <f>'Receitas (mensais)'!F83</f>
        <v>0</v>
      </c>
      <c r="H42" s="1711">
        <f>'Receitas (mensais)'!G83</f>
        <v>0</v>
      </c>
      <c r="I42" s="1711">
        <f>'Receitas (mensais)'!H83</f>
        <v>0</v>
      </c>
      <c r="J42" s="1711">
        <f>'Receitas (mensais)'!I83</f>
        <v>0</v>
      </c>
      <c r="K42" s="1711">
        <f>'Receitas (mensais)'!J83</f>
        <v>0</v>
      </c>
      <c r="L42" s="1711">
        <f>'Receitas (mensais)'!K83</f>
        <v>0</v>
      </c>
      <c r="M42" s="1711">
        <f>'Receitas (mensais)'!L83</f>
        <v>0</v>
      </c>
      <c r="N42" s="1711">
        <f>'Receitas (mensais)'!M83</f>
        <v>0</v>
      </c>
      <c r="O42" s="1711">
        <f>'Receitas (mensais)'!N83</f>
        <v>0</v>
      </c>
      <c r="P42" s="1711">
        <f>'Receitas (mensais)'!O83</f>
        <v>0</v>
      </c>
      <c r="Q42" s="1711">
        <f>'Receitas (mensais)'!P83</f>
        <v>0</v>
      </c>
      <c r="R42" s="1712"/>
      <c r="S42" s="1710"/>
      <c r="T42" s="1710"/>
      <c r="U42" s="1710"/>
      <c r="V42" s="1710"/>
      <c r="W42" s="1713"/>
      <c r="X42" s="1714"/>
      <c r="Y42" s="1715"/>
      <c r="Z42" s="1717"/>
      <c r="AC42" s="1718"/>
    </row>
    <row r="43" spans="1:29" s="1716" customFormat="1" hidden="1" outlineLevel="2">
      <c r="A43" s="1709"/>
      <c r="B43" s="1706"/>
      <c r="C43" s="2151" t="s">
        <v>3442</v>
      </c>
      <c r="D43" s="1710"/>
      <c r="E43" s="1710"/>
      <c r="F43" s="1711">
        <f>'Receitas (mensais)'!E84</f>
        <v>0</v>
      </c>
      <c r="G43" s="1711">
        <f>'Receitas (mensais)'!F84</f>
        <v>0</v>
      </c>
      <c r="H43" s="1711">
        <f>'Receitas (mensais)'!G84</f>
        <v>0</v>
      </c>
      <c r="I43" s="1711">
        <f>'Receitas (mensais)'!H84</f>
        <v>0</v>
      </c>
      <c r="J43" s="1711">
        <f>'Receitas (mensais)'!I84</f>
        <v>0</v>
      </c>
      <c r="K43" s="1711">
        <f>'Receitas (mensais)'!J84</f>
        <v>0</v>
      </c>
      <c r="L43" s="1711">
        <f>'Receitas (mensais)'!K84</f>
        <v>0</v>
      </c>
      <c r="M43" s="1711">
        <f>'Receitas (mensais)'!L84</f>
        <v>0</v>
      </c>
      <c r="N43" s="1711">
        <f>'Receitas (mensais)'!M84</f>
        <v>0</v>
      </c>
      <c r="O43" s="1711">
        <f>'Receitas (mensais)'!N84</f>
        <v>0</v>
      </c>
      <c r="P43" s="1711">
        <f>'Receitas (mensais)'!O84</f>
        <v>0</v>
      </c>
      <c r="Q43" s="1711">
        <f>'Receitas (mensais)'!P84</f>
        <v>0</v>
      </c>
      <c r="R43" s="1712"/>
      <c r="S43" s="1710"/>
      <c r="T43" s="1710"/>
      <c r="U43" s="1710"/>
      <c r="V43" s="1710"/>
      <c r="W43" s="1713"/>
      <c r="X43" s="1714"/>
      <c r="Y43" s="1715"/>
      <c r="Z43" s="1717"/>
      <c r="AC43" s="1718"/>
    </row>
    <row r="44" spans="1:29" s="1716" customFormat="1" hidden="1" outlineLevel="2">
      <c r="A44" s="1709"/>
      <c r="B44" s="1706" t="s">
        <v>3077</v>
      </c>
      <c r="C44" s="2149" t="s">
        <v>1655</v>
      </c>
      <c r="D44" s="1710"/>
      <c r="E44" s="1710"/>
      <c r="F44" s="1711">
        <f>'Receitas (mensais)'!E85</f>
        <v>0</v>
      </c>
      <c r="G44" s="1711">
        <f>'Receitas (mensais)'!F85</f>
        <v>0</v>
      </c>
      <c r="H44" s="1711">
        <f>'Receitas (mensais)'!G85</f>
        <v>0</v>
      </c>
      <c r="I44" s="1711">
        <f>'Receitas (mensais)'!H85</f>
        <v>0</v>
      </c>
      <c r="J44" s="1711">
        <f>'Receitas (mensais)'!I85</f>
        <v>0</v>
      </c>
      <c r="K44" s="1711">
        <f>'Receitas (mensais)'!J85</f>
        <v>0</v>
      </c>
      <c r="L44" s="1711">
        <f>'Receitas (mensais)'!K85</f>
        <v>0</v>
      </c>
      <c r="M44" s="1711">
        <f>'Receitas (mensais)'!L85</f>
        <v>0</v>
      </c>
      <c r="N44" s="1711">
        <f>'Receitas (mensais)'!M85</f>
        <v>0</v>
      </c>
      <c r="O44" s="1711">
        <f>'Receitas (mensais)'!N85</f>
        <v>0</v>
      </c>
      <c r="P44" s="1711">
        <f>'Receitas (mensais)'!O85</f>
        <v>0</v>
      </c>
      <c r="Q44" s="1711">
        <f>'Receitas (mensais)'!P85</f>
        <v>0</v>
      </c>
      <c r="R44" s="1712">
        <f t="shared" si="3"/>
        <v>0</v>
      </c>
      <c r="S44" s="1710"/>
      <c r="T44" s="1710"/>
      <c r="U44" s="1710"/>
      <c r="V44" s="1710"/>
      <c r="W44" s="1713"/>
      <c r="X44" s="1714"/>
      <c r="Y44" s="1715"/>
      <c r="Z44" s="1717"/>
      <c r="AC44" s="1718"/>
    </row>
    <row r="45" spans="1:29" s="1716" customFormat="1" hidden="1" outlineLevel="2">
      <c r="A45" s="1709"/>
      <c r="B45" s="1706" t="s">
        <v>3078</v>
      </c>
      <c r="C45" s="2149" t="s">
        <v>275</v>
      </c>
      <c r="D45" s="1710"/>
      <c r="E45" s="1710"/>
      <c r="F45" s="1711">
        <f>'Receitas (mensais)'!E86</f>
        <v>0</v>
      </c>
      <c r="G45" s="1711">
        <f>'Receitas (mensais)'!F86</f>
        <v>0</v>
      </c>
      <c r="H45" s="1711">
        <f>'Receitas (mensais)'!G86</f>
        <v>165.20500000000001</v>
      </c>
      <c r="I45" s="1711">
        <f>'Receitas (mensais)'!H86</f>
        <v>0</v>
      </c>
      <c r="J45" s="1711">
        <f>'Receitas (mensais)'!I86</f>
        <v>0</v>
      </c>
      <c r="K45" s="1711">
        <f>'Receitas (mensais)'!J86</f>
        <v>0</v>
      </c>
      <c r="L45" s="1711">
        <f>'Receitas (mensais)'!K86</f>
        <v>0</v>
      </c>
      <c r="M45" s="1711">
        <f>'Receitas (mensais)'!L86</f>
        <v>0</v>
      </c>
      <c r="N45" s="1711">
        <f>'Receitas (mensais)'!M86</f>
        <v>0</v>
      </c>
      <c r="O45" s="1711">
        <f>'Receitas (mensais)'!N86</f>
        <v>0</v>
      </c>
      <c r="P45" s="1711">
        <f>'Receitas (mensais)'!O86</f>
        <v>0</v>
      </c>
      <c r="Q45" s="1711">
        <f>'Receitas (mensais)'!P86</f>
        <v>77.92</v>
      </c>
      <c r="R45" s="1712">
        <f t="shared" si="3"/>
        <v>243.125</v>
      </c>
      <c r="S45" s="1710"/>
      <c r="T45" s="1710"/>
      <c r="U45" s="1710"/>
      <c r="V45" s="1710"/>
      <c r="W45" s="1713"/>
      <c r="X45" s="1714"/>
      <c r="Y45" s="1715"/>
      <c r="Z45" s="1717"/>
      <c r="AC45" s="1718"/>
    </row>
    <row r="46" spans="1:29" collapsed="1">
      <c r="A46" s="1703" t="s">
        <v>667</v>
      </c>
      <c r="B46" s="1705" t="s">
        <v>420</v>
      </c>
      <c r="C46" s="1705" t="s">
        <v>2783</v>
      </c>
      <c r="D46" s="1699"/>
      <c r="E46" s="1699"/>
      <c r="F46" s="1699">
        <f>F47+F51+F52+F53+F58+F59</f>
        <v>934519.37199999997</v>
      </c>
      <c r="G46" s="1699">
        <f t="shared" ref="G46:Q46" si="15">G47+G51+G52+G53+G58+G59</f>
        <v>1263569.7320000001</v>
      </c>
      <c r="H46" s="1699">
        <f t="shared" si="15"/>
        <v>1156892.848</v>
      </c>
      <c r="I46" s="1699">
        <f t="shared" si="15"/>
        <v>926037.97600000002</v>
      </c>
      <c r="J46" s="1699">
        <f t="shared" si="15"/>
        <v>2159246.98</v>
      </c>
      <c r="K46" s="1699">
        <f t="shared" si="15"/>
        <v>3440013.4730000002</v>
      </c>
      <c r="L46" s="1699">
        <f t="shared" si="15"/>
        <v>3096572.8759999997</v>
      </c>
      <c r="M46" s="1699">
        <f t="shared" si="15"/>
        <v>1828954.9090000002</v>
      </c>
      <c r="N46" s="1699">
        <f t="shared" si="15"/>
        <v>1354387.5929999999</v>
      </c>
      <c r="O46" s="1699">
        <f t="shared" si="15"/>
        <v>1317474.9680000001</v>
      </c>
      <c r="P46" s="1699">
        <f t="shared" si="15"/>
        <v>774397.25800000003</v>
      </c>
      <c r="Q46" s="1699">
        <f t="shared" si="15"/>
        <v>1079708.5520000001</v>
      </c>
      <c r="R46" s="1692">
        <f t="shared" si="3"/>
        <v>19331776.537000004</v>
      </c>
      <c r="S46" s="1702">
        <f>SUM(F46:H46)</f>
        <v>3354981.9520000005</v>
      </c>
      <c r="T46" s="1702">
        <f>SUM(F46:K46)</f>
        <v>9880280.381000001</v>
      </c>
      <c r="U46" s="1702">
        <f>SUM(F46:N46)</f>
        <v>16160195.759000001</v>
      </c>
      <c r="V46" s="1702">
        <f>R46</f>
        <v>19331776.537000004</v>
      </c>
      <c r="W46" s="1694" t="e">
        <f>R46/E46*100</f>
        <v>#DIV/0!</v>
      </c>
      <c r="X46" s="1695">
        <f>R46/$X$1*100/1000</f>
        <v>2.3825505043197484</v>
      </c>
      <c r="Z46" s="1721"/>
    </row>
    <row r="47" spans="1:29" s="1716" customFormat="1" hidden="1" outlineLevel="1">
      <c r="A47" s="1709"/>
      <c r="B47" s="1705" t="s">
        <v>3084</v>
      </c>
      <c r="C47" s="1707" t="str">
        <f>'Receitas (mensais)'!D44</f>
        <v>Direitos de importaçao</v>
      </c>
      <c r="D47" s="1710"/>
      <c r="E47" s="1710"/>
      <c r="F47" s="1711">
        <f>SUM(F48:F50)</f>
        <v>807120.74300000002</v>
      </c>
      <c r="G47" s="1711">
        <f t="shared" ref="G47:Q47" si="16">SUM(G48:G50)</f>
        <v>1054923.3689999999</v>
      </c>
      <c r="H47" s="1711">
        <f t="shared" si="16"/>
        <v>970267.11399999994</v>
      </c>
      <c r="I47" s="1711">
        <f t="shared" si="16"/>
        <v>803018.07500000007</v>
      </c>
      <c r="J47" s="1711">
        <f t="shared" si="16"/>
        <v>1210067.142</v>
      </c>
      <c r="K47" s="1711">
        <f t="shared" si="16"/>
        <v>942069.34700000007</v>
      </c>
      <c r="L47" s="1711">
        <f t="shared" si="16"/>
        <v>961435.0689999999</v>
      </c>
      <c r="M47" s="1711">
        <f t="shared" si="16"/>
        <v>764205.14400000009</v>
      </c>
      <c r="N47" s="1711">
        <f t="shared" si="16"/>
        <v>873608.23699999996</v>
      </c>
      <c r="O47" s="1711">
        <f t="shared" si="16"/>
        <v>1042581.4680000001</v>
      </c>
      <c r="P47" s="1711">
        <f t="shared" si="16"/>
        <v>677007.04300000006</v>
      </c>
      <c r="Q47" s="1711">
        <f t="shared" si="16"/>
        <v>905389.10400000005</v>
      </c>
      <c r="R47" s="1712">
        <f t="shared" si="3"/>
        <v>11011691.855</v>
      </c>
      <c r="S47" s="1710"/>
      <c r="T47" s="1710"/>
      <c r="U47" s="1710"/>
      <c r="V47" s="1710"/>
      <c r="W47" s="1713"/>
      <c r="X47" s="1714"/>
      <c r="Y47" s="1715"/>
    </row>
    <row r="48" spans="1:29" hidden="1" outlineLevel="1">
      <c r="A48" s="1703"/>
      <c r="B48" s="1706" t="s">
        <v>3086</v>
      </c>
      <c r="C48" s="1705" t="str">
        <f>'Receitas (mensais)'!D45</f>
        <v xml:space="preserve">             s/Combustivel</v>
      </c>
      <c r="D48" s="1699"/>
      <c r="E48" s="1699"/>
      <c r="F48" s="1701">
        <f>'Receitas (mensais)'!E45</f>
        <v>103328.04700000001</v>
      </c>
      <c r="G48" s="1701">
        <f>'Receitas (mensais)'!F45</f>
        <v>66121.430999999997</v>
      </c>
      <c r="H48" s="1701">
        <f>'Receitas (mensais)'!G45</f>
        <v>76276.698999999993</v>
      </c>
      <c r="I48" s="1701">
        <f>'Receitas (mensais)'!H45</f>
        <v>85359.816999999995</v>
      </c>
      <c r="J48" s="1701">
        <f>'Receitas (mensais)'!I45</f>
        <v>109138.143</v>
      </c>
      <c r="K48" s="1701">
        <f>'Receitas (mensais)'!J45</f>
        <v>79478.796000000002</v>
      </c>
      <c r="L48" s="1701">
        <f>'Receitas (mensais)'!K45</f>
        <v>104706.045</v>
      </c>
      <c r="M48" s="1701">
        <f>'Receitas (mensais)'!L45</f>
        <v>93683.191999999995</v>
      </c>
      <c r="N48" s="1701">
        <f>'Receitas (mensais)'!M45</f>
        <v>107086.446</v>
      </c>
      <c r="O48" s="1701">
        <f>'Receitas (mensais)'!N45</f>
        <v>98082.49</v>
      </c>
      <c r="P48" s="1701">
        <f>'Receitas (mensais)'!O45</f>
        <v>94958.611000000004</v>
      </c>
      <c r="Q48" s="1701">
        <f>'Receitas (mensais)'!P45</f>
        <v>74038.801000000007</v>
      </c>
      <c r="R48" s="1692">
        <f t="shared" si="3"/>
        <v>1092258.5180000002</v>
      </c>
      <c r="S48" s="1702"/>
      <c r="T48" s="1702"/>
      <c r="U48" s="1702"/>
      <c r="V48" s="1702"/>
      <c r="W48" s="1694"/>
      <c r="X48" s="1695"/>
      <c r="Z48" s="1721"/>
    </row>
    <row r="49" spans="1:26" hidden="1" outlineLevel="1">
      <c r="A49" s="1703"/>
      <c r="B49" s="1706" t="s">
        <v>3087</v>
      </c>
      <c r="C49" s="1705" t="str">
        <f>'Receitas (mensais)'!D46</f>
        <v xml:space="preserve">             s/Arroz</v>
      </c>
      <c r="D49" s="1699"/>
      <c r="E49" s="1699"/>
      <c r="F49" s="1701">
        <f>'Receitas (mensais)'!E46</f>
        <v>174630.39199999999</v>
      </c>
      <c r="G49" s="1701">
        <f>'Receitas (mensais)'!F46</f>
        <v>175065.84700000001</v>
      </c>
      <c r="H49" s="1701">
        <f>'Receitas (mensais)'!G46</f>
        <v>177459.10699999999</v>
      </c>
      <c r="I49" s="1701">
        <f>'Receitas (mensais)'!H46</f>
        <v>83532.997000000003</v>
      </c>
      <c r="J49" s="1701">
        <f>'Receitas (mensais)'!I46</f>
        <v>244559.45199999999</v>
      </c>
      <c r="K49" s="1701">
        <f>'Receitas (mensais)'!J46</f>
        <v>125811.65399999999</v>
      </c>
      <c r="L49" s="1701">
        <f>'Receitas (mensais)'!K46</f>
        <v>118612.28</v>
      </c>
      <c r="M49" s="1701">
        <f>'Receitas (mensais)'!L46</f>
        <v>154990.69200000001</v>
      </c>
      <c r="N49" s="1701">
        <f>'Receitas (mensais)'!M46</f>
        <v>105027.40399999999</v>
      </c>
      <c r="O49" s="1701">
        <f>'Receitas (mensais)'!N46</f>
        <v>177853.671</v>
      </c>
      <c r="P49" s="1701">
        <f>'Receitas (mensais)'!O46</f>
        <v>58874.154000000002</v>
      </c>
      <c r="Q49" s="1701">
        <f>'Receitas (mensais)'!P46</f>
        <v>74439.854000000007</v>
      </c>
      <c r="R49" s="1692">
        <f t="shared" si="3"/>
        <v>1670857.5040000002</v>
      </c>
      <c r="S49" s="1702"/>
      <c r="T49" s="1702"/>
      <c r="U49" s="1702"/>
      <c r="V49" s="1702"/>
      <c r="W49" s="1694"/>
      <c r="X49" s="1695"/>
      <c r="Z49" s="1721"/>
    </row>
    <row r="50" spans="1:26" hidden="1" outlineLevel="1">
      <c r="A50" s="1703"/>
      <c r="B50" s="1706" t="s">
        <v>3088</v>
      </c>
      <c r="C50" s="1705" t="str">
        <f>'Receitas (mensais)'!D47</f>
        <v xml:space="preserve">            s/Outras importaçoes</v>
      </c>
      <c r="D50" s="1699"/>
      <c r="E50" s="1699"/>
      <c r="F50" s="1701">
        <f>'Receitas (mensais)'!E47</f>
        <v>529162.304</v>
      </c>
      <c r="G50" s="1701">
        <f>'Receitas (mensais)'!F47</f>
        <v>813736.09100000001</v>
      </c>
      <c r="H50" s="1701">
        <f>'Receitas (mensais)'!G47</f>
        <v>716531.30799999996</v>
      </c>
      <c r="I50" s="1701">
        <f>'Receitas (mensais)'!H47</f>
        <v>634125.26100000006</v>
      </c>
      <c r="J50" s="1701">
        <f>'Receitas (mensais)'!I47</f>
        <v>856369.54700000002</v>
      </c>
      <c r="K50" s="1701">
        <f>'Receitas (mensais)'!J47</f>
        <v>736778.897</v>
      </c>
      <c r="L50" s="1701">
        <f>'Receitas (mensais)'!K47</f>
        <v>738116.74399999995</v>
      </c>
      <c r="M50" s="1701">
        <f>'Receitas (mensais)'!L47</f>
        <v>515531.26</v>
      </c>
      <c r="N50" s="1701">
        <f>'Receitas (mensais)'!M47</f>
        <v>661494.38699999999</v>
      </c>
      <c r="O50" s="1701">
        <f>'Receitas (mensais)'!N47</f>
        <v>766645.30700000003</v>
      </c>
      <c r="P50" s="1701">
        <f>'Receitas (mensais)'!O47</f>
        <v>523174.27799999999</v>
      </c>
      <c r="Q50" s="1701">
        <f>'Receitas (mensais)'!P47</f>
        <v>756910.44900000002</v>
      </c>
      <c r="R50" s="1692">
        <f t="shared" si="3"/>
        <v>8248575.8329999996</v>
      </c>
      <c r="S50" s="1702"/>
      <c r="T50" s="1702"/>
      <c r="U50" s="1702"/>
      <c r="V50" s="1702"/>
      <c r="W50" s="1694"/>
      <c r="X50" s="1695"/>
      <c r="Z50" s="1721"/>
    </row>
    <row r="51" spans="1:26" hidden="1" outlineLevel="1">
      <c r="A51" s="1703"/>
      <c r="B51" s="1705" t="s">
        <v>3085</v>
      </c>
      <c r="C51" s="1707" t="str">
        <f>'Receitas (mensais)'!D49</f>
        <v>Direitos de exportaçao</v>
      </c>
      <c r="D51" s="1699"/>
      <c r="E51" s="1699"/>
      <c r="F51" s="1701">
        <f>'Receitas (mensais)'!F49</f>
        <v>0</v>
      </c>
      <c r="G51" s="1701">
        <f>'Receitas (mensais)'!G49</f>
        <v>0</v>
      </c>
      <c r="H51" s="1701">
        <f>'Receitas (mensais)'!H49</f>
        <v>0</v>
      </c>
      <c r="I51" s="1701">
        <f>'Receitas (mensais)'!I49</f>
        <v>0</v>
      </c>
      <c r="J51" s="1701">
        <f>'Receitas (mensais)'!J49</f>
        <v>0</v>
      </c>
      <c r="K51" s="1701">
        <f>'Receitas (mensais)'!K49</f>
        <v>0</v>
      </c>
      <c r="L51" s="1701">
        <f>'Receitas (mensais)'!L49</f>
        <v>0</v>
      </c>
      <c r="M51" s="1701">
        <f>'Receitas (mensais)'!M49</f>
        <v>0</v>
      </c>
      <c r="N51" s="1701">
        <f>'Receitas (mensais)'!N49</f>
        <v>0</v>
      </c>
      <c r="O51" s="1701">
        <f>'Receitas (mensais)'!O49</f>
        <v>0</v>
      </c>
      <c r="P51" s="1701">
        <f>'Receitas (mensais)'!P49</f>
        <v>0</v>
      </c>
      <c r="Q51" s="1701">
        <f>'Receitas (mensais)'!Q49</f>
        <v>0</v>
      </c>
      <c r="R51" s="1692">
        <f t="shared" si="3"/>
        <v>0</v>
      </c>
      <c r="S51" s="1702"/>
      <c r="T51" s="1702"/>
      <c r="U51" s="1702"/>
      <c r="V51" s="1702"/>
      <c r="W51" s="1694"/>
      <c r="X51" s="1695"/>
      <c r="Z51" s="1721"/>
    </row>
    <row r="52" spans="1:26" hidden="1" outlineLevel="1">
      <c r="A52" s="1703"/>
      <c r="B52" s="1705" t="s">
        <v>3089</v>
      </c>
      <c r="C52" s="1707" t="str">
        <f>'Receitas (mensais)'!D50</f>
        <v>Imposto extraordinario/castanha caju</v>
      </c>
      <c r="D52" s="1699"/>
      <c r="E52" s="1699"/>
      <c r="F52" s="1701">
        <f>'Receitas (mensais)'!E50</f>
        <v>0</v>
      </c>
      <c r="G52" s="1701">
        <f>'Receitas (mensais)'!F50</f>
        <v>21394.312999999998</v>
      </c>
      <c r="H52" s="1701">
        <f>'Receitas (mensais)'!G50</f>
        <v>0</v>
      </c>
      <c r="I52" s="1701">
        <f>'Receitas (mensais)'!H50</f>
        <v>1001.449</v>
      </c>
      <c r="J52" s="1701">
        <f>'Receitas (mensais)'!I50</f>
        <v>748753.99199999997</v>
      </c>
      <c r="K52" s="1701">
        <f>'Receitas (mensais)'!J50</f>
        <v>2358374.6260000002</v>
      </c>
      <c r="L52" s="1701">
        <f>'Receitas (mensais)'!K50</f>
        <v>1974911.254</v>
      </c>
      <c r="M52" s="1701">
        <f>'Receitas (mensais)'!L50</f>
        <v>947127.93099999998</v>
      </c>
      <c r="N52" s="1701">
        <f>'Receitas (mensais)'!M50</f>
        <v>317895.61099999998</v>
      </c>
      <c r="O52" s="1701">
        <f>'Receitas (mensais)'!N50</f>
        <v>107037.03599999999</v>
      </c>
      <c r="P52" s="1701">
        <f>'Receitas (mensais)'!O50</f>
        <v>5403.5410000000002</v>
      </c>
      <c r="Q52" s="1701">
        <f>'Receitas (mensais)'!P50</f>
        <v>33555.9</v>
      </c>
      <c r="R52" s="1692">
        <f t="shared" si="3"/>
        <v>6515455.6529999999</v>
      </c>
      <c r="S52" s="1702"/>
      <c r="T52" s="1702"/>
      <c r="U52" s="1702"/>
      <c r="V52" s="1702"/>
      <c r="W52" s="1694"/>
      <c r="X52" s="1695"/>
      <c r="Z52" s="1721"/>
    </row>
    <row r="53" spans="1:26" hidden="1" outlineLevel="1">
      <c r="A53" s="1703"/>
      <c r="B53" s="1705" t="s">
        <v>3090</v>
      </c>
      <c r="C53" s="1707" t="str">
        <f>'Receitas (mensais)'!D51</f>
        <v>Serviços aduaneiros</v>
      </c>
      <c r="D53" s="1699"/>
      <c r="E53" s="1699"/>
      <c r="F53" s="1701">
        <f>SUM(F54:F57)</f>
        <v>0</v>
      </c>
      <c r="G53" s="1701">
        <f t="shared" ref="G53:Q53" si="17">SUM(G54:G57)</f>
        <v>0</v>
      </c>
      <c r="H53" s="1701">
        <f t="shared" si="17"/>
        <v>0</v>
      </c>
      <c r="I53" s="1701">
        <f t="shared" si="17"/>
        <v>0</v>
      </c>
      <c r="J53" s="1701">
        <f t="shared" si="17"/>
        <v>0</v>
      </c>
      <c r="K53" s="1701">
        <f t="shared" si="17"/>
        <v>0</v>
      </c>
      <c r="L53" s="1701">
        <f t="shared" si="17"/>
        <v>220.40199999999999</v>
      </c>
      <c r="M53" s="1701">
        <f t="shared" si="17"/>
        <v>793.44600000000003</v>
      </c>
      <c r="N53" s="1701">
        <f t="shared" si="17"/>
        <v>0</v>
      </c>
      <c r="O53" s="1701">
        <f t="shared" si="17"/>
        <v>0</v>
      </c>
      <c r="P53" s="1701">
        <f t="shared" si="17"/>
        <v>0</v>
      </c>
      <c r="Q53" s="1701">
        <f t="shared" si="17"/>
        <v>0</v>
      </c>
      <c r="R53" s="1692">
        <f t="shared" si="3"/>
        <v>1013.848</v>
      </c>
      <c r="S53" s="1702"/>
      <c r="T53" s="1702"/>
      <c r="U53" s="1702"/>
      <c r="V53" s="1702"/>
      <c r="W53" s="1694"/>
      <c r="X53" s="1695"/>
      <c r="Z53" s="1721"/>
    </row>
    <row r="54" spans="1:26" hidden="1" outlineLevel="1">
      <c r="A54" s="1703"/>
      <c r="B54" s="1706" t="s">
        <v>3092</v>
      </c>
      <c r="C54" s="1705" t="str">
        <f>'Receitas (mensais)'!D52</f>
        <v xml:space="preserve">           Arroz</v>
      </c>
      <c r="D54" s="1699"/>
      <c r="E54" s="1699"/>
      <c r="F54" s="1701">
        <f>'Receitas (mensais)'!E52</f>
        <v>0</v>
      </c>
      <c r="G54" s="1701">
        <f>'Receitas (mensais)'!F52</f>
        <v>0</v>
      </c>
      <c r="H54" s="1701">
        <f>'Receitas (mensais)'!G52</f>
        <v>0</v>
      </c>
      <c r="I54" s="1701">
        <f>'Receitas (mensais)'!H52</f>
        <v>0</v>
      </c>
      <c r="J54" s="1701">
        <f>'Receitas (mensais)'!I52</f>
        <v>0</v>
      </c>
      <c r="K54" s="1701">
        <f>'Receitas (mensais)'!J52</f>
        <v>0</v>
      </c>
      <c r="L54" s="1701">
        <f>'Receitas (mensais)'!K52</f>
        <v>0</v>
      </c>
      <c r="M54" s="1701">
        <f>'Receitas (mensais)'!L52</f>
        <v>0</v>
      </c>
      <c r="N54" s="1701">
        <f>'Receitas (mensais)'!M52</f>
        <v>0</v>
      </c>
      <c r="O54" s="1701">
        <f>'Receitas (mensais)'!N52</f>
        <v>0</v>
      </c>
      <c r="P54" s="1701">
        <f>'Receitas (mensais)'!O52</f>
        <v>0</v>
      </c>
      <c r="Q54" s="1701">
        <f>'Receitas (mensais)'!P52</f>
        <v>0</v>
      </c>
      <c r="R54" s="1692">
        <f t="shared" si="3"/>
        <v>0</v>
      </c>
      <c r="S54" s="1702"/>
      <c r="T54" s="1702"/>
      <c r="U54" s="1702"/>
      <c r="V54" s="1702"/>
      <c r="W54" s="1694"/>
      <c r="X54" s="1695"/>
      <c r="Z54" s="1721"/>
    </row>
    <row r="55" spans="1:26" hidden="1" outlineLevel="1">
      <c r="A55" s="1703"/>
      <c r="B55" s="1706" t="s">
        <v>3093</v>
      </c>
      <c r="C55" s="1705" t="str">
        <f>'Receitas (mensais)'!D53</f>
        <v xml:space="preserve">          Combustivel</v>
      </c>
      <c r="D55" s="1699"/>
      <c r="E55" s="1699"/>
      <c r="F55" s="1701">
        <f>'Receitas (mensais)'!E53</f>
        <v>0</v>
      </c>
      <c r="G55" s="1701">
        <f>'Receitas (mensais)'!F53</f>
        <v>0</v>
      </c>
      <c r="H55" s="1701">
        <f>'Receitas (mensais)'!G53</f>
        <v>0</v>
      </c>
      <c r="I55" s="1701">
        <f>'Receitas (mensais)'!H53</f>
        <v>0</v>
      </c>
      <c r="J55" s="1701">
        <f>'Receitas (mensais)'!I53</f>
        <v>0</v>
      </c>
      <c r="K55" s="1701">
        <f>'Receitas (mensais)'!J53</f>
        <v>0</v>
      </c>
      <c r="L55" s="1701">
        <f>'Receitas (mensais)'!K53</f>
        <v>0</v>
      </c>
      <c r="M55" s="1701">
        <f>'Receitas (mensais)'!L53</f>
        <v>0</v>
      </c>
      <c r="N55" s="1701">
        <f>'Receitas (mensais)'!M53</f>
        <v>0</v>
      </c>
      <c r="O55" s="1701">
        <f>'Receitas (mensais)'!N53</f>
        <v>0</v>
      </c>
      <c r="P55" s="1701">
        <f>'Receitas (mensais)'!O53</f>
        <v>0</v>
      </c>
      <c r="Q55" s="1701">
        <f>'Receitas (mensais)'!P53</f>
        <v>0</v>
      </c>
      <c r="R55" s="1692">
        <f t="shared" si="3"/>
        <v>0</v>
      </c>
      <c r="S55" s="1702"/>
      <c r="T55" s="1702"/>
      <c r="U55" s="1702"/>
      <c r="V55" s="1702"/>
      <c r="W55" s="1694"/>
      <c r="X55" s="1695"/>
      <c r="Z55" s="1721"/>
    </row>
    <row r="56" spans="1:26" hidden="1" outlineLevel="1">
      <c r="A56" s="1703"/>
      <c r="B56" s="1706" t="s">
        <v>3094</v>
      </c>
      <c r="C56" s="1705" t="str">
        <f>'Receitas (mensais)'!D54</f>
        <v xml:space="preserve">          Exportaçao</v>
      </c>
      <c r="D56" s="1699"/>
      <c r="E56" s="1699"/>
      <c r="F56" s="1701">
        <f>'Receitas (mensais)'!E54</f>
        <v>0</v>
      </c>
      <c r="G56" s="1701">
        <f>'Receitas (mensais)'!F54</f>
        <v>0</v>
      </c>
      <c r="H56" s="1701">
        <f>'Receitas (mensais)'!G54</f>
        <v>0</v>
      </c>
      <c r="I56" s="1701">
        <f>'Receitas (mensais)'!H54</f>
        <v>0</v>
      </c>
      <c r="J56" s="1701">
        <f>'Receitas (mensais)'!I54</f>
        <v>0</v>
      </c>
      <c r="K56" s="1701">
        <f>'Receitas (mensais)'!J54</f>
        <v>0</v>
      </c>
      <c r="L56" s="1701">
        <f>'Receitas (mensais)'!K54</f>
        <v>0</v>
      </c>
      <c r="M56" s="1701">
        <f>'Receitas (mensais)'!L54</f>
        <v>0</v>
      </c>
      <c r="N56" s="1701">
        <f>'Receitas (mensais)'!M54</f>
        <v>0</v>
      </c>
      <c r="O56" s="1701">
        <f>'Receitas (mensais)'!N54</f>
        <v>0</v>
      </c>
      <c r="P56" s="1701">
        <f>'Receitas (mensais)'!O54</f>
        <v>0</v>
      </c>
      <c r="Q56" s="1701">
        <f>'Receitas (mensais)'!P54</f>
        <v>0</v>
      </c>
      <c r="R56" s="1692">
        <f t="shared" si="3"/>
        <v>0</v>
      </c>
      <c r="S56" s="1702"/>
      <c r="T56" s="1702"/>
      <c r="U56" s="1702"/>
      <c r="V56" s="1702"/>
      <c r="W56" s="1694"/>
      <c r="X56" s="1695"/>
      <c r="Z56" s="1721"/>
    </row>
    <row r="57" spans="1:26" hidden="1" outlineLevel="1">
      <c r="A57" s="1703"/>
      <c r="B57" s="1706" t="s">
        <v>3095</v>
      </c>
      <c r="C57" s="1705" t="str">
        <f>'Receitas (mensais)'!D55</f>
        <v xml:space="preserve">         Outros impostos (madeira)</v>
      </c>
      <c r="D57" s="1699"/>
      <c r="E57" s="1699"/>
      <c r="F57" s="1701">
        <f>'Receitas (mensais)'!E55</f>
        <v>0</v>
      </c>
      <c r="G57" s="1701">
        <f>'Receitas (mensais)'!F55</f>
        <v>0</v>
      </c>
      <c r="H57" s="1701">
        <f>'Receitas (mensais)'!G55</f>
        <v>0</v>
      </c>
      <c r="I57" s="1701">
        <f>'Receitas (mensais)'!H55</f>
        <v>0</v>
      </c>
      <c r="J57" s="1701">
        <f>'Receitas (mensais)'!I55</f>
        <v>0</v>
      </c>
      <c r="K57" s="1701">
        <f>'Receitas (mensais)'!J55</f>
        <v>0</v>
      </c>
      <c r="L57" s="1701">
        <f>'Receitas (mensais)'!K55</f>
        <v>220.40199999999999</v>
      </c>
      <c r="M57" s="1701">
        <f>'Receitas (mensais)'!L55</f>
        <v>793.44600000000003</v>
      </c>
      <c r="N57" s="1701">
        <f>'Receitas (mensais)'!M55</f>
        <v>0</v>
      </c>
      <c r="O57" s="1701">
        <f>'Receitas (mensais)'!N55</f>
        <v>0</v>
      </c>
      <c r="P57" s="1701">
        <f>'Receitas (mensais)'!O55</f>
        <v>0</v>
      </c>
      <c r="Q57" s="1701">
        <f>'Receitas (mensais)'!P55</f>
        <v>0</v>
      </c>
      <c r="R57" s="1692">
        <f t="shared" si="3"/>
        <v>1013.848</v>
      </c>
      <c r="S57" s="1702"/>
      <c r="T57" s="1702"/>
      <c r="U57" s="1702"/>
      <c r="V57" s="1702"/>
      <c r="W57" s="1694"/>
      <c r="X57" s="1695"/>
      <c r="Z57" s="1721"/>
    </row>
    <row r="58" spans="1:26" hidden="1" outlineLevel="1">
      <c r="A58" s="1703"/>
      <c r="B58" s="1705" t="s">
        <v>3091</v>
      </c>
      <c r="C58" s="1705" t="str">
        <f>'Receitas (mensais)'!D56</f>
        <v>Isençoes aduaneiras</v>
      </c>
      <c r="D58" s="1699"/>
      <c r="E58" s="1699"/>
      <c r="F58" s="1701">
        <f>'Receitas (mensais)'!E56</f>
        <v>0</v>
      </c>
      <c r="G58" s="1701">
        <f>'Receitas (mensais)'!F56</f>
        <v>0</v>
      </c>
      <c r="H58" s="1701">
        <f>'Receitas (mensais)'!G56</f>
        <v>0</v>
      </c>
      <c r="I58" s="1701">
        <f>'Receitas (mensais)'!H56</f>
        <v>0</v>
      </c>
      <c r="J58" s="1701">
        <f>'Receitas (mensais)'!I56</f>
        <v>0</v>
      </c>
      <c r="K58" s="1701">
        <f>'Receitas (mensais)'!J56</f>
        <v>0</v>
      </c>
      <c r="L58" s="1701">
        <f>'Receitas (mensais)'!K56</f>
        <v>0</v>
      </c>
      <c r="M58" s="1701">
        <f>'Receitas (mensais)'!L56</f>
        <v>0</v>
      </c>
      <c r="N58" s="1701">
        <f>'Receitas (mensais)'!M56</f>
        <v>0</v>
      </c>
      <c r="O58" s="1701">
        <f>'Receitas (mensais)'!N56</f>
        <v>0</v>
      </c>
      <c r="P58" s="1701">
        <f>'Receitas (mensais)'!O56</f>
        <v>0</v>
      </c>
      <c r="Q58" s="1701">
        <f>'Receitas (mensais)'!P56</f>
        <v>0</v>
      </c>
      <c r="R58" s="1692">
        <f t="shared" si="3"/>
        <v>0</v>
      </c>
      <c r="S58" s="1702"/>
      <c r="T58" s="1702"/>
      <c r="U58" s="1702"/>
      <c r="V58" s="1702"/>
      <c r="W58" s="1694"/>
      <c r="X58" s="1695"/>
      <c r="Z58" s="1721"/>
    </row>
    <row r="59" spans="1:26" hidden="1" outlineLevel="1">
      <c r="A59" s="1703"/>
      <c r="B59" s="1705" t="s">
        <v>3096</v>
      </c>
      <c r="C59" s="1705" t="str">
        <f>'Receitas (mensais)'!D57</f>
        <v xml:space="preserve">Outros </v>
      </c>
      <c r="D59" s="1699"/>
      <c r="E59" s="1699"/>
      <c r="F59" s="1701">
        <f>SUM(F60:F62)</f>
        <v>127398.62899999999</v>
      </c>
      <c r="G59" s="1701">
        <f t="shared" ref="G59:Q59" si="18">SUM(G60:G62)</f>
        <v>187252.05</v>
      </c>
      <c r="H59" s="1701">
        <f t="shared" si="18"/>
        <v>186625.734</v>
      </c>
      <c r="I59" s="1701">
        <f t="shared" si="18"/>
        <v>122018.45199999999</v>
      </c>
      <c r="J59" s="1701">
        <f t="shared" si="18"/>
        <v>200425.84599999999</v>
      </c>
      <c r="K59" s="1701">
        <f t="shared" si="18"/>
        <v>139569.5</v>
      </c>
      <c r="L59" s="1701">
        <f t="shared" si="18"/>
        <v>160006.15100000001</v>
      </c>
      <c r="M59" s="1701">
        <f t="shared" si="18"/>
        <v>116828.38799999999</v>
      </c>
      <c r="N59" s="1701">
        <f t="shared" si="18"/>
        <v>162883.745</v>
      </c>
      <c r="O59" s="1701">
        <f t="shared" si="18"/>
        <v>167856.46400000001</v>
      </c>
      <c r="P59" s="1701">
        <f t="shared" si="18"/>
        <v>91986.673999999999</v>
      </c>
      <c r="Q59" s="1701">
        <f t="shared" si="18"/>
        <v>140763.54800000001</v>
      </c>
      <c r="R59" s="1692">
        <f t="shared" si="3"/>
        <v>1803615.1809999999</v>
      </c>
      <c r="S59" s="1702"/>
      <c r="T59" s="1702"/>
      <c r="U59" s="1702"/>
      <c r="V59" s="1702"/>
      <c r="W59" s="1694"/>
      <c r="X59" s="1695"/>
      <c r="Z59" s="1721"/>
    </row>
    <row r="60" spans="1:26" hidden="1" outlineLevel="1">
      <c r="A60" s="1703"/>
      <c r="B60" s="1706" t="s">
        <v>3097</v>
      </c>
      <c r="C60" s="1705" t="str">
        <f>'Receitas (mensais)'!D58</f>
        <v xml:space="preserve">                Imposto Comunitario de Solidariede (PCS)</v>
      </c>
      <c r="D60" s="1699"/>
      <c r="E60" s="1699"/>
      <c r="F60" s="1701">
        <f>'Receitas (mensais)'!E58</f>
        <v>41812.332000000002</v>
      </c>
      <c r="G60" s="1701">
        <f>'Receitas (mensais)'!F58</f>
        <v>63043.622000000003</v>
      </c>
      <c r="H60" s="1701">
        <f>'Receitas (mensais)'!G58</f>
        <v>62540.23</v>
      </c>
      <c r="I60" s="1701">
        <f>'Receitas (mensais)'!H58</f>
        <v>39813.137000000002</v>
      </c>
      <c r="J60" s="1701">
        <f>'Receitas (mensais)'!I58</f>
        <v>65799.686000000002</v>
      </c>
      <c r="K60" s="1701">
        <f>'Receitas (mensais)'!J58</f>
        <v>45400.546000000002</v>
      </c>
      <c r="L60" s="1701">
        <f>'Receitas (mensais)'!K58</f>
        <v>52182.546000000002</v>
      </c>
      <c r="M60" s="1701">
        <f>'Receitas (mensais)'!L58</f>
        <v>38478.807000000001</v>
      </c>
      <c r="N60" s="1701">
        <f>'Receitas (mensais)'!M58</f>
        <v>53721.669000000002</v>
      </c>
      <c r="O60" s="1701">
        <f>'Receitas (mensais)'!N58</f>
        <v>56361.576999999997</v>
      </c>
      <c r="P60" s="1701">
        <f>'Receitas (mensais)'!O58</f>
        <v>30033.223000000002</v>
      </c>
      <c r="Q60" s="1701">
        <f>'Receitas (mensais)'!P58</f>
        <v>47016.337</v>
      </c>
      <c r="R60" s="1692">
        <f t="shared" si="3"/>
        <v>596203.71200000006</v>
      </c>
      <c r="S60" s="1702"/>
      <c r="T60" s="1702"/>
      <c r="U60" s="1702"/>
      <c r="V60" s="1702"/>
      <c r="W60" s="1694"/>
      <c r="X60" s="1695"/>
      <c r="Z60" s="1721"/>
    </row>
    <row r="61" spans="1:26" hidden="1" outlineLevel="1">
      <c r="A61" s="1703"/>
      <c r="B61" s="1706" t="s">
        <v>3098</v>
      </c>
      <c r="C61" s="1705" t="str">
        <f>'Receitas (mensais)'!D59</f>
        <v xml:space="preserve">               Taxa Informatica (RS)</v>
      </c>
      <c r="D61" s="1699"/>
      <c r="E61" s="1699"/>
      <c r="F61" s="1701">
        <f>'Receitas (mensais)'!E59</f>
        <v>53311.127999999997</v>
      </c>
      <c r="G61" s="1701">
        <f>'Receitas (mensais)'!F59</f>
        <v>79942.725999999995</v>
      </c>
      <c r="H61" s="1701">
        <f>'Receitas (mensais)'!G59</f>
        <v>79912.448000000004</v>
      </c>
      <c r="I61" s="1701">
        <f>'Receitas (mensais)'!H59</f>
        <v>51608.436999999998</v>
      </c>
      <c r="J61" s="1701">
        <f>'Receitas (mensais)'!I59</f>
        <v>85085.702999999994</v>
      </c>
      <c r="K61" s="1701">
        <f>'Receitas (mensais)'!J59</f>
        <v>59147.451000000001</v>
      </c>
      <c r="L61" s="1701">
        <f>'Receitas (mensais)'!K59</f>
        <v>66730.91</v>
      </c>
      <c r="M61" s="1701">
        <f>'Receitas (mensais)'!L59</f>
        <v>48810.796999999999</v>
      </c>
      <c r="N61" s="1701">
        <f>'Receitas (mensais)'!M59</f>
        <v>67996.126999999993</v>
      </c>
      <c r="O61" s="1701">
        <f>'Receitas (mensais)'!N59</f>
        <v>70945.623999999996</v>
      </c>
      <c r="P61" s="1701">
        <f>'Receitas (mensais)'!O59</f>
        <v>37876.623</v>
      </c>
      <c r="Q61" s="1701">
        <f>'Receitas (mensais)'!P59</f>
        <v>59155.161</v>
      </c>
      <c r="R61" s="1692">
        <f t="shared" si="3"/>
        <v>760523.13499999989</v>
      </c>
      <c r="S61" s="1702"/>
      <c r="T61" s="1702"/>
      <c r="U61" s="1702"/>
      <c r="V61" s="1702"/>
      <c r="W61" s="1694"/>
      <c r="X61" s="1695"/>
      <c r="Z61" s="1721"/>
    </row>
    <row r="62" spans="1:26" hidden="1" outlineLevel="1">
      <c r="A62" s="1703"/>
      <c r="B62" s="1706" t="s">
        <v>3099</v>
      </c>
      <c r="C62" s="1705" t="str">
        <f>'Receitas (mensais)'!D60</f>
        <v xml:space="preserve">               Imposto Comunitario (PC-CDEAO)</v>
      </c>
      <c r="D62" s="1699"/>
      <c r="E62" s="1699"/>
      <c r="F62" s="1701">
        <f>'Receitas (mensais)'!E60</f>
        <v>32275.169000000002</v>
      </c>
      <c r="G62" s="1701">
        <f>'Receitas (mensais)'!F60</f>
        <v>44265.701999999997</v>
      </c>
      <c r="H62" s="1701">
        <f>'Receitas (mensais)'!G60</f>
        <v>44173.055999999997</v>
      </c>
      <c r="I62" s="1701">
        <f>'Receitas (mensais)'!H60</f>
        <v>30596.878000000001</v>
      </c>
      <c r="J62" s="1701">
        <f>'Receitas (mensais)'!I60</f>
        <v>49540.457000000002</v>
      </c>
      <c r="K62" s="1701">
        <f>'Receitas (mensais)'!J60</f>
        <v>35021.502999999997</v>
      </c>
      <c r="L62" s="1701">
        <f>'Receitas (mensais)'!K60</f>
        <v>41092.695</v>
      </c>
      <c r="M62" s="1701">
        <f>'Receitas (mensais)'!L60</f>
        <v>29538.784</v>
      </c>
      <c r="N62" s="1701">
        <f>'Receitas (mensais)'!M60</f>
        <v>41165.949000000001</v>
      </c>
      <c r="O62" s="1701">
        <f>'Receitas (mensais)'!N60</f>
        <v>40549.262999999999</v>
      </c>
      <c r="P62" s="1701">
        <f>'Receitas (mensais)'!O60</f>
        <v>24076.828000000001</v>
      </c>
      <c r="Q62" s="1701">
        <f>'Receitas (mensais)'!P60</f>
        <v>34592.050000000003</v>
      </c>
      <c r="R62" s="1692">
        <f t="shared" si="3"/>
        <v>446888.33399999992</v>
      </c>
      <c r="S62" s="1702"/>
      <c r="T62" s="1702"/>
      <c r="U62" s="1702"/>
      <c r="V62" s="1702"/>
      <c r="W62" s="1694"/>
      <c r="X62" s="1695"/>
      <c r="Z62" s="1721"/>
    </row>
    <row r="63" spans="1:26" collapsed="1">
      <c r="A63" s="1703" t="s">
        <v>424</v>
      </c>
      <c r="B63" s="1705" t="s">
        <v>423</v>
      </c>
      <c r="C63" s="1705" t="s">
        <v>3119</v>
      </c>
      <c r="D63" s="1699"/>
      <c r="E63" s="1699"/>
      <c r="F63" s="1699">
        <f>F64+F65</f>
        <v>108370.792</v>
      </c>
      <c r="G63" s="1699">
        <f t="shared" ref="G63:Q63" si="19">G64+G65</f>
        <v>339691.33100000001</v>
      </c>
      <c r="H63" s="1699">
        <f t="shared" si="19"/>
        <v>94831.296000000002</v>
      </c>
      <c r="I63" s="1699">
        <f t="shared" si="19"/>
        <v>99373.517999999996</v>
      </c>
      <c r="J63" s="1699">
        <f t="shared" si="19"/>
        <v>110160.10199999998</v>
      </c>
      <c r="K63" s="1699">
        <f t="shared" si="19"/>
        <v>414959.50899999996</v>
      </c>
      <c r="L63" s="1699">
        <f t="shared" si="19"/>
        <v>155791.94099999999</v>
      </c>
      <c r="M63" s="1699">
        <f t="shared" si="19"/>
        <v>124498.30323999999</v>
      </c>
      <c r="N63" s="1699">
        <f t="shared" si="19"/>
        <v>155854.44999999998</v>
      </c>
      <c r="O63" s="1699">
        <f t="shared" si="19"/>
        <v>293140.28399999999</v>
      </c>
      <c r="P63" s="1699">
        <f t="shared" si="19"/>
        <v>143711.52799999999</v>
      </c>
      <c r="Q63" s="1699">
        <f t="shared" si="19"/>
        <v>154028.65399999998</v>
      </c>
      <c r="R63" s="1692">
        <f t="shared" si="3"/>
        <v>2194411.7082400001</v>
      </c>
      <c r="S63" s="1702">
        <f>SUM(F63:H63)</f>
        <v>542893.41899999999</v>
      </c>
      <c r="T63" s="1702">
        <f>SUM(F63:K63)</f>
        <v>1167386.548</v>
      </c>
      <c r="U63" s="1702">
        <f>SUM(F63:N63)</f>
        <v>1603531.2422400001</v>
      </c>
      <c r="V63" s="1702">
        <f>R63</f>
        <v>2194411.7082400001</v>
      </c>
      <c r="W63" s="1694" t="e">
        <f>R63/E63*100</f>
        <v>#DIV/0!</v>
      </c>
      <c r="X63" s="1695">
        <f>R63/$X$1*100/1000</f>
        <v>0.27045091857676334</v>
      </c>
    </row>
    <row r="64" spans="1:26" hidden="1" outlineLevel="1">
      <c r="A64" s="1703"/>
      <c r="B64" s="1705" t="s">
        <v>3101</v>
      </c>
      <c r="C64" s="1707" t="str">
        <f>'Receitas (mensais)'!D31</f>
        <v>Imposto de capitais</v>
      </c>
      <c r="D64" s="1699"/>
      <c r="E64" s="1699"/>
      <c r="F64" s="1701">
        <f>'Receitas (mensais)'!E31</f>
        <v>42677.841</v>
      </c>
      <c r="G64" s="1701">
        <f>'Receitas (mensais)'!F31</f>
        <v>50899.921999999999</v>
      </c>
      <c r="H64" s="1701">
        <f>'Receitas (mensais)'!G31</f>
        <v>21508.032999999999</v>
      </c>
      <c r="I64" s="1701">
        <f>'Receitas (mensais)'!H31</f>
        <v>10068.554</v>
      </c>
      <c r="J64" s="1701">
        <f>'Receitas (mensais)'!I31</f>
        <v>25212.964</v>
      </c>
      <c r="K64" s="1701">
        <f>'Receitas (mensais)'!J31</f>
        <v>119522.99400000001</v>
      </c>
      <c r="L64" s="1701">
        <f>'Receitas (mensais)'!K31</f>
        <v>51708.603999999999</v>
      </c>
      <c r="M64" s="1701">
        <f>'Receitas (mensais)'!L31</f>
        <v>14357.455</v>
      </c>
      <c r="N64" s="1701">
        <f>'Receitas (mensais)'!M31</f>
        <v>9298.2919999999995</v>
      </c>
      <c r="O64" s="1701">
        <f>'Receitas (mensais)'!N31</f>
        <v>159299.527</v>
      </c>
      <c r="P64" s="1701">
        <f>'Receitas (mensais)'!O31</f>
        <v>13054.704</v>
      </c>
      <c r="Q64" s="1701">
        <f>'Receitas (mensais)'!P31</f>
        <v>19027.504999999997</v>
      </c>
      <c r="R64" s="1692">
        <f t="shared" si="3"/>
        <v>536636.39500000002</v>
      </c>
      <c r="S64" s="1702"/>
      <c r="T64" s="1702"/>
      <c r="U64" s="1702"/>
      <c r="V64" s="1702"/>
      <c r="W64" s="1694"/>
      <c r="X64" s="1695"/>
    </row>
    <row r="65" spans="1:24" hidden="1" outlineLevel="1">
      <c r="A65" s="1722">
        <f>F66+F78+F79</f>
        <v>65692.951000000001</v>
      </c>
      <c r="B65" s="1705" t="s">
        <v>3102</v>
      </c>
      <c r="C65" s="1707" t="str">
        <f>'Receitas (mensais)'!D87</f>
        <v>Outros impostos indirectos</v>
      </c>
      <c r="D65" s="1699"/>
      <c r="E65" s="1699"/>
      <c r="F65" s="1701">
        <f>F66+F78+F79</f>
        <v>65692.951000000001</v>
      </c>
      <c r="G65" s="1701">
        <f t="shared" ref="G65:Q65" si="20">G66+G78+G79</f>
        <v>288791.40899999999</v>
      </c>
      <c r="H65" s="1701">
        <f t="shared" si="20"/>
        <v>73323.263000000006</v>
      </c>
      <c r="I65" s="1701">
        <f t="shared" si="20"/>
        <v>89304.963999999993</v>
      </c>
      <c r="J65" s="1701">
        <f t="shared" si="20"/>
        <v>84947.137999999992</v>
      </c>
      <c r="K65" s="1701">
        <f t="shared" si="20"/>
        <v>295436.51499999996</v>
      </c>
      <c r="L65" s="1701">
        <f t="shared" si="20"/>
        <v>104083.337</v>
      </c>
      <c r="M65" s="1701">
        <f t="shared" si="20"/>
        <v>110140.84823999999</v>
      </c>
      <c r="N65" s="1701">
        <f t="shared" si="20"/>
        <v>146556.158</v>
      </c>
      <c r="O65" s="1701">
        <f t="shared" si="20"/>
        <v>133840.75699999998</v>
      </c>
      <c r="P65" s="1701">
        <f t="shared" si="20"/>
        <v>130656.82399999999</v>
      </c>
      <c r="Q65" s="1701">
        <f t="shared" si="20"/>
        <v>135001.14899999998</v>
      </c>
      <c r="R65" s="1692">
        <f t="shared" si="3"/>
        <v>1657775.31324</v>
      </c>
      <c r="S65" s="1702"/>
      <c r="T65" s="1702"/>
      <c r="U65" s="1702"/>
      <c r="V65" s="1702"/>
      <c r="W65" s="1694"/>
      <c r="X65" s="1695"/>
    </row>
    <row r="66" spans="1:24" s="1730" customFormat="1" hidden="1" outlineLevel="1">
      <c r="A66" s="1723"/>
      <c r="B66" s="1706" t="s">
        <v>3103</v>
      </c>
      <c r="C66" s="1724" t="str">
        <f>'Receitas (mensais)'!D88</f>
        <v>Impostos de selo e estampilhas</v>
      </c>
      <c r="D66" s="1725"/>
      <c r="E66" s="1725"/>
      <c r="F66" s="1726">
        <f>SUM(F67:F77)</f>
        <v>65692.951000000001</v>
      </c>
      <c r="G66" s="1726">
        <f t="shared" ref="G66:Q66" si="21">SUM(G67:G77)</f>
        <v>288791.40899999999</v>
      </c>
      <c r="H66" s="1726">
        <f t="shared" si="21"/>
        <v>73323.263000000006</v>
      </c>
      <c r="I66" s="1726">
        <f t="shared" si="21"/>
        <v>89304.963999999993</v>
      </c>
      <c r="J66" s="1726">
        <f t="shared" si="21"/>
        <v>84947.137999999992</v>
      </c>
      <c r="K66" s="1726">
        <f t="shared" si="21"/>
        <v>295436.51499999996</v>
      </c>
      <c r="L66" s="1726">
        <f t="shared" si="21"/>
        <v>104083.337</v>
      </c>
      <c r="M66" s="1726">
        <f t="shared" si="21"/>
        <v>110140.84823999999</v>
      </c>
      <c r="N66" s="1726">
        <f t="shared" si="21"/>
        <v>146556.158</v>
      </c>
      <c r="O66" s="1726">
        <f t="shared" si="21"/>
        <v>133840.75699999998</v>
      </c>
      <c r="P66" s="1726">
        <f t="shared" si="21"/>
        <v>130656.82399999999</v>
      </c>
      <c r="Q66" s="1726">
        <f t="shared" si="21"/>
        <v>135001.14899999998</v>
      </c>
      <c r="R66" s="1727">
        <f t="shared" si="3"/>
        <v>1657775.31324</v>
      </c>
      <c r="S66" s="1725"/>
      <c r="T66" s="1725"/>
      <c r="U66" s="1725"/>
      <c r="V66" s="1725"/>
      <c r="W66" s="1728"/>
      <c r="X66" s="1729"/>
    </row>
    <row r="67" spans="1:24" hidden="1" outlineLevel="1">
      <c r="A67" s="1703"/>
      <c r="B67" s="1706" t="s">
        <v>3105</v>
      </c>
      <c r="C67" s="1707" t="str">
        <f>'Receitas (mensais)'!D89</f>
        <v xml:space="preserve">         Selo de assistência</v>
      </c>
      <c r="D67" s="1699"/>
      <c r="E67" s="1699"/>
      <c r="F67" s="1701">
        <f>'Receitas (mensais)'!E89</f>
        <v>4197.7610000000004</v>
      </c>
      <c r="G67" s="1701">
        <f>'Receitas (mensais)'!F89</f>
        <v>8907.5380000000005</v>
      </c>
      <c r="H67" s="1701">
        <f>'Receitas (mensais)'!G89</f>
        <v>6423.8969999999999</v>
      </c>
      <c r="I67" s="1701">
        <f>'Receitas (mensais)'!H89</f>
        <v>7680.4040000000005</v>
      </c>
      <c r="J67" s="1701">
        <f>'Receitas (mensais)'!I89</f>
        <v>581</v>
      </c>
      <c r="K67" s="1701">
        <f>'Receitas (mensais)'!J89</f>
        <v>6859.0730000000003</v>
      </c>
      <c r="L67" s="1701">
        <f>'Receitas (mensais)'!K89</f>
        <v>9318.7109999999993</v>
      </c>
      <c r="M67" s="1701">
        <f>'Receitas (mensais)'!L89</f>
        <v>8937.23</v>
      </c>
      <c r="N67" s="1701">
        <f>'Receitas (mensais)'!M89</f>
        <v>11786.793</v>
      </c>
      <c r="O67" s="1701">
        <f>'Receitas (mensais)'!N89</f>
        <v>11358.724</v>
      </c>
      <c r="P67" s="1701">
        <f>'Receitas (mensais)'!O89</f>
        <v>6233.9259999999995</v>
      </c>
      <c r="Q67" s="1701">
        <f>'Receitas (mensais)'!P89</f>
        <v>5724.277</v>
      </c>
      <c r="R67" s="1692">
        <f t="shared" si="3"/>
        <v>88009.333999999973</v>
      </c>
      <c r="S67" s="1702"/>
      <c r="T67" s="1702"/>
      <c r="U67" s="1702"/>
      <c r="V67" s="1702"/>
      <c r="W67" s="1694"/>
      <c r="X67" s="1695"/>
    </row>
    <row r="68" spans="1:24" hidden="1" outlineLevel="1">
      <c r="A68" s="1703"/>
      <c r="B68" s="1706" t="s">
        <v>3106</v>
      </c>
      <c r="C68" s="1707" t="str">
        <f>'Receitas (mensais)'!D90</f>
        <v xml:space="preserve">          Papel Selado</v>
      </c>
      <c r="D68" s="1699"/>
      <c r="E68" s="1699"/>
      <c r="F68" s="1701">
        <f>'Receitas (mensais)'!E90</f>
        <v>3497</v>
      </c>
      <c r="G68" s="1701">
        <f>'Receitas (mensais)'!F90</f>
        <v>2210</v>
      </c>
      <c r="H68" s="1701">
        <f>'Receitas (mensais)'!G90</f>
        <v>3744</v>
      </c>
      <c r="I68" s="1701">
        <f>'Receitas (mensais)'!H90</f>
        <v>12694.184999999999</v>
      </c>
      <c r="J68" s="1701">
        <f>'Receitas (mensais)'!I90</f>
        <v>2519.5</v>
      </c>
      <c r="K68" s="1701">
        <f>'Receitas (mensais)'!J90</f>
        <v>5269</v>
      </c>
      <c r="L68" s="1701">
        <f>'Receitas (mensais)'!K90</f>
        <v>10009</v>
      </c>
      <c r="M68" s="1701">
        <f>'Receitas (mensais)'!L90</f>
        <v>19271</v>
      </c>
      <c r="N68" s="1701">
        <f>'Receitas (mensais)'!M90</f>
        <v>12830</v>
      </c>
      <c r="O68" s="1701">
        <f>'Receitas (mensais)'!N90</f>
        <v>8592.5</v>
      </c>
      <c r="P68" s="1701">
        <f>'Receitas (mensais)'!O90</f>
        <v>6085</v>
      </c>
      <c r="Q68" s="1701">
        <f>'Receitas (mensais)'!P90</f>
        <v>23788.666000000001</v>
      </c>
      <c r="R68" s="1692">
        <f t="shared" si="3"/>
        <v>110509.851</v>
      </c>
      <c r="S68" s="1702"/>
      <c r="T68" s="1702"/>
      <c r="U68" s="1702"/>
      <c r="V68" s="1702"/>
      <c r="W68" s="1694"/>
      <c r="X68" s="1695"/>
    </row>
    <row r="69" spans="1:24" hidden="1" outlineLevel="1">
      <c r="A69" s="1703"/>
      <c r="B69" s="1706" t="s">
        <v>3107</v>
      </c>
      <c r="C69" s="1707" t="str">
        <f>'Receitas (mensais)'!D91</f>
        <v xml:space="preserve">          Estampilhas fiscais</v>
      </c>
      <c r="D69" s="1699"/>
      <c r="E69" s="1699"/>
      <c r="F69" s="1701">
        <f>'Receitas (mensais)'!E91</f>
        <v>4184</v>
      </c>
      <c r="G69" s="1701">
        <f>'Receitas (mensais)'!F91</f>
        <v>5196</v>
      </c>
      <c r="H69" s="1701">
        <f>'Receitas (mensais)'!G91</f>
        <v>5077</v>
      </c>
      <c r="I69" s="1701">
        <f>'Receitas (mensais)'!H91</f>
        <v>8239</v>
      </c>
      <c r="J69" s="1701">
        <f>'Receitas (mensais)'!I91</f>
        <v>1582</v>
      </c>
      <c r="K69" s="1701">
        <f>'Receitas (mensais)'!J91</f>
        <v>5532.5</v>
      </c>
      <c r="L69" s="1701">
        <f>'Receitas (mensais)'!K91</f>
        <v>12996.5</v>
      </c>
      <c r="M69" s="1701">
        <f>'Receitas (mensais)'!L91</f>
        <v>10409.5</v>
      </c>
      <c r="N69" s="1701">
        <f>'Receitas (mensais)'!M91</f>
        <v>17167</v>
      </c>
      <c r="O69" s="1701">
        <f>'Receitas (mensais)'!N91</f>
        <v>11799.45</v>
      </c>
      <c r="P69" s="1701">
        <f>'Receitas (mensais)'!O91</f>
        <v>3529.5</v>
      </c>
      <c r="Q69" s="1701">
        <f>'Receitas (mensais)'!P91</f>
        <v>3432</v>
      </c>
      <c r="R69" s="1692">
        <f t="shared" si="3"/>
        <v>89144.45</v>
      </c>
      <c r="S69" s="1702"/>
      <c r="T69" s="1702"/>
      <c r="U69" s="1702"/>
      <c r="V69" s="1702"/>
      <c r="W69" s="1694"/>
      <c r="X69" s="1695"/>
    </row>
    <row r="70" spans="1:24" hidden="1" outlineLevel="1">
      <c r="A70" s="1703"/>
      <c r="B70" s="1706" t="s">
        <v>3108</v>
      </c>
      <c r="C70" s="1707" t="str">
        <f>'Receitas (mensais)'!D92</f>
        <v xml:space="preserve">          Letras Seladas e Impress</v>
      </c>
      <c r="D70" s="1699"/>
      <c r="E70" s="1699"/>
      <c r="F70" s="1701">
        <f>'Receitas (mensais)'!E92</f>
        <v>0</v>
      </c>
      <c r="G70" s="1701">
        <f>'Receitas (mensais)'!F92</f>
        <v>0</v>
      </c>
      <c r="H70" s="1701">
        <f>'Receitas (mensais)'!G92</f>
        <v>0</v>
      </c>
      <c r="I70" s="1701">
        <f>'Receitas (mensais)'!H92</f>
        <v>0</v>
      </c>
      <c r="J70" s="1701">
        <f>'Receitas (mensais)'!I92</f>
        <v>0</v>
      </c>
      <c r="K70" s="1701">
        <f>'Receitas (mensais)'!J92</f>
        <v>0</v>
      </c>
      <c r="L70" s="1701">
        <f>'Receitas (mensais)'!K92</f>
        <v>0</v>
      </c>
      <c r="M70" s="1701">
        <f>'Receitas (mensais)'!L92</f>
        <v>0</v>
      </c>
      <c r="N70" s="1701">
        <f>'Receitas (mensais)'!M92</f>
        <v>0</v>
      </c>
      <c r="O70" s="1701">
        <f>'Receitas (mensais)'!N92</f>
        <v>250</v>
      </c>
      <c r="P70" s="1701">
        <f>'Receitas (mensais)'!O92</f>
        <v>0</v>
      </c>
      <c r="Q70" s="1701">
        <f>'Receitas (mensais)'!P92</f>
        <v>0</v>
      </c>
      <c r="R70" s="1692">
        <f t="shared" si="3"/>
        <v>250</v>
      </c>
      <c r="S70" s="1702"/>
      <c r="T70" s="1702"/>
      <c r="U70" s="1702"/>
      <c r="V70" s="1702"/>
      <c r="W70" s="1694"/>
      <c r="X70" s="1695"/>
    </row>
    <row r="71" spans="1:24" hidden="1" outlineLevel="1">
      <c r="A71" s="1703"/>
      <c r="B71" s="1706" t="s">
        <v>3109</v>
      </c>
      <c r="C71" s="1707" t="str">
        <f>'Receitas (mensais)'!D93</f>
        <v xml:space="preserve">          Selo de Verba</v>
      </c>
      <c r="D71" s="1699"/>
      <c r="E71" s="1699"/>
      <c r="F71" s="1701">
        <f>'Receitas (mensais)'!E93</f>
        <v>35324.822</v>
      </c>
      <c r="G71" s="1701">
        <f>'Receitas (mensais)'!F93</f>
        <v>243720.984</v>
      </c>
      <c r="H71" s="1701">
        <f>'Receitas (mensais)'!G93</f>
        <v>23504.639000000003</v>
      </c>
      <c r="I71" s="1701">
        <f>'Receitas (mensais)'!H93</f>
        <v>16564.047999999999</v>
      </c>
      <c r="J71" s="1701">
        <f>'Receitas (mensais)'!I93</f>
        <v>58632.567999999992</v>
      </c>
      <c r="K71" s="1701">
        <f>'Receitas (mensais)'!J93</f>
        <v>244777.50299999997</v>
      </c>
      <c r="L71" s="1701">
        <f>'Receitas (mensais)'!K93</f>
        <v>38585.161999999997</v>
      </c>
      <c r="M71" s="1701">
        <f>'Receitas (mensais)'!L93</f>
        <v>27024.537240000001</v>
      </c>
      <c r="N71" s="1701">
        <f>'Receitas (mensais)'!M93</f>
        <v>86828.707999999984</v>
      </c>
      <c r="O71" s="1701">
        <f>'Receitas (mensais)'!N93</f>
        <v>61188.309000000008</v>
      </c>
      <c r="P71" s="1701">
        <f>'Receitas (mensais)'!O93</f>
        <v>100198.59999999998</v>
      </c>
      <c r="Q71" s="1701">
        <f>'Receitas (mensais)'!P93</f>
        <v>91241.536999999982</v>
      </c>
      <c r="R71" s="1692">
        <f t="shared" si="3"/>
        <v>1027591.41724</v>
      </c>
      <c r="S71" s="1702"/>
      <c r="T71" s="1702"/>
      <c r="U71" s="1702"/>
      <c r="V71" s="1702"/>
      <c r="W71" s="1694"/>
      <c r="X71" s="1695"/>
    </row>
    <row r="72" spans="1:24" hidden="1" outlineLevel="1">
      <c r="A72" s="1703"/>
      <c r="B72" s="1706" t="s">
        <v>3110</v>
      </c>
      <c r="C72" s="1707" t="str">
        <f>'Receitas (mensais)'!D94</f>
        <v xml:space="preserve">          Selo Conhec. de Cobrança</v>
      </c>
      <c r="D72" s="1699"/>
      <c r="E72" s="1699"/>
      <c r="F72" s="1701">
        <f>'Receitas (mensais)'!E94</f>
        <v>0</v>
      </c>
      <c r="G72" s="1701">
        <f>'Receitas (mensais)'!F94</f>
        <v>657.65</v>
      </c>
      <c r="H72" s="1701">
        <f>'Receitas (mensais)'!G94</f>
        <v>0</v>
      </c>
      <c r="I72" s="1701">
        <f>'Receitas (mensais)'!H94</f>
        <v>0</v>
      </c>
      <c r="J72" s="1701">
        <f>'Receitas (mensais)'!I94</f>
        <v>0</v>
      </c>
      <c r="K72" s="1701">
        <f>'Receitas (mensais)'!J94</f>
        <v>0</v>
      </c>
      <c r="L72" s="1701">
        <f>'Receitas (mensais)'!K94</f>
        <v>0</v>
      </c>
      <c r="M72" s="1701">
        <f>'Receitas (mensais)'!L94</f>
        <v>0</v>
      </c>
      <c r="N72" s="1701">
        <f>'Receitas (mensais)'!M94</f>
        <v>0</v>
      </c>
      <c r="O72" s="1701">
        <f>'Receitas (mensais)'!N94</f>
        <v>8.1310000000000002</v>
      </c>
      <c r="P72" s="1701">
        <f>'Receitas (mensais)'!O94</f>
        <v>4149.4059999999999</v>
      </c>
      <c r="Q72" s="1701">
        <f>'Receitas (mensais)'!P94</f>
        <v>0</v>
      </c>
      <c r="R72" s="1692">
        <f t="shared" si="3"/>
        <v>4815.1869999999999</v>
      </c>
      <c r="S72" s="1702"/>
      <c r="T72" s="1702"/>
      <c r="U72" s="1702"/>
      <c r="V72" s="1702"/>
      <c r="W72" s="1694"/>
      <c r="X72" s="1695"/>
    </row>
    <row r="73" spans="1:24" hidden="1" outlineLevel="1">
      <c r="A73" s="1703"/>
      <c r="B73" s="1706" t="s">
        <v>3111</v>
      </c>
      <c r="C73" s="1707" t="str">
        <f>'Receitas (mensais)'!D95</f>
        <v xml:space="preserve">          Selos diversos</v>
      </c>
      <c r="D73" s="1699"/>
      <c r="E73" s="1699"/>
      <c r="F73" s="1701">
        <f>'Receitas (mensais)'!E95</f>
        <v>5978.8559999999998</v>
      </c>
      <c r="G73" s="1701">
        <f>'Receitas (mensais)'!F95</f>
        <v>5885.3590000000004</v>
      </c>
      <c r="H73" s="1701">
        <f>'Receitas (mensais)'!G95</f>
        <v>18133.923999999999</v>
      </c>
      <c r="I73" s="1701">
        <f>'Receitas (mensais)'!H95</f>
        <v>21216.547999999999</v>
      </c>
      <c r="J73" s="1701">
        <f>'Receitas (mensais)'!I95</f>
        <v>0</v>
      </c>
      <c r="K73" s="1701">
        <f>'Receitas (mensais)'!J95</f>
        <v>19432.7</v>
      </c>
      <c r="L73" s="1701">
        <f>'Receitas (mensais)'!K95</f>
        <v>19218.488000000001</v>
      </c>
      <c r="M73" s="1701">
        <f>'Receitas (mensais)'!L95</f>
        <v>23431.727999999999</v>
      </c>
      <c r="N73" s="1701">
        <f>'Receitas (mensais)'!M95</f>
        <v>0</v>
      </c>
      <c r="O73" s="1701">
        <f>'Receitas (mensais)'!N95</f>
        <v>0</v>
      </c>
      <c r="P73" s="1701">
        <f>'Receitas (mensais)'!O95</f>
        <v>20.395</v>
      </c>
      <c r="Q73" s="1701">
        <f>'Receitas (mensais)'!P95</f>
        <v>0</v>
      </c>
      <c r="R73" s="1692">
        <f t="shared" si="3"/>
        <v>113317.99800000001</v>
      </c>
      <c r="S73" s="1702"/>
      <c r="T73" s="1702"/>
      <c r="U73" s="1702"/>
      <c r="V73" s="1702"/>
      <c r="W73" s="1694"/>
      <c r="X73" s="1695"/>
    </row>
    <row r="74" spans="1:24" hidden="1" outlineLevel="1">
      <c r="A74" s="1703"/>
      <c r="B74" s="1706" t="s">
        <v>3112</v>
      </c>
      <c r="C74" s="1707" t="str">
        <f>'Receitas (mensais)'!D96</f>
        <v xml:space="preserve">          Selo de Cheques</v>
      </c>
      <c r="D74" s="1699"/>
      <c r="E74" s="1699"/>
      <c r="F74" s="1701">
        <f>'Receitas (mensais)'!E96</f>
        <v>0</v>
      </c>
      <c r="G74" s="1701">
        <f>'Receitas (mensais)'!F96</f>
        <v>0</v>
      </c>
      <c r="H74" s="1701">
        <f>'Receitas (mensais)'!G96</f>
        <v>0</v>
      </c>
      <c r="I74" s="1701">
        <f>'Receitas (mensais)'!H96</f>
        <v>0</v>
      </c>
      <c r="J74" s="1701">
        <f>'Receitas (mensais)'!I96</f>
        <v>0</v>
      </c>
      <c r="K74" s="1701">
        <f>'Receitas (mensais)'!J96</f>
        <v>0</v>
      </c>
      <c r="L74" s="1701">
        <f>'Receitas (mensais)'!K96</f>
        <v>0</v>
      </c>
      <c r="M74" s="1701">
        <f>'Receitas (mensais)'!L96</f>
        <v>0</v>
      </c>
      <c r="N74" s="1701">
        <f>'Receitas (mensais)'!M96</f>
        <v>0</v>
      </c>
      <c r="O74" s="1701">
        <f>'Receitas (mensais)'!N96</f>
        <v>0</v>
      </c>
      <c r="P74" s="1701">
        <f>'Receitas (mensais)'!O96</f>
        <v>0</v>
      </c>
      <c r="Q74" s="1701">
        <f>'Receitas (mensais)'!P96</f>
        <v>0</v>
      </c>
      <c r="R74" s="1692">
        <f t="shared" si="3"/>
        <v>0</v>
      </c>
      <c r="S74" s="1702"/>
      <c r="T74" s="1702"/>
      <c r="U74" s="1702"/>
      <c r="V74" s="1702"/>
      <c r="W74" s="1694"/>
      <c r="X74" s="1695"/>
    </row>
    <row r="75" spans="1:24" hidden="1" outlineLevel="1">
      <c r="A75" s="1703"/>
      <c r="B75" s="1706" t="s">
        <v>3113</v>
      </c>
      <c r="C75" s="1707" t="str">
        <f>'Receitas (mensais)'!D97</f>
        <v xml:space="preserve">          Selo Reconstr. Nacional</v>
      </c>
      <c r="D75" s="1699"/>
      <c r="E75" s="1699"/>
      <c r="F75" s="1701">
        <f>'Receitas (mensais)'!E97</f>
        <v>4197.7610000000004</v>
      </c>
      <c r="G75" s="1701">
        <f>'Receitas (mensais)'!F97</f>
        <v>8899.5709999999999</v>
      </c>
      <c r="H75" s="1701">
        <f>'Receitas (mensais)'!G97</f>
        <v>5317.2510000000002</v>
      </c>
      <c r="I75" s="1701">
        <f>'Receitas (mensais)'!H97</f>
        <v>7599.4040000000005</v>
      </c>
      <c r="J75" s="1701">
        <f>'Receitas (mensais)'!I97</f>
        <v>4169.5820000000003</v>
      </c>
      <c r="K75" s="1701">
        <f>'Receitas (mensais)'!J97</f>
        <v>6595.0969999999998</v>
      </c>
      <c r="L75" s="1701">
        <f>'Receitas (mensais)'!K97</f>
        <v>9304.1490000000013</v>
      </c>
      <c r="M75" s="1701">
        <f>'Receitas (mensais)'!L97</f>
        <v>13465.196</v>
      </c>
      <c r="N75" s="1701">
        <f>'Receitas (mensais)'!M97</f>
        <v>12442.093000000001</v>
      </c>
      <c r="O75" s="1701">
        <f>'Receitas (mensais)'!N97</f>
        <v>30350.23</v>
      </c>
      <c r="P75" s="1701">
        <f>'Receitas (mensais)'!O97</f>
        <v>5835.326</v>
      </c>
      <c r="Q75" s="1701">
        <f>'Receitas (mensais)'!P97</f>
        <v>5624.1319999999996</v>
      </c>
      <c r="R75" s="1692">
        <f t="shared" si="3"/>
        <v>113799.79199999999</v>
      </c>
      <c r="S75" s="1702"/>
      <c r="T75" s="1702"/>
      <c r="U75" s="1702"/>
      <c r="V75" s="1702"/>
      <c r="W75" s="1694"/>
      <c r="X75" s="1695"/>
    </row>
    <row r="76" spans="1:24" hidden="1" outlineLevel="1">
      <c r="A76" s="1703"/>
      <c r="B76" s="1706" t="s">
        <v>3114</v>
      </c>
      <c r="C76" s="1707" t="str">
        <f>'Receitas (mensais)'!D98</f>
        <v xml:space="preserve">           Estamp. Espec. Farmac.</v>
      </c>
      <c r="D76" s="1699"/>
      <c r="E76" s="1699"/>
      <c r="F76" s="1701">
        <f>'Receitas (mensais)'!E98</f>
        <v>0</v>
      </c>
      <c r="G76" s="1701">
        <f>'Receitas (mensais)'!F98</f>
        <v>0</v>
      </c>
      <c r="H76" s="1701">
        <f>'Receitas (mensais)'!G98</f>
        <v>0</v>
      </c>
      <c r="I76" s="1701">
        <f>'Receitas (mensais)'!H98</f>
        <v>0</v>
      </c>
      <c r="J76" s="1701">
        <f>'Receitas (mensais)'!I98</f>
        <v>0</v>
      </c>
      <c r="K76" s="1701">
        <f>'Receitas (mensais)'!J98</f>
        <v>0</v>
      </c>
      <c r="L76" s="1701">
        <f>'Receitas (mensais)'!K98</f>
        <v>0</v>
      </c>
      <c r="M76" s="1701">
        <f>'Receitas (mensais)'!L98</f>
        <v>0</v>
      </c>
      <c r="N76" s="1701">
        <f>'Receitas (mensais)'!M98</f>
        <v>0</v>
      </c>
      <c r="O76" s="1701">
        <f>'Receitas (mensais)'!N98</f>
        <v>0</v>
      </c>
      <c r="P76" s="1701">
        <f>'Receitas (mensais)'!O98</f>
        <v>0</v>
      </c>
      <c r="Q76" s="1701">
        <f>'Receitas (mensais)'!P98</f>
        <v>0</v>
      </c>
      <c r="R76" s="1692">
        <f t="shared" si="3"/>
        <v>0</v>
      </c>
      <c r="S76" s="1702"/>
      <c r="T76" s="1702"/>
      <c r="U76" s="1702"/>
      <c r="V76" s="1702"/>
      <c r="W76" s="1694"/>
      <c r="X76" s="1695"/>
    </row>
    <row r="77" spans="1:24" hidden="1" outlineLevel="1">
      <c r="A77" s="1703"/>
      <c r="B77" s="1706" t="s">
        <v>3115</v>
      </c>
      <c r="C77" s="1707" t="str">
        <f>'Receitas (mensais)'!D99</f>
        <v xml:space="preserve">           Selo de Recibo</v>
      </c>
      <c r="D77" s="1699"/>
      <c r="E77" s="1699"/>
      <c r="F77" s="1701">
        <f>'Receitas (mensais)'!E99</f>
        <v>8312.7510000000002</v>
      </c>
      <c r="G77" s="1701">
        <f>'Receitas (mensais)'!F99</f>
        <v>13314.307000000001</v>
      </c>
      <c r="H77" s="1701">
        <f>'Receitas (mensais)'!G99</f>
        <v>11122.551999999998</v>
      </c>
      <c r="I77" s="1701">
        <f>'Receitas (mensais)'!H99</f>
        <v>15311.375</v>
      </c>
      <c r="J77" s="1701">
        <f>'Receitas (mensais)'!I99</f>
        <v>17462.488000000001</v>
      </c>
      <c r="K77" s="1701">
        <f>'Receitas (mensais)'!J99</f>
        <v>6970.6419999999998</v>
      </c>
      <c r="L77" s="1701">
        <f>'Receitas (mensais)'!K99</f>
        <v>4651.3269999999993</v>
      </c>
      <c r="M77" s="1701">
        <f>'Receitas (mensais)'!L99</f>
        <v>7601.6569999999992</v>
      </c>
      <c r="N77" s="1701">
        <f>'Receitas (mensais)'!M99</f>
        <v>5501.5640000000003</v>
      </c>
      <c r="O77" s="1701">
        <f>'Receitas (mensais)'!N99</f>
        <v>10293.412999999999</v>
      </c>
      <c r="P77" s="1701">
        <f>'Receitas (mensais)'!O99</f>
        <v>4604.6710000000003</v>
      </c>
      <c r="Q77" s="1701">
        <f>'Receitas (mensais)'!P99</f>
        <v>5190.5369999999994</v>
      </c>
      <c r="R77" s="1692">
        <f t="shared" si="3"/>
        <v>110337.28399999999</v>
      </c>
      <c r="S77" s="1702"/>
      <c r="T77" s="1702"/>
      <c r="U77" s="1702"/>
      <c r="V77" s="1702"/>
      <c r="W77" s="1694"/>
      <c r="X77" s="1695"/>
    </row>
    <row r="78" spans="1:24" s="1730" customFormat="1" hidden="1" outlineLevel="1">
      <c r="A78" s="1723"/>
      <c r="B78" s="1706" t="s">
        <v>3104</v>
      </c>
      <c r="C78" s="1724" t="str">
        <f>'Receitas (mensais)'!D100</f>
        <v>Imposto para a democracia</v>
      </c>
      <c r="D78" s="1725"/>
      <c r="E78" s="1725"/>
      <c r="F78" s="1726">
        <f>'Receitas (mensais)'!E100</f>
        <v>0</v>
      </c>
      <c r="G78" s="1726">
        <f>'Receitas (mensais)'!F100</f>
        <v>0</v>
      </c>
      <c r="H78" s="1726">
        <f>'Receitas (mensais)'!G100</f>
        <v>0</v>
      </c>
      <c r="I78" s="1726">
        <f>'Receitas (mensais)'!H100</f>
        <v>0</v>
      </c>
      <c r="J78" s="1726">
        <f>'Receitas (mensais)'!I100</f>
        <v>0</v>
      </c>
      <c r="K78" s="1726">
        <f>'Receitas (mensais)'!J100</f>
        <v>0</v>
      </c>
      <c r="L78" s="1726">
        <f>'Receitas (mensais)'!K100</f>
        <v>0</v>
      </c>
      <c r="M78" s="1726">
        <f>'Receitas (mensais)'!L100</f>
        <v>0</v>
      </c>
      <c r="N78" s="1726">
        <f>'Receitas (mensais)'!M100</f>
        <v>0</v>
      </c>
      <c r="O78" s="1726">
        <f>'Receitas (mensais)'!N100</f>
        <v>0</v>
      </c>
      <c r="P78" s="1726">
        <f>'Receitas (mensais)'!O100</f>
        <v>0</v>
      </c>
      <c r="Q78" s="1726">
        <f>'Receitas (mensais)'!P100</f>
        <v>0</v>
      </c>
      <c r="R78" s="1727">
        <f t="shared" si="3"/>
        <v>0</v>
      </c>
      <c r="S78" s="1725"/>
      <c r="T78" s="1725"/>
      <c r="U78" s="1725"/>
      <c r="V78" s="1725"/>
      <c r="W78" s="1728"/>
      <c r="X78" s="1729"/>
    </row>
    <row r="79" spans="1:24" s="1730" customFormat="1" hidden="1" outlineLevel="1">
      <c r="A79" s="1723"/>
      <c r="B79" s="1706" t="s">
        <v>3116</v>
      </c>
      <c r="C79" s="1724" t="str">
        <f>'Receitas (mensais)'!D101</f>
        <v>Outros</v>
      </c>
      <c r="D79" s="1725"/>
      <c r="E79" s="1725"/>
      <c r="F79" s="1726">
        <f>SUM(F80:F81)</f>
        <v>0</v>
      </c>
      <c r="G79" s="1726">
        <f t="shared" ref="G79:Q79" si="22">SUM(G80:G81)</f>
        <v>0</v>
      </c>
      <c r="H79" s="1726">
        <f t="shared" si="22"/>
        <v>0</v>
      </c>
      <c r="I79" s="1726">
        <f t="shared" si="22"/>
        <v>0</v>
      </c>
      <c r="J79" s="1726">
        <f t="shared" si="22"/>
        <v>0</v>
      </c>
      <c r="K79" s="1726">
        <f t="shared" si="22"/>
        <v>0</v>
      </c>
      <c r="L79" s="1726">
        <f t="shared" si="22"/>
        <v>0</v>
      </c>
      <c r="M79" s="1726">
        <f t="shared" si="22"/>
        <v>0</v>
      </c>
      <c r="N79" s="1726">
        <f t="shared" si="22"/>
        <v>0</v>
      </c>
      <c r="O79" s="1726">
        <f t="shared" si="22"/>
        <v>0</v>
      </c>
      <c r="P79" s="1726">
        <f t="shared" si="22"/>
        <v>0</v>
      </c>
      <c r="Q79" s="1726">
        <f t="shared" si="22"/>
        <v>0</v>
      </c>
      <c r="R79" s="1727">
        <f t="shared" si="3"/>
        <v>0</v>
      </c>
      <c r="S79" s="1725"/>
      <c r="T79" s="1725"/>
      <c r="U79" s="1725"/>
      <c r="V79" s="1725"/>
      <c r="W79" s="1728"/>
      <c r="X79" s="1729"/>
    </row>
    <row r="80" spans="1:24" hidden="1" outlineLevel="1">
      <c r="A80" s="1703"/>
      <c r="B80" s="1706" t="s">
        <v>3117</v>
      </c>
      <c r="C80" s="1707" t="str">
        <f>'Receitas (mensais)'!D102</f>
        <v xml:space="preserve">           Imposto Tonelagem</v>
      </c>
      <c r="D80" s="1699"/>
      <c r="E80" s="1699"/>
      <c r="F80" s="1701">
        <f>'Receitas (mensais)'!E102</f>
        <v>0</v>
      </c>
      <c r="G80" s="1701">
        <f>'Receitas (mensais)'!F102</f>
        <v>0</v>
      </c>
      <c r="H80" s="1701">
        <f>'Receitas (mensais)'!G102</f>
        <v>0</v>
      </c>
      <c r="I80" s="1701">
        <f>'Receitas (mensais)'!H102</f>
        <v>0</v>
      </c>
      <c r="J80" s="1701">
        <f>'Receitas (mensais)'!I102</f>
        <v>0</v>
      </c>
      <c r="K80" s="1701">
        <f>'Receitas (mensais)'!J102</f>
        <v>0</v>
      </c>
      <c r="L80" s="1701">
        <f>'Receitas (mensais)'!K102</f>
        <v>0</v>
      </c>
      <c r="M80" s="1701">
        <f>'Receitas (mensais)'!L102</f>
        <v>0</v>
      </c>
      <c r="N80" s="1701">
        <f>'Receitas (mensais)'!M102</f>
        <v>0</v>
      </c>
      <c r="O80" s="1701">
        <f>'Receitas (mensais)'!N102</f>
        <v>0</v>
      </c>
      <c r="P80" s="1701">
        <f>'Receitas (mensais)'!O102</f>
        <v>0</v>
      </c>
      <c r="Q80" s="1701">
        <f>'Receitas (mensais)'!P102</f>
        <v>0</v>
      </c>
      <c r="R80" s="1692">
        <f t="shared" si="3"/>
        <v>0</v>
      </c>
      <c r="S80" s="1702"/>
      <c r="T80" s="1702"/>
      <c r="U80" s="1702"/>
      <c r="V80" s="1702"/>
      <c r="W80" s="1694"/>
      <c r="X80" s="1695"/>
    </row>
    <row r="81" spans="1:31" hidden="1" outlineLevel="1">
      <c r="A81" s="1703"/>
      <c r="B81" s="1706" t="s">
        <v>3118</v>
      </c>
      <c r="C81" s="1707" t="str">
        <f>'Receitas (mensais)'!D103</f>
        <v xml:space="preserve">           Imposto comercio maritim</v>
      </c>
      <c r="D81" s="1699"/>
      <c r="E81" s="1699"/>
      <c r="F81" s="1701">
        <f>'Receitas (mensais)'!E103</f>
        <v>0</v>
      </c>
      <c r="G81" s="1701">
        <f>'Receitas (mensais)'!F103</f>
        <v>0</v>
      </c>
      <c r="H81" s="1701">
        <f>'Receitas (mensais)'!G103</f>
        <v>0</v>
      </c>
      <c r="I81" s="1701">
        <f>'Receitas (mensais)'!H103</f>
        <v>0</v>
      </c>
      <c r="J81" s="1701">
        <f>'Receitas (mensais)'!I103</f>
        <v>0</v>
      </c>
      <c r="K81" s="1701">
        <f>'Receitas (mensais)'!J103</f>
        <v>0</v>
      </c>
      <c r="L81" s="1701">
        <f>'Receitas (mensais)'!K103</f>
        <v>0</v>
      </c>
      <c r="M81" s="1701">
        <f>'Receitas (mensais)'!L103</f>
        <v>0</v>
      </c>
      <c r="N81" s="1701">
        <f>'Receitas (mensais)'!M103</f>
        <v>0</v>
      </c>
      <c r="O81" s="1701">
        <f>'Receitas (mensais)'!N103</f>
        <v>0</v>
      </c>
      <c r="P81" s="1701">
        <f>'Receitas (mensais)'!O103</f>
        <v>0</v>
      </c>
      <c r="Q81" s="1701">
        <f>'Receitas (mensais)'!P103</f>
        <v>0</v>
      </c>
      <c r="R81" s="1692">
        <f t="shared" si="3"/>
        <v>0</v>
      </c>
      <c r="S81" s="1702"/>
      <c r="T81" s="1702"/>
      <c r="U81" s="1702"/>
      <c r="V81" s="1702"/>
      <c r="W81" s="1694"/>
      <c r="X81" s="1695"/>
    </row>
    <row r="82" spans="1:31" collapsed="1">
      <c r="A82" s="1703"/>
      <c r="B82" s="1705" t="s">
        <v>3100</v>
      </c>
      <c r="C82" s="1719" t="s">
        <v>3120</v>
      </c>
      <c r="D82" s="1699"/>
      <c r="E82" s="1699"/>
      <c r="F82" s="1699"/>
      <c r="G82" s="1699"/>
      <c r="H82" s="1699"/>
      <c r="I82" s="1699"/>
      <c r="J82" s="1699"/>
      <c r="K82" s="1731"/>
      <c r="L82" s="1699"/>
      <c r="M82" s="1699"/>
      <c r="N82" s="1699"/>
      <c r="O82" s="1699"/>
      <c r="P82" s="1699"/>
      <c r="Q82" s="1699"/>
      <c r="R82" s="1692">
        <f t="shared" si="3"/>
        <v>0</v>
      </c>
      <c r="S82" s="1702">
        <f t="shared" ref="S82:S88" si="23">SUM(F82:H82)</f>
        <v>0</v>
      </c>
      <c r="T82" s="1702">
        <f t="shared" ref="T82:T88" si="24">SUM(F82:K82)</f>
        <v>0</v>
      </c>
      <c r="U82" s="1702">
        <f t="shared" ref="U82:U88" si="25">SUM(F82:N82)</f>
        <v>0</v>
      </c>
      <c r="V82" s="1702">
        <f t="shared" ref="V82:V88" si="26">R82</f>
        <v>0</v>
      </c>
      <c r="W82" s="1694" t="e">
        <f t="shared" ref="W82:W88" si="27">R82/E82*100</f>
        <v>#DIV/0!</v>
      </c>
      <c r="X82" s="1695"/>
    </row>
    <row r="83" spans="1:31">
      <c r="A83" s="1698" t="s">
        <v>668</v>
      </c>
      <c r="B83" s="1688" t="s">
        <v>426</v>
      </c>
      <c r="C83" s="1688" t="s">
        <v>2784</v>
      </c>
      <c r="D83" s="1690">
        <f t="shared" ref="D83:Q83" si="28">D84+D85+D88+D99+D110</f>
        <v>0</v>
      </c>
      <c r="E83" s="1700">
        <f t="shared" si="28"/>
        <v>0</v>
      </c>
      <c r="F83" s="1690">
        <f t="shared" si="28"/>
        <v>887384.79400000023</v>
      </c>
      <c r="G83" s="1690">
        <f t="shared" si="28"/>
        <v>764726.9040000001</v>
      </c>
      <c r="H83" s="1690">
        <f t="shared" si="28"/>
        <v>6069792.5599999996</v>
      </c>
      <c r="I83" s="1690">
        <f t="shared" si="28"/>
        <v>540812.50200000009</v>
      </c>
      <c r="J83" s="1690">
        <f t="shared" si="28"/>
        <v>906597.27399999998</v>
      </c>
      <c r="K83" s="1690">
        <f t="shared" si="28"/>
        <v>1541425.8230000001</v>
      </c>
      <c r="L83" s="1690">
        <f t="shared" si="28"/>
        <v>1616550.1090000002</v>
      </c>
      <c r="M83" s="1690">
        <f t="shared" si="28"/>
        <v>824271.31200000015</v>
      </c>
      <c r="N83" s="1690">
        <f t="shared" si="28"/>
        <v>712703.60900000005</v>
      </c>
      <c r="O83" s="1690">
        <f t="shared" si="28"/>
        <v>8093930.0870000003</v>
      </c>
      <c r="P83" s="1690">
        <f t="shared" si="28"/>
        <v>2205274.483</v>
      </c>
      <c r="Q83" s="1690">
        <f t="shared" si="28"/>
        <v>2316573.983</v>
      </c>
      <c r="R83" s="1692">
        <f>SUM(F83:Q83)</f>
        <v>26480043.440000001</v>
      </c>
      <c r="S83" s="1693">
        <f t="shared" si="23"/>
        <v>7721904.2579999994</v>
      </c>
      <c r="T83" s="1693">
        <f t="shared" si="24"/>
        <v>10710739.857000001</v>
      </c>
      <c r="U83" s="1693">
        <f t="shared" si="25"/>
        <v>13864264.887000002</v>
      </c>
      <c r="V83" s="1693">
        <f t="shared" si="26"/>
        <v>26480043.440000001</v>
      </c>
      <c r="W83" s="1694" t="e">
        <f t="shared" si="27"/>
        <v>#DIV/0!</v>
      </c>
      <c r="X83" s="1695">
        <f>R83/$X$1*100/1000</f>
        <v>3.2635407683111701</v>
      </c>
    </row>
    <row r="84" spans="1:31">
      <c r="A84" s="1703" t="s">
        <v>430</v>
      </c>
      <c r="B84" s="1705" t="s">
        <v>429</v>
      </c>
      <c r="C84" s="1705" t="s">
        <v>2785</v>
      </c>
      <c r="D84" s="1732">
        <v>0</v>
      </c>
      <c r="E84" s="1732">
        <v>0</v>
      </c>
      <c r="F84" s="1699">
        <f>+'Receitas (mensais)'!E164</f>
        <v>0</v>
      </c>
      <c r="G84" s="1699">
        <f>+'Receitas (mensais)'!F164</f>
        <v>0</v>
      </c>
      <c r="H84" s="1699">
        <f>+'Receitas (mensais)'!G164</f>
        <v>5639113.0300000003</v>
      </c>
      <c r="I84" s="1699">
        <f>+'Receitas (mensais)'!H164</f>
        <v>0</v>
      </c>
      <c r="J84" s="1699">
        <f>+'Receitas (mensais)'!I164</f>
        <v>0</v>
      </c>
      <c r="K84" s="1699">
        <f>+'Receitas (mensais)'!J164</f>
        <v>0</v>
      </c>
      <c r="L84" s="1699">
        <f>+'Receitas (mensais)'!K164</f>
        <v>0</v>
      </c>
      <c r="M84" s="1699">
        <f>+'Receitas (mensais)'!L164</f>
        <v>0</v>
      </c>
      <c r="N84" s="1699">
        <f>+'Receitas (mensais)'!M164</f>
        <v>0</v>
      </c>
      <c r="O84" s="1699">
        <f>+'Receitas (mensais)'!N164</f>
        <v>0</v>
      </c>
      <c r="P84" s="1699">
        <f>+'Receitas (mensais)'!O164</f>
        <v>0</v>
      </c>
      <c r="Q84" s="1699">
        <f>+'Receitas (mensais)'!P164</f>
        <v>0</v>
      </c>
      <c r="R84" s="1692">
        <f t="shared" si="3"/>
        <v>5639113.0300000003</v>
      </c>
      <c r="S84" s="1702">
        <f t="shared" si="23"/>
        <v>5639113.0300000003</v>
      </c>
      <c r="T84" s="1702">
        <f t="shared" si="24"/>
        <v>5639113.0300000003</v>
      </c>
      <c r="U84" s="1702">
        <f t="shared" si="25"/>
        <v>5639113.0300000003</v>
      </c>
      <c r="V84" s="1702">
        <f t="shared" si="26"/>
        <v>5639113.0300000003</v>
      </c>
      <c r="W84" s="1694" t="e">
        <f t="shared" si="27"/>
        <v>#DIV/0!</v>
      </c>
      <c r="X84" s="1695"/>
    </row>
    <row r="85" spans="1:31">
      <c r="A85" s="1703" t="s">
        <v>433</v>
      </c>
      <c r="B85" s="1705" t="s">
        <v>432</v>
      </c>
      <c r="C85" s="1705" t="s">
        <v>2786</v>
      </c>
      <c r="D85" s="1690">
        <f>+D86+D87</f>
        <v>0</v>
      </c>
      <c r="E85" s="1699"/>
      <c r="F85" s="1699">
        <f>+'Receitas (mensais)'!E105</f>
        <v>614078.45600000024</v>
      </c>
      <c r="G85" s="1699">
        <f>+'Receitas (mensais)'!F105</f>
        <v>288901.59900000005</v>
      </c>
      <c r="H85" s="1699">
        <f>+'Receitas (mensais)'!G105</f>
        <v>121622.715</v>
      </c>
      <c r="I85" s="1699">
        <f>+'Receitas (mensais)'!H105</f>
        <v>214670.75700000001</v>
      </c>
      <c r="J85" s="1699">
        <f>+'Receitas (mensais)'!I105</f>
        <v>433196.45699999999</v>
      </c>
      <c r="K85" s="1699">
        <f>+'Receitas (mensais)'!J105</f>
        <v>764263.96000000008</v>
      </c>
      <c r="L85" s="1699">
        <f>+'Receitas (mensais)'!K105</f>
        <v>897054.06</v>
      </c>
      <c r="M85" s="1699">
        <f>+'Receitas (mensais)'!L105</f>
        <v>354020.78400000004</v>
      </c>
      <c r="N85" s="1699">
        <f>+'Receitas (mensais)'!M105</f>
        <v>354333.66800000006</v>
      </c>
      <c r="O85" s="1699">
        <f>+'Receitas (mensais)'!N105</f>
        <v>147993.98499999999</v>
      </c>
      <c r="P85" s="1699">
        <f>+'Receitas (mensais)'!O105</f>
        <v>653962.81999999983</v>
      </c>
      <c r="Q85" s="1699">
        <f>+'Receitas (mensais)'!P105</f>
        <v>1964245.9920000001</v>
      </c>
      <c r="R85" s="1692">
        <f t="shared" si="3"/>
        <v>6808345.2530000005</v>
      </c>
      <c r="S85" s="1702">
        <f t="shared" si="23"/>
        <v>1024602.7700000003</v>
      </c>
      <c r="T85" s="1702">
        <f t="shared" si="24"/>
        <v>2436733.9440000001</v>
      </c>
      <c r="U85" s="1702">
        <f t="shared" si="25"/>
        <v>4042142.4560000002</v>
      </c>
      <c r="V85" s="1702">
        <f t="shared" si="26"/>
        <v>6808345.2530000005</v>
      </c>
      <c r="W85" s="1694" t="e">
        <f t="shared" si="27"/>
        <v>#DIV/0!</v>
      </c>
      <c r="X85" s="1695">
        <f>R85/$X$1*100/1000</f>
        <v>0.83909651992260204</v>
      </c>
    </row>
    <row r="86" spans="1:31">
      <c r="A86" s="1703" t="s">
        <v>435</v>
      </c>
      <c r="B86" s="1705"/>
      <c r="C86" s="1706" t="s">
        <v>2787</v>
      </c>
      <c r="D86" s="1732"/>
      <c r="E86" s="1699"/>
      <c r="F86" s="1699">
        <f>'Receitas (mensais)'!E107+'Receitas (mensais)'!E156+'Receitas (mensais)'!E293</f>
        <v>578775.67100000009</v>
      </c>
      <c r="G86" s="1699">
        <f>'Receitas (mensais)'!F107+'Receitas (mensais)'!F156+'Receitas (mensais)'!F293</f>
        <v>298772.94099999999</v>
      </c>
      <c r="H86" s="1699">
        <f>'Receitas (mensais)'!G107+'Receitas (mensais)'!G156+'Receitas (mensais)'!G293</f>
        <v>100326.673</v>
      </c>
      <c r="I86" s="1699">
        <f>'Receitas (mensais)'!H107+'Receitas (mensais)'!H156+'Receitas (mensais)'!H293</f>
        <v>249786.87</v>
      </c>
      <c r="J86" s="1699">
        <f>'Receitas (mensais)'!I107+'Receitas (mensais)'!I156+'Receitas (mensais)'!I293</f>
        <v>223228.28800000003</v>
      </c>
      <c r="K86" s="1699">
        <f>'Receitas (mensais)'!J107+'Receitas (mensais)'!J156+'Receitas (mensais)'!J293</f>
        <v>744371.52</v>
      </c>
      <c r="L86" s="1699">
        <f>'Receitas (mensais)'!K107+'Receitas (mensais)'!K156+'Receitas (mensais)'!K293</f>
        <v>873402.69300000009</v>
      </c>
      <c r="M86" s="1699">
        <f>'Receitas (mensais)'!L107+'Receitas (mensais)'!L156+'Receitas (mensais)'!L293</f>
        <v>372133.14300000004</v>
      </c>
      <c r="N86" s="1699">
        <f>'Receitas (mensais)'!M107+'Receitas (mensais)'!M156+'Receitas (mensais)'!M293</f>
        <v>326352.16200000001</v>
      </c>
      <c r="O86" s="1699">
        <f>'Receitas (mensais)'!N107+'Receitas (mensais)'!N156+'Receitas (mensais)'!N293</f>
        <v>106354.931</v>
      </c>
      <c r="P86" s="1699">
        <f>'Receitas (mensais)'!O107+'Receitas (mensais)'!O156+'Receitas (mensais)'!O293</f>
        <v>627786.37399999995</v>
      </c>
      <c r="Q86" s="1699">
        <f>'Receitas (mensais)'!P107+'Receitas (mensais)'!P156+'Receitas (mensais)'!P293</f>
        <v>1978699.3730000001</v>
      </c>
      <c r="R86" s="1692">
        <f>SUM(F86:Q86)</f>
        <v>6479990.6390000004</v>
      </c>
      <c r="S86" s="1702">
        <f t="shared" si="23"/>
        <v>977875.28500000003</v>
      </c>
      <c r="T86" s="1702">
        <f t="shared" si="24"/>
        <v>2195261.963</v>
      </c>
      <c r="U86" s="1702">
        <f t="shared" si="25"/>
        <v>3767149.9610000001</v>
      </c>
      <c r="V86" s="1702">
        <f t="shared" si="26"/>
        <v>6479990.6390000004</v>
      </c>
      <c r="W86" s="1694" t="e">
        <f t="shared" si="27"/>
        <v>#DIV/0!</v>
      </c>
      <c r="X86" s="1695">
        <f>R86/$X$1*100/1000</f>
        <v>0.79862835861915982</v>
      </c>
      <c r="AE86" s="1665"/>
    </row>
    <row r="87" spans="1:31">
      <c r="A87" s="1703" t="s">
        <v>437</v>
      </c>
      <c r="B87" s="1688"/>
      <c r="C87" s="1733" t="s">
        <v>3141</v>
      </c>
      <c r="D87" s="1732"/>
      <c r="E87" s="1699"/>
      <c r="F87" s="1690">
        <f t="shared" ref="F87:Q87" si="29">F85-F86</f>
        <v>35302.785000000149</v>
      </c>
      <c r="G87" s="1690">
        <f t="shared" si="29"/>
        <v>-9871.341999999946</v>
      </c>
      <c r="H87" s="1690">
        <f t="shared" si="29"/>
        <v>21296.042000000001</v>
      </c>
      <c r="I87" s="1690">
        <f t="shared" si="29"/>
        <v>-35116.112999999983</v>
      </c>
      <c r="J87" s="1690">
        <f t="shared" si="29"/>
        <v>209968.16899999997</v>
      </c>
      <c r="K87" s="1690">
        <f t="shared" si="29"/>
        <v>19892.440000000061</v>
      </c>
      <c r="L87" s="1690">
        <f t="shared" si="29"/>
        <v>23651.366999999969</v>
      </c>
      <c r="M87" s="1690">
        <f>M85-M86</f>
        <v>-18112.358999999997</v>
      </c>
      <c r="N87" s="1690">
        <f t="shared" si="29"/>
        <v>27981.506000000052</v>
      </c>
      <c r="O87" s="1690">
        <f t="shared" si="29"/>
        <v>41639.053999999989</v>
      </c>
      <c r="P87" s="1690">
        <f t="shared" si="29"/>
        <v>26176.44599999988</v>
      </c>
      <c r="Q87" s="1690">
        <f t="shared" si="29"/>
        <v>-14453.381000000052</v>
      </c>
      <c r="R87" s="1692">
        <f t="shared" si="3"/>
        <v>328354.61400000012</v>
      </c>
      <c r="S87" s="1702">
        <f t="shared" si="23"/>
        <v>46727.485000000204</v>
      </c>
      <c r="T87" s="1702">
        <f t="shared" si="24"/>
        <v>241471.98100000026</v>
      </c>
      <c r="U87" s="1702">
        <f t="shared" si="25"/>
        <v>274992.49500000029</v>
      </c>
      <c r="V87" s="1702">
        <f t="shared" si="26"/>
        <v>328354.61400000012</v>
      </c>
      <c r="W87" s="1694" t="e">
        <f t="shared" si="27"/>
        <v>#DIV/0!</v>
      </c>
      <c r="X87" s="1695">
        <f>R87/$X$1*100/1000</f>
        <v>4.046816130344226E-2</v>
      </c>
    </row>
    <row r="88" spans="1:31" s="1739" customFormat="1">
      <c r="A88" s="1734" t="s">
        <v>440</v>
      </c>
      <c r="B88" s="1735" t="s">
        <v>432</v>
      </c>
      <c r="C88" s="1735" t="s">
        <v>2788</v>
      </c>
      <c r="D88" s="1732"/>
      <c r="E88" s="1732"/>
      <c r="F88" s="1732">
        <f>SUM(F89:F95)</f>
        <v>133849.89499999999</v>
      </c>
      <c r="G88" s="1732">
        <f t="shared" ref="G88:Q88" si="30">SUM(G89:G95)</f>
        <v>270965.929</v>
      </c>
      <c r="H88" s="1732">
        <f t="shared" si="30"/>
        <v>120221.42700000001</v>
      </c>
      <c r="I88" s="1732">
        <f t="shared" si="30"/>
        <v>140832.15099999998</v>
      </c>
      <c r="J88" s="1732">
        <f t="shared" si="30"/>
        <v>115878.861</v>
      </c>
      <c r="K88" s="1732">
        <f t="shared" si="30"/>
        <v>166755.94799999997</v>
      </c>
      <c r="L88" s="1732">
        <f t="shared" si="30"/>
        <v>221472.44200000001</v>
      </c>
      <c r="M88" s="1732">
        <f t="shared" si="30"/>
        <v>142206.76500000001</v>
      </c>
      <c r="N88" s="1732">
        <f t="shared" si="30"/>
        <v>133562.93599999999</v>
      </c>
      <c r="O88" s="1732">
        <f t="shared" si="30"/>
        <v>7772202.0779999997</v>
      </c>
      <c r="P88" s="1732">
        <f t="shared" si="30"/>
        <v>1442256.4110000001</v>
      </c>
      <c r="Q88" s="1732">
        <f t="shared" si="30"/>
        <v>161256.266</v>
      </c>
      <c r="R88" s="1736">
        <f t="shared" si="3"/>
        <v>10821461.109000001</v>
      </c>
      <c r="S88" s="1737">
        <f t="shared" si="23"/>
        <v>525037.25100000005</v>
      </c>
      <c r="T88" s="1737">
        <f t="shared" si="24"/>
        <v>948504.21100000001</v>
      </c>
      <c r="U88" s="1737">
        <f t="shared" si="25"/>
        <v>1445746.3540000001</v>
      </c>
      <c r="V88" s="1737">
        <f t="shared" si="26"/>
        <v>10821461.109000001</v>
      </c>
      <c r="W88" s="1738" t="e">
        <f t="shared" si="27"/>
        <v>#DIV/0!</v>
      </c>
      <c r="X88" s="1695">
        <f>R88/$X$1*100/1000</f>
        <v>1.3336941679093903</v>
      </c>
      <c r="Z88" s="1740"/>
    </row>
    <row r="89" spans="1:31" s="1739" customFormat="1" hidden="1" outlineLevel="1">
      <c r="A89" s="1734"/>
      <c r="B89" s="1741" t="s">
        <v>3121</v>
      </c>
      <c r="C89" s="1742" t="str">
        <f>'Receitas (mensais)'!D202</f>
        <v>Soc. e quais-soc. nao financeiras</v>
      </c>
      <c r="D89" s="1732"/>
      <c r="E89" s="1732"/>
      <c r="F89" s="1732">
        <f>'Receitas (mensais)'!E202</f>
        <v>0</v>
      </c>
      <c r="G89" s="1732">
        <f>'Receitas (mensais)'!F202</f>
        <v>0</v>
      </c>
      <c r="H89" s="1732">
        <f>'Receitas (mensais)'!G202</f>
        <v>0</v>
      </c>
      <c r="I89" s="1732">
        <f>'Receitas (mensais)'!H202</f>
        <v>0</v>
      </c>
      <c r="J89" s="1732">
        <f>'Receitas (mensais)'!I202</f>
        <v>0</v>
      </c>
      <c r="K89" s="1732">
        <f>'Receitas (mensais)'!J202</f>
        <v>0</v>
      </c>
      <c r="L89" s="1732">
        <f>'Receitas (mensais)'!K202</f>
        <v>0</v>
      </c>
      <c r="M89" s="1732">
        <f>'Receitas (mensais)'!L202</f>
        <v>0</v>
      </c>
      <c r="N89" s="1732">
        <f>'Receitas (mensais)'!M202</f>
        <v>0</v>
      </c>
      <c r="O89" s="1732">
        <f>'Receitas (mensais)'!N202</f>
        <v>0</v>
      </c>
      <c r="P89" s="1732">
        <f>'Receitas (mensais)'!O202</f>
        <v>0</v>
      </c>
      <c r="Q89" s="1732">
        <f>'Receitas (mensais)'!P202</f>
        <v>0</v>
      </c>
      <c r="R89" s="1736">
        <f t="shared" si="3"/>
        <v>0</v>
      </c>
      <c r="S89" s="1737"/>
      <c r="T89" s="1737"/>
      <c r="U89" s="1737"/>
      <c r="V89" s="1737"/>
      <c r="W89" s="1738"/>
      <c r="X89" s="1695"/>
      <c r="Z89" s="1740"/>
    </row>
    <row r="90" spans="1:31" s="1739" customFormat="1" hidden="1" outlineLevel="1">
      <c r="A90" s="1734"/>
      <c r="B90" s="1741" t="s">
        <v>3122</v>
      </c>
      <c r="C90" s="1742" t="str">
        <f>'Receitas (mensais)'!D205</f>
        <v>Administraçoes publicas</v>
      </c>
      <c r="D90" s="1732"/>
      <c r="E90" s="1732"/>
      <c r="F90" s="1732">
        <f>'Receitas (mensais)'!E205</f>
        <v>133849.89499999999</v>
      </c>
      <c r="G90" s="1732">
        <f>'Receitas (mensais)'!F205</f>
        <v>270965.929</v>
      </c>
      <c r="H90" s="1732">
        <f>'Receitas (mensais)'!G205</f>
        <v>120221.42700000001</v>
      </c>
      <c r="I90" s="1732">
        <f>'Receitas (mensais)'!H205</f>
        <v>140832.15099999998</v>
      </c>
      <c r="J90" s="1732">
        <f>'Receitas (mensais)'!I205</f>
        <v>115878.861</v>
      </c>
      <c r="K90" s="1732">
        <f>'Receitas (mensais)'!J205</f>
        <v>166755.94799999997</v>
      </c>
      <c r="L90" s="1732">
        <f>'Receitas (mensais)'!K205</f>
        <v>221472.44200000001</v>
      </c>
      <c r="M90" s="1732">
        <f>'Receitas (mensais)'!L205</f>
        <v>142206.76500000001</v>
      </c>
      <c r="N90" s="1732">
        <f>'Receitas (mensais)'!M205</f>
        <v>133562.93599999999</v>
      </c>
      <c r="O90" s="1732">
        <f>'Receitas (mensais)'!N205</f>
        <v>163100.878</v>
      </c>
      <c r="P90" s="1732">
        <f>'Receitas (mensais)'!O205</f>
        <v>130342.41100000001</v>
      </c>
      <c r="Q90" s="1732">
        <f>'Receitas (mensais)'!P205</f>
        <v>161256.266</v>
      </c>
      <c r="R90" s="1736">
        <f t="shared" si="3"/>
        <v>1900445.9090000002</v>
      </c>
      <c r="S90" s="1737"/>
      <c r="T90" s="1737"/>
      <c r="U90" s="1737"/>
      <c r="V90" s="1737"/>
      <c r="W90" s="1738"/>
      <c r="X90" s="1695"/>
      <c r="Z90" s="1740"/>
    </row>
    <row r="91" spans="1:31" s="1739" customFormat="1" hidden="1" outlineLevel="1">
      <c r="A91" s="1734"/>
      <c r="B91" s="1741" t="s">
        <v>3123</v>
      </c>
      <c r="C91" s="1742" t="str">
        <f>'Receitas (mensais)'!D220</f>
        <v>Administraçoes privadas</v>
      </c>
      <c r="D91" s="1732"/>
      <c r="E91" s="1732"/>
      <c r="F91" s="1732">
        <f>'Receitas (mensais)'!E220</f>
        <v>0</v>
      </c>
      <c r="G91" s="1732">
        <f>'Receitas (mensais)'!F220</f>
        <v>0</v>
      </c>
      <c r="H91" s="1732">
        <f>'Receitas (mensais)'!G220</f>
        <v>0</v>
      </c>
      <c r="I91" s="1732">
        <f>'Receitas (mensais)'!H220</f>
        <v>0</v>
      </c>
      <c r="J91" s="1732">
        <f>'Receitas (mensais)'!I220</f>
        <v>0</v>
      </c>
      <c r="K91" s="1732">
        <f>'Receitas (mensais)'!J220</f>
        <v>0</v>
      </c>
      <c r="L91" s="1732">
        <f>'Receitas (mensais)'!K220</f>
        <v>0</v>
      </c>
      <c r="M91" s="1732">
        <f>'Receitas (mensais)'!L220</f>
        <v>0</v>
      </c>
      <c r="N91" s="1732">
        <f>'Receitas (mensais)'!M220</f>
        <v>0</v>
      </c>
      <c r="O91" s="1732">
        <f>'Receitas (mensais)'!N220</f>
        <v>0</v>
      </c>
      <c r="P91" s="1732">
        <f>'Receitas (mensais)'!O220</f>
        <v>0</v>
      </c>
      <c r="Q91" s="1732">
        <f>'Receitas (mensais)'!P220</f>
        <v>0</v>
      </c>
      <c r="R91" s="1736">
        <f t="shared" si="3"/>
        <v>0</v>
      </c>
      <c r="S91" s="1737"/>
      <c r="T91" s="1737"/>
      <c r="U91" s="1737"/>
      <c r="V91" s="1737"/>
      <c r="W91" s="1738"/>
      <c r="X91" s="1695"/>
      <c r="Z91" s="1740"/>
    </row>
    <row r="92" spans="1:31" s="1739" customFormat="1" hidden="1" outlineLevel="1">
      <c r="A92" s="1734"/>
      <c r="B92" s="1741" t="s">
        <v>3124</v>
      </c>
      <c r="C92" s="1742" t="str">
        <f>'Receitas (mensais)'!D223</f>
        <v>Instituiçoes de credito</v>
      </c>
      <c r="D92" s="1732"/>
      <c r="E92" s="1732"/>
      <c r="F92" s="1732">
        <f>'Receitas (mensais)'!E223</f>
        <v>0</v>
      </c>
      <c r="G92" s="1732">
        <f>'Receitas (mensais)'!F223</f>
        <v>0</v>
      </c>
      <c r="H92" s="1732">
        <f>'Receitas (mensais)'!G223</f>
        <v>0</v>
      </c>
      <c r="I92" s="1732">
        <f>'Receitas (mensais)'!H223</f>
        <v>0</v>
      </c>
      <c r="J92" s="1732">
        <f>'Receitas (mensais)'!I223</f>
        <v>0</v>
      </c>
      <c r="K92" s="1732">
        <f>'Receitas (mensais)'!J223</f>
        <v>0</v>
      </c>
      <c r="L92" s="1732">
        <f>'Receitas (mensais)'!K223</f>
        <v>0</v>
      </c>
      <c r="M92" s="1732">
        <f>'Receitas (mensais)'!L223</f>
        <v>0</v>
      </c>
      <c r="N92" s="1732">
        <f>'Receitas (mensais)'!M223</f>
        <v>0</v>
      </c>
      <c r="O92" s="1732">
        <f>'Receitas (mensais)'!N223</f>
        <v>0</v>
      </c>
      <c r="P92" s="1732">
        <f>'Receitas (mensais)'!O223</f>
        <v>0</v>
      </c>
      <c r="Q92" s="1732">
        <f>'Receitas (mensais)'!P223</f>
        <v>0</v>
      </c>
      <c r="R92" s="1736">
        <f t="shared" si="3"/>
        <v>0</v>
      </c>
      <c r="S92" s="1737"/>
      <c r="T92" s="1737"/>
      <c r="U92" s="1737"/>
      <c r="V92" s="1737"/>
      <c r="W92" s="1738"/>
      <c r="X92" s="1695"/>
      <c r="Z92" s="1740"/>
    </row>
    <row r="93" spans="1:31" s="1739" customFormat="1" hidden="1" outlineLevel="1">
      <c r="A93" s="1734"/>
      <c r="B93" s="1741" t="s">
        <v>3125</v>
      </c>
      <c r="C93" s="1742" t="str">
        <f>'Receitas (mensais)'!D227</f>
        <v>Empresas de seguros</v>
      </c>
      <c r="D93" s="1732"/>
      <c r="E93" s="1732"/>
      <c r="F93" s="1732">
        <f>'Receitas (mensais)'!E227</f>
        <v>0</v>
      </c>
      <c r="G93" s="1732">
        <f>'Receitas (mensais)'!F227</f>
        <v>0</v>
      </c>
      <c r="H93" s="1732">
        <f>'Receitas (mensais)'!G227</f>
        <v>0</v>
      </c>
      <c r="I93" s="1732">
        <f>'Receitas (mensais)'!H227</f>
        <v>0</v>
      </c>
      <c r="J93" s="1732">
        <f>'Receitas (mensais)'!I227</f>
        <v>0</v>
      </c>
      <c r="K93" s="1732">
        <f>'Receitas (mensais)'!J227</f>
        <v>0</v>
      </c>
      <c r="L93" s="1732">
        <f>'Receitas (mensais)'!K227</f>
        <v>0</v>
      </c>
      <c r="M93" s="1732">
        <f>'Receitas (mensais)'!L227</f>
        <v>0</v>
      </c>
      <c r="N93" s="1732">
        <f>'Receitas (mensais)'!M227</f>
        <v>0</v>
      </c>
      <c r="O93" s="1732">
        <f>'Receitas (mensais)'!N227</f>
        <v>0</v>
      </c>
      <c r="P93" s="1732">
        <f>'Receitas (mensais)'!O227</f>
        <v>0</v>
      </c>
      <c r="Q93" s="1732">
        <f>'Receitas (mensais)'!P227</f>
        <v>0</v>
      </c>
      <c r="R93" s="1736">
        <f t="shared" si="3"/>
        <v>0</v>
      </c>
      <c r="S93" s="1737"/>
      <c r="T93" s="1737"/>
      <c r="U93" s="1737"/>
      <c r="V93" s="1737"/>
      <c r="W93" s="1738"/>
      <c r="X93" s="1695"/>
      <c r="Z93" s="1740"/>
    </row>
    <row r="94" spans="1:31" s="1739" customFormat="1" hidden="1" outlineLevel="1">
      <c r="A94" s="1734"/>
      <c r="B94" s="1741" t="s">
        <v>3126</v>
      </c>
      <c r="C94" s="1742" t="str">
        <f>'Receitas (mensais)'!D230</f>
        <v>Familias</v>
      </c>
      <c r="D94" s="1732"/>
      <c r="E94" s="1732"/>
      <c r="F94" s="1732">
        <f>'Receitas (mensais)'!E230</f>
        <v>0</v>
      </c>
      <c r="G94" s="1732">
        <f>'Receitas (mensais)'!F230</f>
        <v>0</v>
      </c>
      <c r="H94" s="1732">
        <f>'Receitas (mensais)'!G230</f>
        <v>0</v>
      </c>
      <c r="I94" s="1732">
        <f>'Receitas (mensais)'!H230</f>
        <v>0</v>
      </c>
      <c r="J94" s="1732">
        <f>'Receitas (mensais)'!I230</f>
        <v>0</v>
      </c>
      <c r="K94" s="1732">
        <f>'Receitas (mensais)'!J230</f>
        <v>0</v>
      </c>
      <c r="L94" s="1732">
        <f>'Receitas (mensais)'!K230</f>
        <v>0</v>
      </c>
      <c r="M94" s="1732">
        <f>'Receitas (mensais)'!L230</f>
        <v>0</v>
      </c>
      <c r="N94" s="1732">
        <f>'Receitas (mensais)'!M230</f>
        <v>0</v>
      </c>
      <c r="O94" s="1732">
        <f>'Receitas (mensais)'!N230</f>
        <v>0</v>
      </c>
      <c r="P94" s="1732">
        <f>'Receitas (mensais)'!O230</f>
        <v>0</v>
      </c>
      <c r="Q94" s="1732">
        <f>'Receitas (mensais)'!P230</f>
        <v>0</v>
      </c>
      <c r="R94" s="1736">
        <f t="shared" si="3"/>
        <v>0</v>
      </c>
      <c r="S94" s="1737"/>
      <c r="T94" s="1737"/>
      <c r="U94" s="1737"/>
      <c r="V94" s="1737"/>
      <c r="W94" s="1738"/>
      <c r="X94" s="1695"/>
      <c r="Z94" s="1740"/>
    </row>
    <row r="95" spans="1:31" s="1739" customFormat="1" hidden="1" outlineLevel="1">
      <c r="A95" s="1734"/>
      <c r="B95" s="1741" t="s">
        <v>3127</v>
      </c>
      <c r="C95" s="1742" t="str">
        <f>'Receitas (mensais)'!D233</f>
        <v>Exterior</v>
      </c>
      <c r="D95" s="1732"/>
      <c r="E95" s="1732"/>
      <c r="F95" s="1732">
        <f>'Receitas (mensais)'!E233</f>
        <v>0</v>
      </c>
      <c r="G95" s="1732">
        <f>'Receitas (mensais)'!F233</f>
        <v>0</v>
      </c>
      <c r="H95" s="1732">
        <f>'Receitas (mensais)'!G233</f>
        <v>0</v>
      </c>
      <c r="I95" s="1732">
        <f>'Receitas (mensais)'!H233</f>
        <v>0</v>
      </c>
      <c r="J95" s="1732">
        <f>'Receitas (mensais)'!I233</f>
        <v>0</v>
      </c>
      <c r="K95" s="1732">
        <f>'Receitas (mensais)'!J233</f>
        <v>0</v>
      </c>
      <c r="L95" s="1732">
        <f>'Receitas (mensais)'!K233</f>
        <v>0</v>
      </c>
      <c r="M95" s="1732">
        <f>'Receitas (mensais)'!L233</f>
        <v>0</v>
      </c>
      <c r="N95" s="1732">
        <f>'Receitas (mensais)'!M233</f>
        <v>0</v>
      </c>
      <c r="O95" s="1732">
        <f>'Receitas (mensais)'!N233</f>
        <v>7609101.2000000002</v>
      </c>
      <c r="P95" s="1732">
        <f>'Receitas (mensais)'!O233</f>
        <v>1311914</v>
      </c>
      <c r="Q95" s="1732">
        <f>'Receitas (mensais)'!P233</f>
        <v>0</v>
      </c>
      <c r="R95" s="1736">
        <f t="shared" si="3"/>
        <v>8921015.1999999993</v>
      </c>
      <c r="S95" s="1737"/>
      <c r="T95" s="1737"/>
      <c r="U95" s="1737"/>
      <c r="V95" s="1737"/>
      <c r="W95" s="1738"/>
      <c r="X95" s="1695"/>
      <c r="Z95" s="1740"/>
    </row>
    <row r="96" spans="1:31" collapsed="1">
      <c r="A96" s="1703" t="s">
        <v>435</v>
      </c>
      <c r="B96" s="1707" t="s">
        <v>3128</v>
      </c>
      <c r="C96" s="1705" t="s">
        <v>2787</v>
      </c>
      <c r="D96" s="1732"/>
      <c r="E96" s="1699"/>
      <c r="F96" s="1699">
        <f>SUM(F97:F98)</f>
        <v>0</v>
      </c>
      <c r="G96" s="1699">
        <f t="shared" ref="G96:Q96" si="31">SUM(G97:G98)</f>
        <v>0</v>
      </c>
      <c r="H96" s="1699">
        <f t="shared" si="31"/>
        <v>0</v>
      </c>
      <c r="I96" s="1699">
        <f t="shared" si="31"/>
        <v>0</v>
      </c>
      <c r="J96" s="1699">
        <f t="shared" si="31"/>
        <v>0</v>
      </c>
      <c r="K96" s="1699">
        <f t="shared" si="31"/>
        <v>0</v>
      </c>
      <c r="L96" s="1699">
        <f t="shared" si="31"/>
        <v>0</v>
      </c>
      <c r="M96" s="1699">
        <f t="shared" si="31"/>
        <v>0</v>
      </c>
      <c r="N96" s="1699">
        <f t="shared" si="31"/>
        <v>0</v>
      </c>
      <c r="O96" s="1699">
        <f t="shared" si="31"/>
        <v>7609101.2000000002</v>
      </c>
      <c r="P96" s="1699">
        <f>SUM(P97:P98)</f>
        <v>1311914</v>
      </c>
      <c r="Q96" s="1699">
        <f t="shared" si="31"/>
        <v>0</v>
      </c>
      <c r="R96" s="1692">
        <f t="shared" si="3"/>
        <v>8921015.1999999993</v>
      </c>
      <c r="S96" s="1702">
        <f>SUM(F96:H96)</f>
        <v>0</v>
      </c>
      <c r="T96" s="1702">
        <f>SUM(F96:K96)</f>
        <v>0</v>
      </c>
      <c r="U96" s="1702">
        <f>SUM(F96:N96)</f>
        <v>0</v>
      </c>
      <c r="V96" s="1702">
        <f>R96</f>
        <v>8921015.1999999993</v>
      </c>
      <c r="W96" s="1694" t="e">
        <f>R96/E96*100</f>
        <v>#DIV/0!</v>
      </c>
      <c r="X96" s="1695"/>
    </row>
    <row r="97" spans="1:24" s="1730" customFormat="1" hidden="1" outlineLevel="1">
      <c r="A97" s="1723"/>
      <c r="B97" s="1707" t="s">
        <v>3129</v>
      </c>
      <c r="C97" s="1724" t="str">
        <f>'Receitas (mensais)'!D237</f>
        <v>-       Compensaçao financeira</v>
      </c>
      <c r="D97" s="1743"/>
      <c r="E97" s="1725"/>
      <c r="F97" s="1725">
        <f>'Receitas (mensais)'!E237</f>
        <v>0</v>
      </c>
      <c r="G97" s="1725">
        <f>'Receitas (mensais)'!F237</f>
        <v>0</v>
      </c>
      <c r="H97" s="1725">
        <f>'Receitas (mensais)'!G237</f>
        <v>0</v>
      </c>
      <c r="I97" s="1725">
        <f>'Receitas (mensais)'!H237</f>
        <v>0</v>
      </c>
      <c r="J97" s="1725">
        <f>'Receitas (mensais)'!I237</f>
        <v>0</v>
      </c>
      <c r="K97" s="1725">
        <f>'Receitas (mensais)'!J237</f>
        <v>0</v>
      </c>
      <c r="L97" s="1725">
        <f>'Receitas (mensais)'!K237</f>
        <v>0</v>
      </c>
      <c r="M97" s="1725">
        <f>'Receitas (mensais)'!L237</f>
        <v>0</v>
      </c>
      <c r="N97" s="1725">
        <f>'Receitas (mensais)'!M237</f>
        <v>0</v>
      </c>
      <c r="O97" s="1725">
        <f>'Receitas (mensais)'!N237</f>
        <v>7609101.2000000002</v>
      </c>
      <c r="P97" s="1725">
        <f>'Receitas (mensais)'!O237</f>
        <v>1311914</v>
      </c>
      <c r="Q97" s="1725">
        <f>'Receitas (mensais)'!P237</f>
        <v>0</v>
      </c>
      <c r="R97" s="1727"/>
      <c r="S97" s="1725"/>
      <c r="T97" s="1725"/>
      <c r="U97" s="1725"/>
      <c r="V97" s="1725"/>
      <c r="W97" s="1728"/>
      <c r="X97" s="1729"/>
    </row>
    <row r="98" spans="1:24" s="1730" customFormat="1" hidden="1" outlineLevel="1">
      <c r="A98" s="1723"/>
      <c r="B98" s="1707" t="s">
        <v>3130</v>
      </c>
      <c r="C98" s="1724" t="str">
        <f>'Receitas (mensais)'!D238</f>
        <v>-       Outra (Prog. cientifico)ou Apoio Sectorial/CNF</v>
      </c>
      <c r="D98" s="1743"/>
      <c r="E98" s="1725"/>
      <c r="F98" s="1725">
        <f>'Receitas (mensais)'!E238</f>
        <v>0</v>
      </c>
      <c r="G98" s="1725">
        <f>'Receitas (mensais)'!F238</f>
        <v>0</v>
      </c>
      <c r="H98" s="1725">
        <f>'Receitas (mensais)'!G238</f>
        <v>0</v>
      </c>
      <c r="I98" s="1725">
        <f>'Receitas (mensais)'!H238</f>
        <v>0</v>
      </c>
      <c r="J98" s="1725">
        <f>'Receitas (mensais)'!I238</f>
        <v>0</v>
      </c>
      <c r="K98" s="1725">
        <f>'Receitas (mensais)'!J238</f>
        <v>0</v>
      </c>
      <c r="L98" s="1725">
        <f>'Receitas (mensais)'!K238</f>
        <v>0</v>
      </c>
      <c r="M98" s="1725">
        <f>'Receitas (mensais)'!L238</f>
        <v>0</v>
      </c>
      <c r="N98" s="1725">
        <f>'Receitas (mensais)'!M238</f>
        <v>0</v>
      </c>
      <c r="O98" s="1725">
        <f>'Receitas (mensais)'!N238</f>
        <v>0</v>
      </c>
      <c r="P98" s="1725">
        <f>'Receitas (mensais)'!O238</f>
        <v>0</v>
      </c>
      <c r="Q98" s="1725">
        <f>'Receitas (mensais)'!P238</f>
        <v>0</v>
      </c>
      <c r="R98" s="1727"/>
      <c r="S98" s="1725"/>
      <c r="T98" s="1725"/>
      <c r="U98" s="1725"/>
      <c r="V98" s="1725"/>
      <c r="W98" s="1728"/>
      <c r="X98" s="1729"/>
    </row>
    <row r="99" spans="1:24" collapsed="1">
      <c r="A99" s="1703" t="s">
        <v>443</v>
      </c>
      <c r="B99" s="1705" t="s">
        <v>439</v>
      </c>
      <c r="C99" s="1705" t="s">
        <v>2789</v>
      </c>
      <c r="D99" s="1732"/>
      <c r="E99" s="1699"/>
      <c r="F99" s="1699">
        <f>F100+F105</f>
        <v>139456.443</v>
      </c>
      <c r="G99" s="1699">
        <f t="shared" ref="G99:Q99" si="32">G100+G105</f>
        <v>203825.76100000003</v>
      </c>
      <c r="H99" s="1699">
        <f t="shared" si="32"/>
        <v>188232.32800000001</v>
      </c>
      <c r="I99" s="1699">
        <f t="shared" si="32"/>
        <v>184663.11499999999</v>
      </c>
      <c r="J99" s="1699">
        <f t="shared" si="32"/>
        <v>355859.13</v>
      </c>
      <c r="K99" s="1699">
        <f t="shared" si="32"/>
        <v>609639.04</v>
      </c>
      <c r="L99" s="1699">
        <f t="shared" si="32"/>
        <v>496498.39899999998</v>
      </c>
      <c r="M99" s="1699">
        <f t="shared" si="32"/>
        <v>327981.26300000004</v>
      </c>
      <c r="N99" s="1699">
        <f t="shared" si="32"/>
        <v>224603.21600000001</v>
      </c>
      <c r="O99" s="1699">
        <f t="shared" si="32"/>
        <v>173659.01700000002</v>
      </c>
      <c r="P99" s="1699">
        <f t="shared" si="32"/>
        <v>109055.25199999999</v>
      </c>
      <c r="Q99" s="1699">
        <f t="shared" si="32"/>
        <v>191007.60499999998</v>
      </c>
      <c r="R99" s="1692">
        <f t="shared" si="3"/>
        <v>3204480.5690000001</v>
      </c>
      <c r="S99" s="1702">
        <f>SUM(F99:H99)</f>
        <v>531514.53200000001</v>
      </c>
      <c r="T99" s="1702">
        <f>SUM(F99:K99)</f>
        <v>1681675.817</v>
      </c>
      <c r="U99" s="1702">
        <f>SUM(F99:N99)</f>
        <v>2730758.6950000003</v>
      </c>
      <c r="V99" s="1702">
        <f>R99</f>
        <v>3204480.5690000001</v>
      </c>
      <c r="W99" s="1694" t="e">
        <f>R99/E99*100</f>
        <v>#DIV/0!</v>
      </c>
      <c r="X99" s="1695">
        <f>R99/$X$1*100/1000</f>
        <v>0.39493715340341884</v>
      </c>
    </row>
    <row r="100" spans="1:24" hidden="1" outlineLevel="1" collapsed="1">
      <c r="A100" s="1703"/>
      <c r="B100" s="1705" t="s">
        <v>3131</v>
      </c>
      <c r="C100" s="1707" t="str">
        <f>LOWER('Receitas (mensais)'!D241)</f>
        <v xml:space="preserve">venda de bens e servicos </v>
      </c>
      <c r="D100" s="1699"/>
      <c r="E100" s="1699"/>
      <c r="F100" s="1699">
        <f>SUM(F101:F104)</f>
        <v>139456.443</v>
      </c>
      <c r="G100" s="1699">
        <f t="shared" ref="G100:Q100" si="33">SUM(G101:G104)</f>
        <v>203825.76100000003</v>
      </c>
      <c r="H100" s="1699">
        <f t="shared" si="33"/>
        <v>188232.32800000001</v>
      </c>
      <c r="I100" s="1699">
        <f t="shared" si="33"/>
        <v>184663.11499999999</v>
      </c>
      <c r="J100" s="1699">
        <f t="shared" si="33"/>
        <v>355859.13</v>
      </c>
      <c r="K100" s="1699">
        <f t="shared" si="33"/>
        <v>603162.54</v>
      </c>
      <c r="L100" s="1699">
        <f t="shared" si="33"/>
        <v>496498.39899999998</v>
      </c>
      <c r="M100" s="1699">
        <f t="shared" si="33"/>
        <v>327981.26300000004</v>
      </c>
      <c r="N100" s="1699">
        <f t="shared" si="33"/>
        <v>224603.21600000001</v>
      </c>
      <c r="O100" s="1699">
        <f t="shared" si="33"/>
        <v>173659.01700000002</v>
      </c>
      <c r="P100" s="1699">
        <f t="shared" si="33"/>
        <v>109055.25199999999</v>
      </c>
      <c r="Q100" s="1699">
        <f t="shared" si="33"/>
        <v>191007.60499999998</v>
      </c>
      <c r="R100" s="1692">
        <f t="shared" si="3"/>
        <v>3198004.0690000001</v>
      </c>
      <c r="S100" s="1702"/>
      <c r="T100" s="1702"/>
      <c r="U100" s="1702"/>
      <c r="V100" s="1702"/>
      <c r="W100" s="1694"/>
      <c r="X100" s="1695"/>
    </row>
    <row r="101" spans="1:24" s="1730" customFormat="1" hidden="1" outlineLevel="1" collapsed="1">
      <c r="A101" s="1723"/>
      <c r="B101" s="1719" t="s">
        <v>3133</v>
      </c>
      <c r="C101" s="1724" t="str">
        <f>'Receitas (mensais)'!D243</f>
        <v>Venda de bens duradouros</v>
      </c>
      <c r="D101" s="1725"/>
      <c r="E101" s="1725"/>
      <c r="F101" s="1725">
        <f>'Receitas (mensais)'!E243</f>
        <v>0</v>
      </c>
      <c r="G101" s="1725">
        <f>'Receitas (mensais)'!F243</f>
        <v>0</v>
      </c>
      <c r="H101" s="1725">
        <f>'Receitas (mensais)'!G243</f>
        <v>0</v>
      </c>
      <c r="I101" s="1725">
        <f>'Receitas (mensais)'!H243</f>
        <v>0</v>
      </c>
      <c r="J101" s="1725">
        <f>'Receitas (mensais)'!I243</f>
        <v>0</v>
      </c>
      <c r="K101" s="1725">
        <f>'Receitas (mensais)'!J243</f>
        <v>0</v>
      </c>
      <c r="L101" s="1725">
        <f>'Receitas (mensais)'!K243</f>
        <v>0</v>
      </c>
      <c r="M101" s="1725">
        <f>'Receitas (mensais)'!L243</f>
        <v>0</v>
      </c>
      <c r="N101" s="1725">
        <f>'Receitas (mensais)'!M243</f>
        <v>0</v>
      </c>
      <c r="O101" s="1725">
        <f>'Receitas (mensais)'!N243</f>
        <v>0</v>
      </c>
      <c r="P101" s="1725">
        <f>'Receitas (mensais)'!O243</f>
        <v>0</v>
      </c>
      <c r="Q101" s="1725">
        <f>'Receitas (mensais)'!P243</f>
        <v>0</v>
      </c>
      <c r="R101" s="1727">
        <f t="shared" si="3"/>
        <v>0</v>
      </c>
      <c r="S101" s="1725"/>
      <c r="T101" s="1725"/>
      <c r="U101" s="1725"/>
      <c r="V101" s="1725"/>
      <c r="W101" s="1728"/>
      <c r="X101" s="1729"/>
    </row>
    <row r="102" spans="1:24" s="1730" customFormat="1" hidden="1" outlineLevel="1" collapsed="1">
      <c r="A102" s="1723"/>
      <c r="B102" s="1719" t="s">
        <v>3134</v>
      </c>
      <c r="C102" s="1724" t="str">
        <f>'Receitas (mensais)'!D247</f>
        <v>Venda de bens nao duradouros</v>
      </c>
      <c r="D102" s="1725"/>
      <c r="E102" s="1725"/>
      <c r="F102" s="1725">
        <f>'Receitas (mensais)'!E247</f>
        <v>0</v>
      </c>
      <c r="G102" s="1725">
        <f>'Receitas (mensais)'!F247</f>
        <v>0</v>
      </c>
      <c r="H102" s="1725">
        <f>'Receitas (mensais)'!G247</f>
        <v>3</v>
      </c>
      <c r="I102" s="1725">
        <f>'Receitas (mensais)'!H247</f>
        <v>1</v>
      </c>
      <c r="J102" s="1725">
        <f>'Receitas (mensais)'!I247</f>
        <v>5.5</v>
      </c>
      <c r="K102" s="1725">
        <f>'Receitas (mensais)'!J247</f>
        <v>113.5</v>
      </c>
      <c r="L102" s="1725">
        <f>'Receitas (mensais)'!K247</f>
        <v>0</v>
      </c>
      <c r="M102" s="1725">
        <f>'Receitas (mensais)'!L247</f>
        <v>0</v>
      </c>
      <c r="N102" s="1725">
        <f>'Receitas (mensais)'!M247</f>
        <v>0</v>
      </c>
      <c r="O102" s="1725">
        <f>'Receitas (mensais)'!N247</f>
        <v>0</v>
      </c>
      <c r="P102" s="1725">
        <f>'Receitas (mensais)'!O247</f>
        <v>0</v>
      </c>
      <c r="Q102" s="1725">
        <f>'Receitas (mensais)'!P247</f>
        <v>0</v>
      </c>
      <c r="R102" s="1727">
        <f t="shared" si="3"/>
        <v>123</v>
      </c>
      <c r="S102" s="1725"/>
      <c r="T102" s="1725"/>
      <c r="U102" s="1725"/>
      <c r="V102" s="1725"/>
      <c r="W102" s="1728"/>
      <c r="X102" s="1729"/>
    </row>
    <row r="103" spans="1:24" s="1730" customFormat="1" hidden="1" outlineLevel="1">
      <c r="A103" s="1723"/>
      <c r="B103" s="1719" t="s">
        <v>3135</v>
      </c>
      <c r="C103" s="1724" t="str">
        <f>'Receitas (mensais)'!D263</f>
        <v>Serviços</v>
      </c>
      <c r="D103" s="1725"/>
      <c r="E103" s="1725"/>
      <c r="F103" s="1725">
        <f>'Receitas (mensais)'!E263</f>
        <v>139456.443</v>
      </c>
      <c r="G103" s="1725">
        <f>'Receitas (mensais)'!F263</f>
        <v>160646.41100000002</v>
      </c>
      <c r="H103" s="1725">
        <f>'Receitas (mensais)'!G263</f>
        <v>188229.32800000001</v>
      </c>
      <c r="I103" s="1725">
        <f>'Receitas (mensais)'!H263</f>
        <v>120259.965</v>
      </c>
      <c r="J103" s="1725">
        <f>'Receitas (mensais)'!I263</f>
        <v>340851.03</v>
      </c>
      <c r="K103" s="1725">
        <f>'Receitas (mensais)'!J263</f>
        <v>603049.04</v>
      </c>
      <c r="L103" s="1725">
        <f>'Receitas (mensais)'!K263</f>
        <v>496498.39899999998</v>
      </c>
      <c r="M103" s="1725">
        <f>'Receitas (mensais)'!L263</f>
        <v>288771.31300000002</v>
      </c>
      <c r="N103" s="1725">
        <f>'Receitas (mensais)'!M263</f>
        <v>224603.21600000001</v>
      </c>
      <c r="O103" s="1725">
        <f>'Receitas (mensais)'!N263</f>
        <v>173659.01700000002</v>
      </c>
      <c r="P103" s="1725">
        <f>'Receitas (mensais)'!O263</f>
        <v>109055.25199999999</v>
      </c>
      <c r="Q103" s="1725">
        <f>'Receitas (mensais)'!P263</f>
        <v>152358.10499999998</v>
      </c>
      <c r="R103" s="1727">
        <f t="shared" si="3"/>
        <v>2997437.5189999999</v>
      </c>
      <c r="S103" s="1725"/>
      <c r="T103" s="1725"/>
      <c r="U103" s="1725"/>
      <c r="V103" s="1725"/>
      <c r="W103" s="1728"/>
      <c r="X103" s="1729"/>
    </row>
    <row r="104" spans="1:24" s="1730" customFormat="1" hidden="1" outlineLevel="1">
      <c r="A104" s="1723"/>
      <c r="B104" s="1719" t="s">
        <v>3136</v>
      </c>
      <c r="C104" s="1724" t="str">
        <f>'Receitas (mensais)'!D292</f>
        <v>Venda do pescado</v>
      </c>
      <c r="D104" s="1725"/>
      <c r="E104" s="1725"/>
      <c r="F104" s="1725">
        <f>'Receitas (mensais)'!E292</f>
        <v>0</v>
      </c>
      <c r="G104" s="1725">
        <f>'Receitas (mensais)'!F292</f>
        <v>43179.35</v>
      </c>
      <c r="H104" s="1725">
        <f>'Receitas (mensais)'!G292</f>
        <v>0</v>
      </c>
      <c r="I104" s="1725">
        <f>'Receitas (mensais)'!H292</f>
        <v>64402.15</v>
      </c>
      <c r="J104" s="1725">
        <f>'Receitas (mensais)'!I292</f>
        <v>15002.6</v>
      </c>
      <c r="K104" s="1725">
        <f>'Receitas (mensais)'!J292</f>
        <v>0</v>
      </c>
      <c r="L104" s="1725">
        <f>'Receitas (mensais)'!K292</f>
        <v>0</v>
      </c>
      <c r="M104" s="1725">
        <f>'Receitas (mensais)'!L292</f>
        <v>39209.949999999997</v>
      </c>
      <c r="N104" s="1725">
        <f>'Receitas (mensais)'!M292</f>
        <v>0</v>
      </c>
      <c r="O104" s="1725">
        <f>'Receitas (mensais)'!N292</f>
        <v>0</v>
      </c>
      <c r="P104" s="1725">
        <f>'Receitas (mensais)'!O292</f>
        <v>0</v>
      </c>
      <c r="Q104" s="1725">
        <f>'Receitas (mensais)'!P292</f>
        <v>38649.5</v>
      </c>
      <c r="R104" s="1727">
        <f t="shared" si="3"/>
        <v>200443.55</v>
      </c>
      <c r="S104" s="1725"/>
      <c r="T104" s="1725"/>
      <c r="U104" s="1725"/>
      <c r="V104" s="1725"/>
      <c r="W104" s="1728"/>
      <c r="X104" s="1729"/>
    </row>
    <row r="105" spans="1:24" hidden="1" outlineLevel="1">
      <c r="A105" s="1703"/>
      <c r="B105" s="1705" t="s">
        <v>3132</v>
      </c>
      <c r="C105" s="1719" t="str">
        <f>LOWER('Receitas (mensais)'!D296)</f>
        <v>venda de bens de investimento</v>
      </c>
      <c r="D105" s="1699"/>
      <c r="E105" s="1699"/>
      <c r="F105" s="1699">
        <f>SUM(F106:F109)</f>
        <v>0</v>
      </c>
      <c r="G105" s="1699">
        <f t="shared" ref="G105:Q105" si="34">SUM(G106:G109)</f>
        <v>0</v>
      </c>
      <c r="H105" s="1699">
        <f t="shared" si="34"/>
        <v>0</v>
      </c>
      <c r="I105" s="1699">
        <f t="shared" si="34"/>
        <v>0</v>
      </c>
      <c r="J105" s="1699">
        <f t="shared" si="34"/>
        <v>0</v>
      </c>
      <c r="K105" s="1699">
        <f t="shared" si="34"/>
        <v>6476.5</v>
      </c>
      <c r="L105" s="1699">
        <f t="shared" si="34"/>
        <v>0</v>
      </c>
      <c r="M105" s="1699">
        <f t="shared" si="34"/>
        <v>0</v>
      </c>
      <c r="N105" s="1699">
        <f t="shared" si="34"/>
        <v>0</v>
      </c>
      <c r="O105" s="1699">
        <f t="shared" si="34"/>
        <v>0</v>
      </c>
      <c r="P105" s="1699">
        <f t="shared" si="34"/>
        <v>0</v>
      </c>
      <c r="Q105" s="1699">
        <f t="shared" si="34"/>
        <v>0</v>
      </c>
      <c r="R105" s="1692">
        <f t="shared" si="3"/>
        <v>6476.5</v>
      </c>
      <c r="S105" s="1702"/>
      <c r="T105" s="1702"/>
      <c r="U105" s="1702"/>
      <c r="V105" s="1702"/>
      <c r="W105" s="1694"/>
      <c r="X105" s="1695"/>
    </row>
    <row r="106" spans="1:24" s="1730" customFormat="1" hidden="1" outlineLevel="1" collapsed="1">
      <c r="A106" s="1723"/>
      <c r="B106" s="1719" t="s">
        <v>3137</v>
      </c>
      <c r="C106" s="1724" t="str">
        <f>'Receitas (mensais)'!D298</f>
        <v>Terrenos e edificios</v>
      </c>
      <c r="D106" s="1725"/>
      <c r="E106" s="1725"/>
      <c r="F106" s="1725">
        <f>'Receitas (mensais)'!E298</f>
        <v>0</v>
      </c>
      <c r="G106" s="1725">
        <f>'Receitas (mensais)'!F298</f>
        <v>0</v>
      </c>
      <c r="H106" s="1725">
        <f>'Receitas (mensais)'!G298</f>
        <v>0</v>
      </c>
      <c r="I106" s="1725">
        <f>'Receitas (mensais)'!H298</f>
        <v>0</v>
      </c>
      <c r="J106" s="1725">
        <f>'Receitas (mensais)'!I298</f>
        <v>0</v>
      </c>
      <c r="K106" s="1725">
        <f>'Receitas (mensais)'!J298</f>
        <v>0</v>
      </c>
      <c r="L106" s="1725">
        <f>'Receitas (mensais)'!K298</f>
        <v>0</v>
      </c>
      <c r="M106" s="1725">
        <f>'Receitas (mensais)'!L298</f>
        <v>0</v>
      </c>
      <c r="N106" s="1725">
        <f>'Receitas (mensais)'!M298</f>
        <v>0</v>
      </c>
      <c r="O106" s="1725">
        <f>'Receitas (mensais)'!N298</f>
        <v>0</v>
      </c>
      <c r="P106" s="1725">
        <f>'Receitas (mensais)'!O298</f>
        <v>0</v>
      </c>
      <c r="Q106" s="1725">
        <f>'Receitas (mensais)'!P298</f>
        <v>0</v>
      </c>
      <c r="R106" s="1727">
        <f t="shared" si="3"/>
        <v>0</v>
      </c>
      <c r="S106" s="1725"/>
      <c r="T106" s="1725"/>
      <c r="U106" s="1725"/>
      <c r="V106" s="1725"/>
      <c r="W106" s="1728"/>
      <c r="X106" s="1729"/>
    </row>
    <row r="107" spans="1:24" s="1730" customFormat="1" hidden="1" outlineLevel="1" collapsed="1">
      <c r="A107" s="1723"/>
      <c r="B107" s="1719" t="s">
        <v>3138</v>
      </c>
      <c r="C107" s="1724" t="str">
        <f>'Receitas (mensais)'!D301</f>
        <v>Material de transporte</v>
      </c>
      <c r="D107" s="1725"/>
      <c r="E107" s="1725"/>
      <c r="F107" s="1725">
        <f>'Receitas (mensais)'!E301</f>
        <v>0</v>
      </c>
      <c r="G107" s="1725">
        <f>'Receitas (mensais)'!F301</f>
        <v>0</v>
      </c>
      <c r="H107" s="1725">
        <f>'Receitas (mensais)'!G301</f>
        <v>0</v>
      </c>
      <c r="I107" s="1725">
        <f>'Receitas (mensais)'!H301</f>
        <v>0</v>
      </c>
      <c r="J107" s="1725">
        <f>'Receitas (mensais)'!I301</f>
        <v>0</v>
      </c>
      <c r="K107" s="1725">
        <f>'Receitas (mensais)'!J301</f>
        <v>0</v>
      </c>
      <c r="L107" s="1725">
        <f>'Receitas (mensais)'!K301</f>
        <v>0</v>
      </c>
      <c r="M107" s="1725">
        <f>'Receitas (mensais)'!L301</f>
        <v>0</v>
      </c>
      <c r="N107" s="1725">
        <f>'Receitas (mensais)'!M301</f>
        <v>0</v>
      </c>
      <c r="O107" s="1725">
        <f>'Receitas (mensais)'!N301</f>
        <v>0</v>
      </c>
      <c r="P107" s="1725">
        <f>'Receitas (mensais)'!O301</f>
        <v>0</v>
      </c>
      <c r="Q107" s="1725">
        <f>'Receitas (mensais)'!P301</f>
        <v>0</v>
      </c>
      <c r="R107" s="1727">
        <f t="shared" si="3"/>
        <v>0</v>
      </c>
      <c r="S107" s="1725"/>
      <c r="T107" s="1725"/>
      <c r="U107" s="1725"/>
      <c r="V107" s="1725"/>
      <c r="W107" s="1728"/>
      <c r="X107" s="1729"/>
    </row>
    <row r="108" spans="1:24" s="1730" customFormat="1" hidden="1" outlineLevel="1" collapsed="1">
      <c r="A108" s="1723"/>
      <c r="B108" s="1719" t="s">
        <v>3139</v>
      </c>
      <c r="C108" s="1724" t="str">
        <f>'Receitas (mensais)'!D303</f>
        <v>Maquinaria e equipamentos</v>
      </c>
      <c r="D108" s="1725"/>
      <c r="E108" s="1725"/>
      <c r="F108" s="1725">
        <f>'Receitas (mensais)'!E303</f>
        <v>0</v>
      </c>
      <c r="G108" s="1725">
        <f>'Receitas (mensais)'!F303</f>
        <v>0</v>
      </c>
      <c r="H108" s="1725">
        <f>'Receitas (mensais)'!G303</f>
        <v>0</v>
      </c>
      <c r="I108" s="1725">
        <f>'Receitas (mensais)'!H303</f>
        <v>0</v>
      </c>
      <c r="J108" s="1725">
        <f>'Receitas (mensais)'!I303</f>
        <v>0</v>
      </c>
      <c r="K108" s="1725">
        <f>'Receitas (mensais)'!J303</f>
        <v>0</v>
      </c>
      <c r="L108" s="1725">
        <f>'Receitas (mensais)'!K303</f>
        <v>0</v>
      </c>
      <c r="M108" s="1725">
        <f>'Receitas (mensais)'!L303</f>
        <v>0</v>
      </c>
      <c r="N108" s="1725">
        <f>'Receitas (mensais)'!M303</f>
        <v>0</v>
      </c>
      <c r="O108" s="1725">
        <f>'Receitas (mensais)'!N303</f>
        <v>0</v>
      </c>
      <c r="P108" s="1725">
        <f>'Receitas (mensais)'!O303</f>
        <v>0</v>
      </c>
      <c r="Q108" s="1725">
        <f>'Receitas (mensais)'!P303</f>
        <v>0</v>
      </c>
      <c r="R108" s="1727">
        <f t="shared" si="3"/>
        <v>0</v>
      </c>
      <c r="S108" s="1725"/>
      <c r="T108" s="1725"/>
      <c r="U108" s="1725"/>
      <c r="V108" s="1725"/>
      <c r="W108" s="1728"/>
      <c r="X108" s="1729"/>
    </row>
    <row r="109" spans="1:24" s="1730" customFormat="1" hidden="1" outlineLevel="1" collapsed="1">
      <c r="A109" s="1723"/>
      <c r="B109" s="1719" t="s">
        <v>3140</v>
      </c>
      <c r="C109" s="1724" t="str">
        <f>'Receitas (mensais)'!D305</f>
        <v>Animais e outros investimentos</v>
      </c>
      <c r="D109" s="1725"/>
      <c r="E109" s="1725"/>
      <c r="F109" s="1725">
        <f>'Receitas (mensais)'!E305</f>
        <v>0</v>
      </c>
      <c r="G109" s="1725">
        <f>'Receitas (mensais)'!F305</f>
        <v>0</v>
      </c>
      <c r="H109" s="1725">
        <f>'Receitas (mensais)'!G305</f>
        <v>0</v>
      </c>
      <c r="I109" s="1725">
        <f>'Receitas (mensais)'!H305</f>
        <v>0</v>
      </c>
      <c r="J109" s="1725">
        <f>'Receitas (mensais)'!I305</f>
        <v>0</v>
      </c>
      <c r="K109" s="1725">
        <f>'Receitas (mensais)'!J305</f>
        <v>6476.5</v>
      </c>
      <c r="L109" s="1725">
        <f>'Receitas (mensais)'!K305</f>
        <v>0</v>
      </c>
      <c r="M109" s="1725">
        <f>'Receitas (mensais)'!L305</f>
        <v>0</v>
      </c>
      <c r="N109" s="1725">
        <f>'Receitas (mensais)'!M305</f>
        <v>0</v>
      </c>
      <c r="O109" s="1725">
        <f>'Receitas (mensais)'!N305</f>
        <v>0</v>
      </c>
      <c r="P109" s="1725">
        <f>'Receitas (mensais)'!O305</f>
        <v>0</v>
      </c>
      <c r="Q109" s="1725">
        <f>'Receitas (mensais)'!P305</f>
        <v>0</v>
      </c>
      <c r="R109" s="1727">
        <f t="shared" si="3"/>
        <v>6476.5</v>
      </c>
      <c r="S109" s="1725"/>
      <c r="T109" s="1725"/>
      <c r="U109" s="1725"/>
      <c r="V109" s="1725"/>
      <c r="W109" s="1728"/>
      <c r="X109" s="1729"/>
    </row>
    <row r="110" spans="1:24" collapsed="1">
      <c r="A110" s="1703" t="s">
        <v>447</v>
      </c>
      <c r="B110" s="1705" t="s">
        <v>442</v>
      </c>
      <c r="C110" s="1705" t="s">
        <v>2790</v>
      </c>
      <c r="D110" s="1732"/>
      <c r="E110" s="1732"/>
      <c r="F110" s="1699">
        <f>+'Receitas (mensais)'!E307+'Receitas (mensais)'!E324</f>
        <v>0</v>
      </c>
      <c r="G110" s="1699">
        <f>+'Receitas (mensais)'!F307+'Receitas (mensais)'!F324</f>
        <v>1033.615</v>
      </c>
      <c r="H110" s="1699">
        <f>+'Receitas (mensais)'!G307+'Receitas (mensais)'!G324</f>
        <v>603.05999999999995</v>
      </c>
      <c r="I110" s="1699">
        <f>+'Receitas (mensais)'!H307+'Receitas (mensais)'!H324</f>
        <v>646.47900000000004</v>
      </c>
      <c r="J110" s="1699">
        <f>+'Receitas (mensais)'!I307+'Receitas (mensais)'!I324</f>
        <v>1662.826</v>
      </c>
      <c r="K110" s="1699">
        <f>+'Receitas (mensais)'!J307+'Receitas (mensais)'!J324</f>
        <v>766.875</v>
      </c>
      <c r="L110" s="1699">
        <f>+'Receitas (mensais)'!K307+'Receitas (mensais)'!K324</f>
        <v>1525.2080000000001</v>
      </c>
      <c r="M110" s="1699">
        <f>+'Receitas (mensais)'!L307+'Receitas (mensais)'!L324</f>
        <v>62.5</v>
      </c>
      <c r="N110" s="1699">
        <f>+'Receitas (mensais)'!M307+'Receitas (mensais)'!M324</f>
        <v>203.78899999999999</v>
      </c>
      <c r="O110" s="1699">
        <f>+'Receitas (mensais)'!N307+'Receitas (mensais)'!N324</f>
        <v>75.007000000000005</v>
      </c>
      <c r="P110" s="1699">
        <f>+'Receitas (mensais)'!O307+'Receitas (mensais)'!O324</f>
        <v>0</v>
      </c>
      <c r="Q110" s="1699">
        <f>+'Receitas (mensais)'!P307+'Receitas (mensais)'!P324</f>
        <v>64.12</v>
      </c>
      <c r="R110" s="1692">
        <f t="shared" si="3"/>
        <v>6643.4789999999994</v>
      </c>
      <c r="S110" s="1702">
        <f t="shared" ref="S110:S123" si="35">SUM(F110:H110)</f>
        <v>1636.675</v>
      </c>
      <c r="T110" s="1702">
        <f t="shared" ref="T110:T123" si="36">SUM(F110:K110)</f>
        <v>4712.8549999999996</v>
      </c>
      <c r="U110" s="1702">
        <f t="shared" ref="U110:U123" si="37">SUM(F110:N110)</f>
        <v>6504.3519999999999</v>
      </c>
      <c r="V110" s="1702">
        <f t="shared" ref="V110:V135" si="38">R110</f>
        <v>6643.4789999999994</v>
      </c>
      <c r="W110" s="1694" t="e">
        <f>R110/E110*100</f>
        <v>#DIV/0!</v>
      </c>
      <c r="X110" s="1695"/>
    </row>
    <row r="111" spans="1:24">
      <c r="A111" s="1744" t="s">
        <v>450</v>
      </c>
      <c r="B111" s="1688"/>
      <c r="C111" s="1688" t="s">
        <v>2791</v>
      </c>
      <c r="D111" s="1690">
        <v>0</v>
      </c>
      <c r="E111" s="1690">
        <v>0</v>
      </c>
      <c r="F111" s="1699"/>
      <c r="G111" s="1699"/>
      <c r="H111" s="1699"/>
      <c r="I111" s="1699"/>
      <c r="J111" s="1699"/>
      <c r="K111" s="1699"/>
      <c r="L111" s="1699"/>
      <c r="M111" s="1699"/>
      <c r="N111" s="1699"/>
      <c r="O111" s="1699"/>
      <c r="P111" s="1699"/>
      <c r="Q111" s="1699"/>
      <c r="R111" s="1692">
        <f t="shared" si="3"/>
        <v>0</v>
      </c>
      <c r="S111" s="1702">
        <f t="shared" si="35"/>
        <v>0</v>
      </c>
      <c r="T111" s="1702">
        <f t="shared" si="36"/>
        <v>0</v>
      </c>
      <c r="U111" s="1702">
        <f t="shared" si="37"/>
        <v>0</v>
      </c>
      <c r="V111" s="1702">
        <f t="shared" si="38"/>
        <v>0</v>
      </c>
      <c r="W111" s="1694" t="e">
        <f>R111/E111*100</f>
        <v>#DIV/0!</v>
      </c>
      <c r="X111" s="1695"/>
    </row>
    <row r="112" spans="1:24">
      <c r="A112" s="1744" t="s">
        <v>319</v>
      </c>
      <c r="B112" s="1688"/>
      <c r="C112" s="1688" t="s">
        <v>2792</v>
      </c>
      <c r="D112" s="1700">
        <v>0</v>
      </c>
      <c r="E112" s="1690">
        <v>0</v>
      </c>
      <c r="F112" s="1699"/>
      <c r="G112" s="1699"/>
      <c r="H112" s="1699"/>
      <c r="I112" s="1699" t="s">
        <v>319</v>
      </c>
      <c r="J112" s="1699"/>
      <c r="K112" s="1699"/>
      <c r="L112" s="1699"/>
      <c r="M112" s="1699"/>
      <c r="N112" s="1699"/>
      <c r="O112" s="1699"/>
      <c r="P112" s="1699"/>
      <c r="Q112" s="1699"/>
      <c r="R112" s="1692">
        <f t="shared" si="3"/>
        <v>0</v>
      </c>
      <c r="S112" s="1702">
        <f t="shared" si="35"/>
        <v>0</v>
      </c>
      <c r="T112" s="1702">
        <f t="shared" si="36"/>
        <v>0</v>
      </c>
      <c r="U112" s="1702">
        <f t="shared" si="37"/>
        <v>0</v>
      </c>
      <c r="V112" s="1702">
        <f t="shared" si="38"/>
        <v>0</v>
      </c>
      <c r="W112" s="1694" t="e">
        <f>R112/E112*100</f>
        <v>#DIV/0!</v>
      </c>
      <c r="X112" s="1695"/>
    </row>
    <row r="113" spans="1:27">
      <c r="A113" s="1744" t="s">
        <v>456</v>
      </c>
      <c r="B113" s="1688"/>
      <c r="C113" s="1688" t="s">
        <v>2793</v>
      </c>
      <c r="D113" s="1690">
        <v>0</v>
      </c>
      <c r="E113" s="1690">
        <v>0</v>
      </c>
      <c r="F113" s="1699"/>
      <c r="G113" s="1699"/>
      <c r="H113" s="1699"/>
      <c r="I113" s="1699"/>
      <c r="J113" s="1699"/>
      <c r="K113" s="1699"/>
      <c r="L113" s="1699"/>
      <c r="M113" s="1699"/>
      <c r="N113" s="1699"/>
      <c r="O113" s="1699"/>
      <c r="P113" s="1699"/>
      <c r="Q113" s="1699"/>
      <c r="R113" s="1692">
        <f t="shared" si="3"/>
        <v>0</v>
      </c>
      <c r="S113" s="1702">
        <f t="shared" si="35"/>
        <v>0</v>
      </c>
      <c r="T113" s="1702">
        <f t="shared" si="36"/>
        <v>0</v>
      </c>
      <c r="U113" s="1702">
        <f t="shared" si="37"/>
        <v>0</v>
      </c>
      <c r="V113" s="1702">
        <f t="shared" si="38"/>
        <v>0</v>
      </c>
      <c r="W113" s="1694" t="e">
        <f>R113/E113*100</f>
        <v>#DIV/0!</v>
      </c>
      <c r="X113" s="1695"/>
    </row>
    <row r="114" spans="1:27">
      <c r="A114" s="1744" t="s">
        <v>459</v>
      </c>
      <c r="B114" s="1688"/>
      <c r="C114" s="1688" t="s">
        <v>2794</v>
      </c>
      <c r="D114" s="1690"/>
      <c r="E114" s="1690"/>
      <c r="F114" s="1699"/>
      <c r="G114" s="1699"/>
      <c r="H114" s="1699"/>
      <c r="I114" s="1699"/>
      <c r="J114" s="1699"/>
      <c r="K114" s="1699"/>
      <c r="L114" s="1699"/>
      <c r="M114" s="1699"/>
      <c r="N114" s="1699"/>
      <c r="O114" s="1699"/>
      <c r="P114" s="1699"/>
      <c r="Q114" s="1699"/>
      <c r="R114" s="1692">
        <f t="shared" si="3"/>
        <v>0</v>
      </c>
      <c r="S114" s="1702">
        <f t="shared" si="35"/>
        <v>0</v>
      </c>
      <c r="T114" s="1702">
        <f t="shared" si="36"/>
        <v>0</v>
      </c>
      <c r="U114" s="1702">
        <f t="shared" si="37"/>
        <v>0</v>
      </c>
      <c r="V114" s="1702">
        <f t="shared" si="38"/>
        <v>0</v>
      </c>
      <c r="W114" s="1694" t="e">
        <f t="shared" ref="W114:W135" si="39">R114/E114*100</f>
        <v>#DIV/0!</v>
      </c>
      <c r="X114" s="1695"/>
    </row>
    <row r="115" spans="1:27">
      <c r="A115" s="1744"/>
      <c r="B115" s="1745"/>
      <c r="C115" s="1745"/>
      <c r="D115" s="1699"/>
      <c r="E115" s="1699"/>
      <c r="F115" s="1699"/>
      <c r="G115" s="1699"/>
      <c r="H115" s="1699"/>
      <c r="I115" s="1699"/>
      <c r="J115" s="1699"/>
      <c r="K115" s="1699"/>
      <c r="L115" s="1699"/>
      <c r="M115" s="1699"/>
      <c r="N115" s="1699"/>
      <c r="O115" s="1699"/>
      <c r="P115" s="1699"/>
      <c r="Q115" s="1699"/>
      <c r="R115" s="1692">
        <f t="shared" si="3"/>
        <v>0</v>
      </c>
      <c r="S115" s="1702">
        <f t="shared" si="35"/>
        <v>0</v>
      </c>
      <c r="T115" s="1702">
        <f t="shared" si="36"/>
        <v>0</v>
      </c>
      <c r="U115" s="1702">
        <f t="shared" si="37"/>
        <v>0</v>
      </c>
      <c r="V115" s="1702">
        <f t="shared" si="38"/>
        <v>0</v>
      </c>
      <c r="W115" s="1694" t="e">
        <f t="shared" si="39"/>
        <v>#DIV/0!</v>
      </c>
      <c r="X115" s="1695"/>
      <c r="Z115" s="1665"/>
    </row>
    <row r="116" spans="1:27" s="1751" customFormat="1">
      <c r="A116" s="1746" t="s">
        <v>187</v>
      </c>
      <c r="B116" s="1747"/>
      <c r="C116" s="1748" t="s">
        <v>3142</v>
      </c>
      <c r="D116" s="1690">
        <f t="shared" ref="D116:Q116" si="40">D117+D120</f>
        <v>0</v>
      </c>
      <c r="E116" s="1700">
        <f t="shared" si="40"/>
        <v>0</v>
      </c>
      <c r="F116" s="1690">
        <f t="shared" si="40"/>
        <v>0</v>
      </c>
      <c r="G116" s="1690">
        <f t="shared" si="40"/>
        <v>1708986.6359999999</v>
      </c>
      <c r="H116" s="1690">
        <f t="shared" si="40"/>
        <v>6351667.6349999998</v>
      </c>
      <c r="I116" s="1690">
        <f t="shared" si="40"/>
        <v>0</v>
      </c>
      <c r="J116" s="1690">
        <f t="shared" si="40"/>
        <v>0</v>
      </c>
      <c r="K116" s="1690">
        <f t="shared" si="40"/>
        <v>6116982.7189999996</v>
      </c>
      <c r="L116" s="1690">
        <f t="shared" si="40"/>
        <v>0</v>
      </c>
      <c r="M116" s="1690">
        <f t="shared" si="40"/>
        <v>0</v>
      </c>
      <c r="N116" s="1690">
        <f t="shared" si="40"/>
        <v>5832614.3799999999</v>
      </c>
      <c r="O116" s="1690">
        <f t="shared" si="40"/>
        <v>0</v>
      </c>
      <c r="P116" s="1690">
        <f t="shared" si="40"/>
        <v>165000</v>
      </c>
      <c r="Q116" s="1690">
        <f t="shared" si="40"/>
        <v>4189325.5199999996</v>
      </c>
      <c r="R116" s="1692">
        <f t="shared" si="3"/>
        <v>24364576.889999997</v>
      </c>
      <c r="S116" s="1693">
        <f t="shared" si="35"/>
        <v>8060654.2709999997</v>
      </c>
      <c r="T116" s="1693">
        <f t="shared" si="36"/>
        <v>14177636.989999998</v>
      </c>
      <c r="U116" s="1693">
        <f t="shared" si="37"/>
        <v>20010251.369999997</v>
      </c>
      <c r="V116" s="1693">
        <f t="shared" si="38"/>
        <v>24364576.889999997</v>
      </c>
      <c r="W116" s="1749" t="e">
        <f t="shared" si="39"/>
        <v>#DIV/0!</v>
      </c>
      <c r="X116" s="1750">
        <f>R116/$X$1*100/1000</f>
        <v>3.0028194690592684</v>
      </c>
    </row>
    <row r="117" spans="1:27">
      <c r="A117" s="1703" t="s">
        <v>463</v>
      </c>
      <c r="B117" s="1705"/>
      <c r="C117" s="1719" t="s">
        <v>669</v>
      </c>
      <c r="D117" s="1699">
        <f t="shared" ref="D117:Q117" si="41">SUM(D118:D119)</f>
        <v>0</v>
      </c>
      <c r="E117" s="1699">
        <f t="shared" si="41"/>
        <v>0</v>
      </c>
      <c r="F117" s="1699">
        <f t="shared" si="41"/>
        <v>0</v>
      </c>
      <c r="G117" s="1699">
        <f t="shared" si="41"/>
        <v>0</v>
      </c>
      <c r="H117" s="1699">
        <f t="shared" si="41"/>
        <v>0</v>
      </c>
      <c r="I117" s="1699">
        <f t="shared" si="41"/>
        <v>0</v>
      </c>
      <c r="J117" s="1699">
        <f t="shared" si="41"/>
        <v>0</v>
      </c>
      <c r="K117" s="1699">
        <f t="shared" si="41"/>
        <v>0</v>
      </c>
      <c r="L117" s="1699">
        <f t="shared" si="41"/>
        <v>0</v>
      </c>
      <c r="M117" s="1699">
        <f t="shared" si="41"/>
        <v>0</v>
      </c>
      <c r="N117" s="1699">
        <f t="shared" si="41"/>
        <v>0</v>
      </c>
      <c r="O117" s="1699">
        <f>SUM(O118:O119)</f>
        <v>0</v>
      </c>
      <c r="P117" s="1699">
        <f>SUM(P118:P119)</f>
        <v>0</v>
      </c>
      <c r="Q117" s="1699">
        <f t="shared" si="41"/>
        <v>0</v>
      </c>
      <c r="R117" s="1752">
        <f t="shared" si="3"/>
        <v>0</v>
      </c>
      <c r="S117" s="1702">
        <f t="shared" si="35"/>
        <v>0</v>
      </c>
      <c r="T117" s="1702">
        <f t="shared" si="36"/>
        <v>0</v>
      </c>
      <c r="U117" s="1702">
        <f t="shared" si="37"/>
        <v>0</v>
      </c>
      <c r="V117" s="1702">
        <f t="shared" si="38"/>
        <v>0</v>
      </c>
      <c r="W117" s="1694" t="e">
        <f t="shared" si="39"/>
        <v>#DIV/0!</v>
      </c>
      <c r="X117" s="1695"/>
    </row>
    <row r="118" spans="1:27">
      <c r="A118" s="1703" t="s">
        <v>465</v>
      </c>
      <c r="B118" s="1705"/>
      <c r="C118" s="1719" t="s">
        <v>670</v>
      </c>
      <c r="D118" s="1699"/>
      <c r="E118" s="1699"/>
      <c r="F118" s="1699">
        <v>0</v>
      </c>
      <c r="G118" s="1699">
        <v>0</v>
      </c>
      <c r="H118" s="1699">
        <v>0</v>
      </c>
      <c r="I118" s="1699">
        <v>0</v>
      </c>
      <c r="J118" s="1699">
        <v>0</v>
      </c>
      <c r="K118" s="1699">
        <v>0</v>
      </c>
      <c r="L118" s="1699">
        <v>0</v>
      </c>
      <c r="M118" s="1699">
        <v>0</v>
      </c>
      <c r="N118" s="1699">
        <v>0</v>
      </c>
      <c r="O118" s="1699">
        <v>0</v>
      </c>
      <c r="P118" s="1699">
        <v>0</v>
      </c>
      <c r="Q118" s="1699">
        <v>0</v>
      </c>
      <c r="R118" s="1692">
        <f t="shared" si="3"/>
        <v>0</v>
      </c>
      <c r="S118" s="1702">
        <f t="shared" si="35"/>
        <v>0</v>
      </c>
      <c r="T118" s="1702">
        <f t="shared" si="36"/>
        <v>0</v>
      </c>
      <c r="U118" s="1702">
        <f t="shared" si="37"/>
        <v>0</v>
      </c>
      <c r="V118" s="1702">
        <f t="shared" si="38"/>
        <v>0</v>
      </c>
      <c r="W118" s="1694" t="e">
        <f t="shared" si="39"/>
        <v>#DIV/0!</v>
      </c>
      <c r="X118" s="1695"/>
    </row>
    <row r="119" spans="1:27">
      <c r="A119" s="1703" t="s">
        <v>467</v>
      </c>
      <c r="B119" s="1705"/>
      <c r="C119" s="1719" t="s">
        <v>671</v>
      </c>
      <c r="D119" s="1699">
        <v>0</v>
      </c>
      <c r="E119" s="1699">
        <v>0</v>
      </c>
      <c r="F119" s="1699">
        <v>0</v>
      </c>
      <c r="G119" s="1699">
        <v>0</v>
      </c>
      <c r="H119" s="1699">
        <v>0</v>
      </c>
      <c r="I119" s="1699">
        <v>0</v>
      </c>
      <c r="J119" s="1699">
        <v>0</v>
      </c>
      <c r="K119" s="1699">
        <v>0</v>
      </c>
      <c r="L119" s="1699">
        <v>0</v>
      </c>
      <c r="M119" s="1699">
        <v>0</v>
      </c>
      <c r="N119" s="1699">
        <v>0</v>
      </c>
      <c r="O119" s="1699">
        <v>0</v>
      </c>
      <c r="P119" s="1699">
        <v>0</v>
      </c>
      <c r="Q119" s="1699"/>
      <c r="R119" s="1692">
        <f t="shared" si="3"/>
        <v>0</v>
      </c>
      <c r="S119" s="1702">
        <f t="shared" si="35"/>
        <v>0</v>
      </c>
      <c r="T119" s="1702">
        <f t="shared" si="36"/>
        <v>0</v>
      </c>
      <c r="U119" s="1702">
        <f t="shared" si="37"/>
        <v>0</v>
      </c>
      <c r="V119" s="1702">
        <f t="shared" si="38"/>
        <v>0</v>
      </c>
      <c r="W119" s="1694" t="e">
        <f t="shared" si="39"/>
        <v>#DIV/0!</v>
      </c>
      <c r="X119" s="1695"/>
      <c r="Z119" s="1665"/>
    </row>
    <row r="120" spans="1:27">
      <c r="A120" s="1703" t="s">
        <v>469</v>
      </c>
      <c r="B120" s="1705"/>
      <c r="C120" s="1719" t="s">
        <v>672</v>
      </c>
      <c r="D120" s="1699">
        <f t="shared" ref="D120:K120" si="42">SUM(D121:D123)</f>
        <v>0</v>
      </c>
      <c r="E120" s="1699">
        <f t="shared" si="42"/>
        <v>0</v>
      </c>
      <c r="F120" s="1699">
        <f t="shared" si="42"/>
        <v>0</v>
      </c>
      <c r="G120" s="1699">
        <f t="shared" si="42"/>
        <v>1708986.6359999999</v>
      </c>
      <c r="H120" s="1699">
        <f t="shared" si="42"/>
        <v>6351667.6349999998</v>
      </c>
      <c r="I120" s="1699">
        <f t="shared" si="42"/>
        <v>0</v>
      </c>
      <c r="J120" s="1699">
        <f t="shared" si="42"/>
        <v>0</v>
      </c>
      <c r="K120" s="1699">
        <f t="shared" si="42"/>
        <v>6116982.7189999996</v>
      </c>
      <c r="L120" s="1699">
        <f t="shared" ref="L120:Q120" si="43">SUM(L121:L123)</f>
        <v>0</v>
      </c>
      <c r="M120" s="1699">
        <f t="shared" si="43"/>
        <v>0</v>
      </c>
      <c r="N120" s="1699">
        <f t="shared" si="43"/>
        <v>5832614.3799999999</v>
      </c>
      <c r="O120" s="1699">
        <f t="shared" si="43"/>
        <v>0</v>
      </c>
      <c r="P120" s="1699">
        <f t="shared" si="43"/>
        <v>165000</v>
      </c>
      <c r="Q120" s="1699">
        <f t="shared" si="43"/>
        <v>4189325.5199999996</v>
      </c>
      <c r="R120" s="1752">
        <f t="shared" si="3"/>
        <v>24364576.889999997</v>
      </c>
      <c r="S120" s="1702">
        <f t="shared" si="35"/>
        <v>8060654.2709999997</v>
      </c>
      <c r="T120" s="1702">
        <f t="shared" si="36"/>
        <v>14177636.989999998</v>
      </c>
      <c r="U120" s="1702">
        <f t="shared" si="37"/>
        <v>20010251.369999997</v>
      </c>
      <c r="V120" s="1702">
        <f t="shared" si="38"/>
        <v>24364576.889999997</v>
      </c>
      <c r="W120" s="1694" t="e">
        <f t="shared" si="39"/>
        <v>#DIV/0!</v>
      </c>
      <c r="X120" s="1695">
        <f>R120/$X$1*100/1000</f>
        <v>3.0028194690592684</v>
      </c>
    </row>
    <row r="121" spans="1:27">
      <c r="A121" s="1703" t="s">
        <v>465</v>
      </c>
      <c r="B121" s="1705"/>
      <c r="C121" s="1719" t="s">
        <v>670</v>
      </c>
      <c r="D121" s="1699"/>
      <c r="E121" s="1699"/>
      <c r="F121" s="1699">
        <f>+'Appui-Projets'!J32</f>
        <v>0</v>
      </c>
      <c r="G121" s="1699">
        <f>+'Appui-Projets'!K32</f>
        <v>0</v>
      </c>
      <c r="H121" s="1699">
        <f>+'Appui-Projets'!L32</f>
        <v>6351667.6349999998</v>
      </c>
      <c r="I121" s="1699">
        <f>+'Appui-Projets'!M32</f>
        <v>0</v>
      </c>
      <c r="J121" s="1699">
        <f>+'Appui-Projets'!N32</f>
        <v>0</v>
      </c>
      <c r="K121" s="1699">
        <f>+'Appui-Projets'!O32</f>
        <v>6116982.7189999996</v>
      </c>
      <c r="L121" s="1699">
        <f>+'Appui-Projets'!P32</f>
        <v>0</v>
      </c>
      <c r="M121" s="1699">
        <f>+'Appui-Projets'!Q32</f>
        <v>0</v>
      </c>
      <c r="N121" s="1699">
        <f>+'Appui-Projets'!R32</f>
        <v>5832614.3799999999</v>
      </c>
      <c r="O121" s="1699">
        <f>+'Appui-Projets'!S32</f>
        <v>0</v>
      </c>
      <c r="P121" s="1699">
        <f>+'Appui-Projets'!T32</f>
        <v>0</v>
      </c>
      <c r="Q121" s="1699">
        <f>+'Appui-Projets'!U32</f>
        <v>4189325.5199999996</v>
      </c>
      <c r="R121" s="1692">
        <f t="shared" si="3"/>
        <v>22490590.253999997</v>
      </c>
      <c r="S121" s="1702">
        <f t="shared" si="35"/>
        <v>6351667.6349999998</v>
      </c>
      <c r="T121" s="1702">
        <f t="shared" si="36"/>
        <v>12468650.353999998</v>
      </c>
      <c r="U121" s="1702">
        <f t="shared" si="37"/>
        <v>18301264.733999997</v>
      </c>
      <c r="V121" s="1702">
        <f t="shared" si="38"/>
        <v>22490590.253999997</v>
      </c>
      <c r="W121" s="1694" t="e">
        <f t="shared" si="39"/>
        <v>#DIV/0!</v>
      </c>
      <c r="X121" s="1695">
        <f>R121/$X$1*100/1000</f>
        <v>2.7718594330716417</v>
      </c>
    </row>
    <row r="122" spans="1:27">
      <c r="A122" s="1703" t="s">
        <v>473</v>
      </c>
      <c r="B122" s="1705"/>
      <c r="C122" s="1719" t="s">
        <v>474</v>
      </c>
      <c r="D122" s="1699"/>
      <c r="E122" s="1699"/>
      <c r="F122" s="1699">
        <f>+'Appui-Bud'!G20</f>
        <v>0</v>
      </c>
      <c r="G122" s="1699">
        <f>+'Appui-Bud'!H20</f>
        <v>1708986.6359999999</v>
      </c>
      <c r="H122" s="1699">
        <f>+'Appui-Bud'!I20</f>
        <v>0</v>
      </c>
      <c r="I122" s="1699">
        <f>+'Appui-Bud'!J20</f>
        <v>0</v>
      </c>
      <c r="J122" s="1699">
        <f>+'Appui-Bud'!K20</f>
        <v>0</v>
      </c>
      <c r="K122" s="1699">
        <f>+'Appui-Bud'!L20</f>
        <v>0</v>
      </c>
      <c r="L122" s="1699">
        <f>+'Appui-Bud'!M20</f>
        <v>0</v>
      </c>
      <c r="M122" s="1699">
        <f>+'Appui-Bud'!N20</f>
        <v>0</v>
      </c>
      <c r="N122" s="1699">
        <f>+'Appui-Bud'!O20</f>
        <v>0</v>
      </c>
      <c r="O122" s="1699">
        <f>+'Appui-Bud'!P20</f>
        <v>0</v>
      </c>
      <c r="P122" s="1699">
        <f>+'Appui-Bud'!Q20</f>
        <v>165000</v>
      </c>
      <c r="Q122" s="1699">
        <f>+'Appui-Bud'!R20</f>
        <v>0</v>
      </c>
      <c r="R122" s="1692">
        <f t="shared" si="3"/>
        <v>1873986.6359999999</v>
      </c>
      <c r="S122" s="1702">
        <f t="shared" si="35"/>
        <v>1708986.6359999999</v>
      </c>
      <c r="T122" s="1702">
        <f t="shared" si="36"/>
        <v>1708986.6359999999</v>
      </c>
      <c r="U122" s="1702">
        <f t="shared" si="37"/>
        <v>1708986.6359999999</v>
      </c>
      <c r="V122" s="1702">
        <f t="shared" si="38"/>
        <v>1873986.6359999999</v>
      </c>
      <c r="W122" s="1694" t="e">
        <f t="shared" si="39"/>
        <v>#DIV/0!</v>
      </c>
      <c r="X122" s="1695">
        <f>R122/$X$1*100/1000</f>
        <v>0.23096003598762618</v>
      </c>
    </row>
    <row r="123" spans="1:27">
      <c r="A123" s="1703" t="s">
        <v>476</v>
      </c>
      <c r="B123" s="1705"/>
      <c r="C123" s="1719" t="s">
        <v>477</v>
      </c>
      <c r="D123" s="1699">
        <v>0</v>
      </c>
      <c r="E123" s="1699">
        <v>0</v>
      </c>
      <c r="F123" s="1699">
        <v>0</v>
      </c>
      <c r="G123" s="1699">
        <v>0</v>
      </c>
      <c r="H123" s="1699">
        <v>0</v>
      </c>
      <c r="I123" s="1699">
        <v>0</v>
      </c>
      <c r="J123" s="1699">
        <v>0</v>
      </c>
      <c r="K123" s="1699">
        <v>0</v>
      </c>
      <c r="L123" s="1699">
        <v>0</v>
      </c>
      <c r="M123" s="1699">
        <v>0</v>
      </c>
      <c r="N123" s="1699">
        <v>0</v>
      </c>
      <c r="O123" s="1699">
        <v>0</v>
      </c>
      <c r="P123" s="1699">
        <v>0</v>
      </c>
      <c r="Q123" s="1699">
        <v>0</v>
      </c>
      <c r="R123" s="1692">
        <f t="shared" si="3"/>
        <v>0</v>
      </c>
      <c r="S123" s="1702">
        <f t="shared" si="35"/>
        <v>0</v>
      </c>
      <c r="T123" s="1702">
        <f t="shared" si="36"/>
        <v>0</v>
      </c>
      <c r="U123" s="1702">
        <f t="shared" si="37"/>
        <v>0</v>
      </c>
      <c r="V123" s="1702">
        <f t="shared" si="38"/>
        <v>0</v>
      </c>
      <c r="W123" s="1694" t="e">
        <f t="shared" si="39"/>
        <v>#DIV/0!</v>
      </c>
      <c r="X123" s="1695"/>
      <c r="Z123" s="1665"/>
    </row>
    <row r="124" spans="1:27" ht="21.75" thickBot="1">
      <c r="A124" s="1703"/>
      <c r="B124" s="1753"/>
      <c r="C124" s="1753"/>
      <c r="D124" s="1699"/>
      <c r="E124" s="1699"/>
      <c r="F124" s="1699"/>
      <c r="G124" s="1699"/>
      <c r="H124" s="1699"/>
      <c r="I124" s="1699"/>
      <c r="J124" s="1699"/>
      <c r="K124" s="1699"/>
      <c r="L124" s="1699"/>
      <c r="M124" s="1699"/>
      <c r="N124" s="1699"/>
      <c r="O124" s="1699"/>
      <c r="P124" s="1699"/>
      <c r="Q124" s="1699"/>
      <c r="R124" s="1692">
        <f t="shared" ref="R124:R152" si="44">SUM(F124:Q124)</f>
        <v>0</v>
      </c>
      <c r="S124" s="1702">
        <f t="shared" ref="S124:S152" si="45">SUM(F124:H124)</f>
        <v>0</v>
      </c>
      <c r="T124" s="1702">
        <f t="shared" ref="T124:T152" si="46">SUM(F124:K124)</f>
        <v>0</v>
      </c>
      <c r="U124" s="1702">
        <f t="shared" ref="U124:U152" si="47">SUM(F124:N124)</f>
        <v>0</v>
      </c>
      <c r="V124" s="1702">
        <f t="shared" si="38"/>
        <v>0</v>
      </c>
      <c r="W124" s="1694" t="e">
        <f t="shared" si="39"/>
        <v>#DIV/0!</v>
      </c>
      <c r="X124" s="1695"/>
    </row>
    <row r="125" spans="1:27" s="1849" customFormat="1">
      <c r="A125" s="1843" t="s">
        <v>479</v>
      </c>
      <c r="B125" s="1844">
        <v>2</v>
      </c>
      <c r="C125" s="1845" t="s">
        <v>480</v>
      </c>
      <c r="D125" s="1793">
        <f t="shared" ref="D125:Q125" si="48">D126+D147</f>
        <v>0</v>
      </c>
      <c r="E125" s="1793">
        <f t="shared" si="48"/>
        <v>0</v>
      </c>
      <c r="F125" s="1846">
        <f t="shared" si="48"/>
        <v>7068797.8050196804</v>
      </c>
      <c r="G125" s="1793">
        <f t="shared" si="48"/>
        <v>12473023.807312649</v>
      </c>
      <c r="H125" s="1793">
        <f t="shared" si="48"/>
        <v>27245993.296956491</v>
      </c>
      <c r="I125" s="1793">
        <f t="shared" si="48"/>
        <v>10783831.755123885</v>
      </c>
      <c r="J125" s="1793">
        <f t="shared" si="48"/>
        <v>6016243.1371649997</v>
      </c>
      <c r="K125" s="1793">
        <f t="shared" si="48"/>
        <v>20011109.168644421</v>
      </c>
      <c r="L125" s="1793">
        <f t="shared" si="48"/>
        <v>9691840.8300480004</v>
      </c>
      <c r="M125" s="1793">
        <f t="shared" si="48"/>
        <v>11302241.725</v>
      </c>
      <c r="N125" s="1793">
        <f t="shared" si="48"/>
        <v>24900092.2330851</v>
      </c>
      <c r="O125" s="1793">
        <f t="shared" si="48"/>
        <v>11085977.220615</v>
      </c>
      <c r="P125" s="1793">
        <f t="shared" si="48"/>
        <v>10257119.445525199</v>
      </c>
      <c r="Q125" s="1793">
        <f t="shared" si="48"/>
        <v>14946407.46295194</v>
      </c>
      <c r="R125" s="1794">
        <f>SUM(F125:Q125)</f>
        <v>165782677.88744736</v>
      </c>
      <c r="S125" s="1676">
        <f t="shared" si="45"/>
        <v>46787814.909288824</v>
      </c>
      <c r="T125" s="1676">
        <f t="shared" si="46"/>
        <v>83598998.97022213</v>
      </c>
      <c r="U125" s="1676">
        <f t="shared" si="47"/>
        <v>129493173.75835522</v>
      </c>
      <c r="V125" s="1676">
        <f t="shared" si="38"/>
        <v>165782677.88744736</v>
      </c>
      <c r="W125" s="1847" t="e">
        <f t="shared" si="39"/>
        <v>#DIV/0!</v>
      </c>
      <c r="X125" s="1848">
        <f t="shared" ref="X125:X130" si="49">R125/$X$1*100/1000</f>
        <v>20.431935060506952</v>
      </c>
      <c r="AA125" s="1850"/>
    </row>
    <row r="126" spans="1:27">
      <c r="A126" s="1687" t="s">
        <v>482</v>
      </c>
      <c r="B126" s="1689" t="s">
        <v>481</v>
      </c>
      <c r="C126" s="1689" t="s">
        <v>486</v>
      </c>
      <c r="D126" s="1690">
        <f>D127+D137+D143+D144+D145</f>
        <v>0</v>
      </c>
      <c r="E126" s="1690">
        <f>E127+E137+E143+E144+E145</f>
        <v>0</v>
      </c>
      <c r="F126" s="1691">
        <f t="shared" ref="F126:Q126" si="50">F127+F137+F143+F144+F145+F146</f>
        <v>7068797.8050196804</v>
      </c>
      <c r="G126" s="1690">
        <f t="shared" si="50"/>
        <v>12473023.807312649</v>
      </c>
      <c r="H126" s="1690">
        <f t="shared" si="50"/>
        <v>27245993.296956491</v>
      </c>
      <c r="I126" s="1690">
        <f t="shared" si="50"/>
        <v>10783831.755123885</v>
      </c>
      <c r="J126" s="1690">
        <f t="shared" si="50"/>
        <v>6016243.1371649997</v>
      </c>
      <c r="K126" s="1690">
        <f t="shared" si="50"/>
        <v>20011109.168644421</v>
      </c>
      <c r="L126" s="1690">
        <f t="shared" si="50"/>
        <v>9691840.8300480004</v>
      </c>
      <c r="M126" s="1690">
        <f t="shared" si="50"/>
        <v>11302241.725</v>
      </c>
      <c r="N126" s="1690">
        <f t="shared" si="50"/>
        <v>24900092.2330851</v>
      </c>
      <c r="O126" s="1690">
        <f t="shared" si="50"/>
        <v>11085977.220615</v>
      </c>
      <c r="P126" s="1690">
        <f t="shared" si="50"/>
        <v>10257119.445525199</v>
      </c>
      <c r="Q126" s="1690">
        <f t="shared" si="50"/>
        <v>14946407.46295194</v>
      </c>
      <c r="R126" s="1692">
        <f>SUM(F126:Q126)</f>
        <v>165782677.88744736</v>
      </c>
      <c r="S126" s="1693">
        <f t="shared" si="45"/>
        <v>46787814.909288824</v>
      </c>
      <c r="T126" s="1693">
        <f t="shared" si="46"/>
        <v>83598998.97022213</v>
      </c>
      <c r="U126" s="1693">
        <f t="shared" si="47"/>
        <v>129493173.75835522</v>
      </c>
      <c r="V126" s="1693">
        <f t="shared" si="38"/>
        <v>165782677.88744736</v>
      </c>
      <c r="W126" s="1694" t="e">
        <f t="shared" si="39"/>
        <v>#DIV/0!</v>
      </c>
      <c r="X126" s="1695">
        <f t="shared" si="49"/>
        <v>20.431935060506952</v>
      </c>
      <c r="Z126" s="1697"/>
    </row>
    <row r="127" spans="1:27">
      <c r="A127" s="1698" t="s">
        <v>189</v>
      </c>
      <c r="B127" s="1689" t="s">
        <v>487</v>
      </c>
      <c r="C127" s="1689" t="s">
        <v>673</v>
      </c>
      <c r="D127" s="1699">
        <f>SUM(D128:D133)</f>
        <v>0</v>
      </c>
      <c r="E127" s="1700">
        <f t="shared" ref="E127:Q127" si="51">E128+E129+E130+E132+E133</f>
        <v>0</v>
      </c>
      <c r="F127" s="1701">
        <f>F128+F129+F130+F132+F133</f>
        <v>7038797.8050196804</v>
      </c>
      <c r="G127" s="1701">
        <f t="shared" si="51"/>
        <v>11708782.807312649</v>
      </c>
      <c r="H127" s="1701">
        <f t="shared" si="51"/>
        <v>17345164.620956492</v>
      </c>
      <c r="I127" s="1701">
        <f t="shared" si="51"/>
        <v>10742205.755123885</v>
      </c>
      <c r="J127" s="1701">
        <f t="shared" si="51"/>
        <v>6016243.1371649997</v>
      </c>
      <c r="K127" s="1701">
        <f t="shared" si="51"/>
        <v>11273589.94108442</v>
      </c>
      <c r="L127" s="1701">
        <f t="shared" si="51"/>
        <v>9691840.8300480004</v>
      </c>
      <c r="M127" s="1701">
        <f t="shared" si="51"/>
        <v>10985275.725</v>
      </c>
      <c r="N127" s="1701">
        <f t="shared" si="51"/>
        <v>10153327.538085099</v>
      </c>
      <c r="O127" s="1701">
        <f t="shared" si="51"/>
        <v>10956977.220615</v>
      </c>
      <c r="P127" s="1701">
        <f t="shared" si="51"/>
        <v>10257119.445525199</v>
      </c>
      <c r="Q127" s="1701">
        <f t="shared" si="51"/>
        <v>10736916.242951939</v>
      </c>
      <c r="R127" s="1692">
        <f>SUM(F127:Q127)</f>
        <v>126906241.06888737</v>
      </c>
      <c r="S127" s="1702">
        <f t="shared" si="45"/>
        <v>36092745.233288825</v>
      </c>
      <c r="T127" s="1702">
        <f t="shared" si="46"/>
        <v>64124784.066662133</v>
      </c>
      <c r="U127" s="1702">
        <f t="shared" si="47"/>
        <v>94955228.159795225</v>
      </c>
      <c r="V127" s="1702">
        <f t="shared" si="38"/>
        <v>126906241.06888737</v>
      </c>
      <c r="W127" s="1694" t="e">
        <f t="shared" si="39"/>
        <v>#DIV/0!</v>
      </c>
      <c r="X127" s="1695">
        <f t="shared" si="49"/>
        <v>15.640597131944855</v>
      </c>
      <c r="Z127" s="1665"/>
    </row>
    <row r="128" spans="1:27">
      <c r="A128" s="1703" t="s">
        <v>492</v>
      </c>
      <c r="B128" s="1704" t="s">
        <v>489</v>
      </c>
      <c r="C128" s="1705" t="s">
        <v>493</v>
      </c>
      <c r="D128" s="1699"/>
      <c r="E128" s="1699"/>
      <c r="F128" s="1701">
        <f>+'Ordon-Dep'!E7</f>
        <v>3546706</v>
      </c>
      <c r="G128" s="1701">
        <f>+'Ordon-Dep'!F7</f>
        <v>4497594</v>
      </c>
      <c r="H128" s="1701">
        <f>+'Ordon-Dep'!G7</f>
        <v>3461803</v>
      </c>
      <c r="I128" s="1701">
        <f>+'Ordon-Dep'!H7</f>
        <v>3775373</v>
      </c>
      <c r="J128" s="1701">
        <f>+'Ordon-Dep'!I7</f>
        <v>3247611</v>
      </c>
      <c r="K128" s="1701">
        <f>+'Ordon-Dep'!J7</f>
        <v>4400221</v>
      </c>
      <c r="L128" s="1701">
        <f>+'Ordon-Dep'!K7</f>
        <v>3523960</v>
      </c>
      <c r="M128" s="1701">
        <f>+'Ordon-Dep'!L7</f>
        <v>3674820</v>
      </c>
      <c r="N128" s="1701">
        <f>+'Ordon-Dep'!M7</f>
        <v>3557583</v>
      </c>
      <c r="O128" s="1701">
        <f>+'Ordon-Dep'!N7</f>
        <v>3639094</v>
      </c>
      <c r="P128" s="1701">
        <f>+'Ordon-Dep'!O7</f>
        <v>3722947</v>
      </c>
      <c r="Q128" s="1701">
        <f>+'Ordon-Dep'!P7</f>
        <v>4427291</v>
      </c>
      <c r="R128" s="1692">
        <f t="shared" si="44"/>
        <v>45475003</v>
      </c>
      <c r="S128" s="1702">
        <f t="shared" si="45"/>
        <v>11506103</v>
      </c>
      <c r="T128" s="1702">
        <f t="shared" si="46"/>
        <v>22929308</v>
      </c>
      <c r="U128" s="1702">
        <f t="shared" si="47"/>
        <v>33685671</v>
      </c>
      <c r="V128" s="1702">
        <f t="shared" si="38"/>
        <v>45475003</v>
      </c>
      <c r="W128" s="1694" t="e">
        <f t="shared" si="39"/>
        <v>#DIV/0!</v>
      </c>
      <c r="X128" s="1695">
        <f t="shared" si="49"/>
        <v>5.6045801649022042</v>
      </c>
      <c r="Y128" s="1665"/>
    </row>
    <row r="129" spans="1:34">
      <c r="A129" s="1703" t="s">
        <v>495</v>
      </c>
      <c r="B129" s="1704" t="s">
        <v>494</v>
      </c>
      <c r="C129" s="1705" t="s">
        <v>496</v>
      </c>
      <c r="D129" s="1699"/>
      <c r="E129" s="1699"/>
      <c r="F129" s="1701">
        <f>+'Ordon-Dep'!E13</f>
        <v>686473</v>
      </c>
      <c r="G129" s="1701">
        <f>+'Ordon-Dep'!F13</f>
        <v>2537129</v>
      </c>
      <c r="H129" s="1701">
        <f>+'Ordon-Dep'!G13</f>
        <v>1049924.6640000001</v>
      </c>
      <c r="I129" s="1701">
        <f>+'Ordon-Dep'!H13</f>
        <v>1405939</v>
      </c>
      <c r="J129" s="1701">
        <f>+'Ordon-Dep'!I13</f>
        <v>293793</v>
      </c>
      <c r="K129" s="1701">
        <f>+'Ordon-Dep'!J13</f>
        <v>2369321</v>
      </c>
      <c r="L129" s="1701">
        <f>+'Ordon-Dep'!K13</f>
        <v>1457666</v>
      </c>
      <c r="M129" s="1701">
        <f>+'Ordon-Dep'!L13</f>
        <v>1486964</v>
      </c>
      <c r="N129" s="1701">
        <f>+'Ordon-Dep'!M13</f>
        <v>1421689</v>
      </c>
      <c r="O129" s="1701">
        <f>+'Ordon-Dep'!N13</f>
        <v>1367113</v>
      </c>
      <c r="P129" s="1701">
        <f>+'Ordon-Dep'!O13</f>
        <v>1681653</v>
      </c>
      <c r="Q129" s="1701">
        <f>+'Ordon-Dep'!P13</f>
        <v>1629753</v>
      </c>
      <c r="R129" s="1736">
        <f t="shared" si="44"/>
        <v>17387417.664000001</v>
      </c>
      <c r="S129" s="1702">
        <f t="shared" si="45"/>
        <v>4273526.6639999999</v>
      </c>
      <c r="T129" s="1702">
        <f t="shared" si="46"/>
        <v>8342579.6639999999</v>
      </c>
      <c r="U129" s="1702">
        <f t="shared" si="47"/>
        <v>12708898.664000001</v>
      </c>
      <c r="V129" s="1702">
        <f t="shared" si="38"/>
        <v>17387417.664000001</v>
      </c>
      <c r="W129" s="1694" t="e">
        <f t="shared" si="39"/>
        <v>#DIV/0!</v>
      </c>
      <c r="X129" s="1695">
        <f t="shared" si="49"/>
        <v>2.1429174212154454</v>
      </c>
      <c r="Y129" s="1665"/>
      <c r="AA129" s="1754"/>
    </row>
    <row r="130" spans="1:34">
      <c r="A130" s="1703" t="s">
        <v>498</v>
      </c>
      <c r="B130" s="1704" t="s">
        <v>497</v>
      </c>
      <c r="C130" s="1705" t="s">
        <v>499</v>
      </c>
      <c r="D130" s="1699"/>
      <c r="E130" s="1699"/>
      <c r="F130" s="1701">
        <f>+'Ordon-Dep'!E20</f>
        <v>1469521</v>
      </c>
      <c r="G130" s="1701">
        <f>+'Ordon-Dep'!F20</f>
        <v>2020007</v>
      </c>
      <c r="H130" s="1701">
        <f>+'Ordon-Dep'!G20</f>
        <v>11064332.579</v>
      </c>
      <c r="I130" s="1701">
        <f>+'Ordon-Dep'!H20</f>
        <v>1783931</v>
      </c>
      <c r="J130" s="1701">
        <f>+'Ordon-Dep'!I20</f>
        <v>1756088</v>
      </c>
      <c r="K130" s="1701">
        <f>+'Ordon-Dep'!J20</f>
        <v>1974717</v>
      </c>
      <c r="L130" s="1701">
        <f>+'Ordon-Dep'!K20</f>
        <v>1909814</v>
      </c>
      <c r="M130" s="1701">
        <f>+'Ordon-Dep'!L20</f>
        <v>2464753</v>
      </c>
      <c r="N130" s="1701">
        <f>+'Ordon-Dep'!M20</f>
        <v>2183563</v>
      </c>
      <c r="O130" s="1701">
        <f>+'Ordon-Dep'!N20</f>
        <v>2916130</v>
      </c>
      <c r="P130" s="1701">
        <f>+'Ordon-Dep'!O20</f>
        <v>2061379</v>
      </c>
      <c r="Q130" s="1701">
        <f>+'Ordon-Dep'!P20</f>
        <v>1919839</v>
      </c>
      <c r="R130" s="1692">
        <f t="shared" si="44"/>
        <v>33524074.579</v>
      </c>
      <c r="S130" s="1702">
        <f t="shared" si="45"/>
        <v>14553860.579</v>
      </c>
      <c r="T130" s="1702">
        <f t="shared" si="46"/>
        <v>20068596.579</v>
      </c>
      <c r="U130" s="1702">
        <f t="shared" si="47"/>
        <v>26626726.579</v>
      </c>
      <c r="V130" s="1702">
        <f t="shared" si="38"/>
        <v>33524074.579</v>
      </c>
      <c r="W130" s="1694" t="e">
        <f t="shared" si="39"/>
        <v>#DIV/0!</v>
      </c>
      <c r="X130" s="1695">
        <f t="shared" si="49"/>
        <v>4.1316844648073054</v>
      </c>
      <c r="Y130" s="1665"/>
    </row>
    <row r="131" spans="1:34">
      <c r="A131" s="1703" t="s">
        <v>500</v>
      </c>
      <c r="B131" s="1704" t="s">
        <v>3144</v>
      </c>
      <c r="C131" s="1719" t="s">
        <v>3143</v>
      </c>
      <c r="D131" s="1699">
        <v>0</v>
      </c>
      <c r="E131" s="1699"/>
      <c r="F131" s="1699"/>
      <c r="G131" s="1699"/>
      <c r="H131" s="1699"/>
      <c r="I131" s="1699"/>
      <c r="J131" s="1699"/>
      <c r="K131" s="1699"/>
      <c r="L131" s="1699"/>
      <c r="M131" s="1699"/>
      <c r="N131" s="1699"/>
      <c r="O131" s="1699"/>
      <c r="P131" s="1699"/>
      <c r="Q131" s="1755"/>
      <c r="R131" s="1692">
        <f t="shared" si="44"/>
        <v>0</v>
      </c>
      <c r="S131" s="1702">
        <f t="shared" si="45"/>
        <v>0</v>
      </c>
      <c r="T131" s="1702">
        <f t="shared" si="46"/>
        <v>0</v>
      </c>
      <c r="U131" s="1702">
        <f t="shared" si="47"/>
        <v>0</v>
      </c>
      <c r="V131" s="1702">
        <f t="shared" si="38"/>
        <v>0</v>
      </c>
      <c r="W131" s="1694" t="e">
        <f t="shared" si="39"/>
        <v>#DIV/0!</v>
      </c>
      <c r="X131" s="1695"/>
    </row>
    <row r="132" spans="1:34">
      <c r="A132" s="1703" t="s">
        <v>503</v>
      </c>
      <c r="B132" s="1704" t="s">
        <v>502</v>
      </c>
      <c r="C132" s="1705" t="s">
        <v>504</v>
      </c>
      <c r="D132" s="1699"/>
      <c r="E132" s="1699"/>
      <c r="F132" s="1701">
        <f>+'Ordon-Dep'!E27+'Ordon-Dep'!E47</f>
        <v>1093845.723</v>
      </c>
      <c r="G132" s="1701">
        <f>+'Ordon-Dep'!F27+'Ordon-Dep'!F47</f>
        <v>2323513.8160000001</v>
      </c>
      <c r="H132" s="1701">
        <f>+'Ordon-Dep'!G27+'Ordon-Dep'!G47</f>
        <v>1561791.2080000001</v>
      </c>
      <c r="I132" s="1701">
        <f>+'Ordon-Dep'!H27+'Ordon-Dep'!H47</f>
        <v>1417869.8107499999</v>
      </c>
      <c r="J132" s="1701">
        <f>+'Ordon-Dep'!I27+'Ordon-Dep'!I47</f>
        <v>666378.2365</v>
      </c>
      <c r="K132" s="1701">
        <f>+'Ordon-Dep'!J27+'Ordon-Dep'!J47</f>
        <v>1767597.537</v>
      </c>
      <c r="L132" s="1701">
        <f>+'Ordon-Dep'!K27+'Ordon-Dep'!K47</f>
        <v>1857561.2560000001</v>
      </c>
      <c r="M132" s="1701">
        <f>+'Ordon-Dep'!L27+'Ordon-Dep'!L47</f>
        <v>2808164.8360000001</v>
      </c>
      <c r="N132" s="1701">
        <f>+'Ordon-Dep'!M27+'Ordon-Dep'!M47</f>
        <v>2487600.216</v>
      </c>
      <c r="O132" s="1701">
        <f>+'Ordon-Dep'!N27+'Ordon-Dep'!N47</f>
        <v>1950926.6839999999</v>
      </c>
      <c r="P132" s="1701">
        <f>+'Ordon-Dep'!O27+'Ordon-Dep'!O47</f>
        <v>2488860.2919999999</v>
      </c>
      <c r="Q132" s="1701">
        <f>+'Ordon-Dep'!P27+'Ordon-Dep'!P47</f>
        <v>2276769.1540000001</v>
      </c>
      <c r="R132" s="1692">
        <f t="shared" si="44"/>
        <v>22700878.769249994</v>
      </c>
      <c r="S132" s="1702">
        <f t="shared" si="45"/>
        <v>4979150.7469999995</v>
      </c>
      <c r="T132" s="1702">
        <f t="shared" si="46"/>
        <v>8830996.3312499989</v>
      </c>
      <c r="U132" s="1702">
        <f t="shared" si="47"/>
        <v>15984322.639249997</v>
      </c>
      <c r="V132" s="1702">
        <f t="shared" si="38"/>
        <v>22700878.769249994</v>
      </c>
      <c r="W132" s="1694" t="e">
        <f t="shared" si="39"/>
        <v>#DIV/0!</v>
      </c>
      <c r="X132" s="1695">
        <f>R132/$X$1*100/1000</f>
        <v>2.7977765031920523</v>
      </c>
      <c r="Y132" s="1665"/>
    </row>
    <row r="133" spans="1:34">
      <c r="A133" s="1703" t="s">
        <v>506</v>
      </c>
      <c r="B133" s="1704" t="s">
        <v>505</v>
      </c>
      <c r="C133" s="1705" t="s">
        <v>507</v>
      </c>
      <c r="D133" s="1699"/>
      <c r="E133" s="1699"/>
      <c r="F133" s="1701">
        <f t="shared" ref="F133:P133" si="52">SUM(F134:F135)</f>
        <v>242252.08201967998</v>
      </c>
      <c r="G133" s="1701">
        <f t="shared" si="52"/>
        <v>330538.99131265003</v>
      </c>
      <c r="H133" s="1701">
        <f t="shared" si="52"/>
        <v>207313.16995648976</v>
      </c>
      <c r="I133" s="1701">
        <f t="shared" si="52"/>
        <v>2359092.9443738847</v>
      </c>
      <c r="J133" s="1701">
        <f t="shared" si="52"/>
        <v>52372.900665000001</v>
      </c>
      <c r="K133" s="1701">
        <f t="shared" si="52"/>
        <v>761733.40408442006</v>
      </c>
      <c r="L133" s="1701">
        <f t="shared" si="52"/>
        <v>942839.57404800004</v>
      </c>
      <c r="M133" s="1701">
        <f t="shared" si="52"/>
        <v>550573.88899999997</v>
      </c>
      <c r="N133" s="1701">
        <f t="shared" si="52"/>
        <v>502892.32208510005</v>
      </c>
      <c r="O133" s="1701">
        <f t="shared" si="52"/>
        <v>1083713.5366149999</v>
      </c>
      <c r="P133" s="1701">
        <f t="shared" si="52"/>
        <v>302280.15352519997</v>
      </c>
      <c r="Q133" s="1701">
        <f>SUM(Q134:Q135)</f>
        <v>483264.08895194007</v>
      </c>
      <c r="R133" s="1736">
        <f>SUM(F133:Q133)</f>
        <v>7818867.0566373654</v>
      </c>
      <c r="S133" s="1702">
        <f t="shared" si="45"/>
        <v>780104.24328881968</v>
      </c>
      <c r="T133" s="1702">
        <f t="shared" si="46"/>
        <v>3953303.4924121248</v>
      </c>
      <c r="U133" s="1702">
        <f t="shared" si="47"/>
        <v>5949609.2775452258</v>
      </c>
      <c r="V133" s="1702">
        <f t="shared" si="38"/>
        <v>7818867.0566373654</v>
      </c>
      <c r="W133" s="1694" t="e">
        <f t="shared" si="39"/>
        <v>#DIV/0!</v>
      </c>
      <c r="X133" s="1695">
        <f>R133/$X$1*100/1000</f>
        <v>0.96363857782784657</v>
      </c>
      <c r="Y133" s="1665"/>
      <c r="AA133" s="1756"/>
    </row>
    <row r="134" spans="1:34">
      <c r="A134" s="1703" t="s">
        <v>508</v>
      </c>
      <c r="B134" s="1704" t="s">
        <v>3147</v>
      </c>
      <c r="C134" s="1719" t="s">
        <v>3145</v>
      </c>
      <c r="D134" s="1699"/>
      <c r="E134" s="1699"/>
      <c r="F134" s="1699">
        <f>+'Ordon-Dep'!E5</f>
        <v>242252.08201967998</v>
      </c>
      <c r="G134" s="1699">
        <f>+'Ordon-Dep'!F5</f>
        <v>57937.760312650003</v>
      </c>
      <c r="H134" s="1699">
        <f>+'Ordon-Dep'!G5</f>
        <v>93256.528511389697</v>
      </c>
      <c r="I134" s="1699">
        <f>+'Ordon-Dep'!H5</f>
        <v>551493.52637388499</v>
      </c>
      <c r="J134" s="1699">
        <f>+'Ordon-Dep'!I5</f>
        <v>22907.567665000002</v>
      </c>
      <c r="K134" s="1699">
        <f>+'Ordon-Dep'!J5</f>
        <v>520896.20263931999</v>
      </c>
      <c r="L134" s="1699">
        <f>+'Ordon-Dep'!K5</f>
        <v>279819.81404800003</v>
      </c>
      <c r="M134" s="1699">
        <f>+'Ordon-Dep'!L5</f>
        <v>95917.945000000007</v>
      </c>
      <c r="N134" s="1699">
        <f>+'Ordon-Dep'!M5</f>
        <v>130676.35164000001</v>
      </c>
      <c r="O134" s="1699">
        <f>+'Ordon-Dep'!N5</f>
        <v>723790.09461499983</v>
      </c>
      <c r="P134" s="1699">
        <f>+'Ordon-Dep'!O5</f>
        <v>50926.7265252</v>
      </c>
      <c r="Q134" s="1755">
        <f>+'Ordon-Dep'!P5</f>
        <v>372484.62850683997</v>
      </c>
      <c r="R134" s="1692">
        <f>SUM(F134:Q134)</f>
        <v>3142359.2278569639</v>
      </c>
      <c r="S134" s="1702">
        <f t="shared" si="45"/>
        <v>393446.37084371963</v>
      </c>
      <c r="T134" s="1702">
        <f t="shared" si="46"/>
        <v>1488743.6675219245</v>
      </c>
      <c r="U134" s="1702">
        <f t="shared" si="47"/>
        <v>1995157.7782099245</v>
      </c>
      <c r="V134" s="1702">
        <f t="shared" si="38"/>
        <v>3142359.2278569639</v>
      </c>
      <c r="W134" s="1694" t="e">
        <f t="shared" si="39"/>
        <v>#DIV/0!</v>
      </c>
      <c r="X134" s="1695">
        <f>R134/$X$1*100/1000</f>
        <v>0.38728099038156294</v>
      </c>
    </row>
    <row r="135" spans="1:34" s="1739" customFormat="1">
      <c r="A135" s="1734" t="s">
        <v>110</v>
      </c>
      <c r="B135" s="1757" t="s">
        <v>3148</v>
      </c>
      <c r="C135" s="1758" t="s">
        <v>512</v>
      </c>
      <c r="D135" s="1732">
        <v>0</v>
      </c>
      <c r="E135" s="1732">
        <v>0</v>
      </c>
      <c r="F135" s="1732">
        <f>+'Ordon-Dep'!E4+'Ordon-Dep'!E17</f>
        <v>0</v>
      </c>
      <c r="G135" s="1732">
        <f>+'Ordon-Dep'!F4+'Ordon-Dep'!F17</f>
        <v>272601.23100000003</v>
      </c>
      <c r="H135" s="1732">
        <f>+'Ordon-Dep'!G4+'Ordon-Dep'!G17</f>
        <v>114056.64144510006</v>
      </c>
      <c r="I135" s="1732">
        <f>+'Ordon-Dep'!H4+'Ordon-Dep'!H17</f>
        <v>1807599.4179999998</v>
      </c>
      <c r="J135" s="1732">
        <f>+'Ordon-Dep'!I4+'Ordon-Dep'!I17</f>
        <v>29465.332999999999</v>
      </c>
      <c r="K135" s="1732">
        <f>+'Ordon-Dep'!J4+'Ordon-Dep'!J17</f>
        <v>240837.20144510007</v>
      </c>
      <c r="L135" s="1732">
        <f>+'Ordon-Dep'!K4+'Ordon-Dep'!K17</f>
        <v>663019.76</v>
      </c>
      <c r="M135" s="1732">
        <f>+'Ordon-Dep'!L4+'Ordon-Dep'!L17</f>
        <v>454655.94400000002</v>
      </c>
      <c r="N135" s="1732">
        <f>+'Ordon-Dep'!M4+'Ordon-Dep'!M17</f>
        <v>372215.97044510004</v>
      </c>
      <c r="O135" s="1732">
        <f>+'Ordon-Dep'!N4+'Ordon-Dep'!N17</f>
        <v>359923.44199999998</v>
      </c>
      <c r="P135" s="1732">
        <f>+'Ordon-Dep'!O4+'Ordon-Dep'!O17</f>
        <v>251353.427</v>
      </c>
      <c r="Q135" s="1732">
        <f>+'Ordon-Dep'!P4+'Ordon-Dep'!P17</f>
        <v>110779.46044510006</v>
      </c>
      <c r="R135" s="1736">
        <f>SUM(F135:Q135)</f>
        <v>4676507.8287804006</v>
      </c>
      <c r="S135" s="1737">
        <f t="shared" si="45"/>
        <v>386657.8724451001</v>
      </c>
      <c r="T135" s="1737">
        <f t="shared" si="46"/>
        <v>2464559.8248902</v>
      </c>
      <c r="U135" s="1737">
        <f t="shared" si="47"/>
        <v>3954451.4993353002</v>
      </c>
      <c r="V135" s="1737">
        <f t="shared" si="38"/>
        <v>4676507.8287804006</v>
      </c>
      <c r="W135" s="1738" t="e">
        <f t="shared" si="39"/>
        <v>#DIV/0!</v>
      </c>
      <c r="X135" s="1695"/>
    </row>
    <row r="136" spans="1:34">
      <c r="A136" s="1703"/>
      <c r="B136" s="1704" t="s">
        <v>3146</v>
      </c>
      <c r="C136" s="1758" t="s">
        <v>3153</v>
      </c>
      <c r="D136" s="1699"/>
      <c r="E136" s="1699"/>
      <c r="F136" s="1699"/>
      <c r="G136" s="1699"/>
      <c r="H136" s="1699"/>
      <c r="I136" s="1699"/>
      <c r="J136" s="1699"/>
      <c r="K136" s="1699"/>
      <c r="L136" s="1699"/>
      <c r="M136" s="1699"/>
      <c r="N136" s="1699"/>
      <c r="O136" s="1699"/>
      <c r="P136" s="1699"/>
      <c r="Q136" s="1699"/>
      <c r="R136" s="1736"/>
      <c r="S136" s="1702"/>
      <c r="T136" s="1702"/>
      <c r="U136" s="1702"/>
      <c r="V136" s="1702"/>
      <c r="W136" s="1694"/>
      <c r="X136" s="1695"/>
    </row>
    <row r="137" spans="1:34">
      <c r="A137" s="1698" t="s">
        <v>190</v>
      </c>
      <c r="B137" s="1689" t="s">
        <v>513</v>
      </c>
      <c r="C137" s="1689" t="s">
        <v>514</v>
      </c>
      <c r="D137" s="1699">
        <f t="shared" ref="D137:Q137" si="53">D138+D141</f>
        <v>0</v>
      </c>
      <c r="E137" s="1700">
        <f t="shared" si="53"/>
        <v>0</v>
      </c>
      <c r="F137" s="1701">
        <f t="shared" si="53"/>
        <v>30000</v>
      </c>
      <c r="G137" s="1701">
        <f t="shared" si="53"/>
        <v>764241</v>
      </c>
      <c r="H137" s="1701">
        <f t="shared" si="53"/>
        <v>9900828.675999999</v>
      </c>
      <c r="I137" s="1701">
        <f t="shared" si="53"/>
        <v>41626</v>
      </c>
      <c r="J137" s="1701">
        <f t="shared" si="53"/>
        <v>0</v>
      </c>
      <c r="K137" s="1701">
        <f t="shared" si="53"/>
        <v>8737519.2275599986</v>
      </c>
      <c r="L137" s="1701">
        <f t="shared" si="53"/>
        <v>0</v>
      </c>
      <c r="M137" s="1701">
        <f t="shared" si="53"/>
        <v>316966</v>
      </c>
      <c r="N137" s="1701">
        <f t="shared" si="53"/>
        <v>14746764.695</v>
      </c>
      <c r="O137" s="1701">
        <f t="shared" si="53"/>
        <v>129000</v>
      </c>
      <c r="P137" s="1701">
        <f t="shared" si="53"/>
        <v>0</v>
      </c>
      <c r="Q137" s="1701">
        <f t="shared" si="53"/>
        <v>4209491.22</v>
      </c>
      <c r="R137" s="1692">
        <f t="shared" si="44"/>
        <v>38876436.818559997</v>
      </c>
      <c r="S137" s="1702">
        <f t="shared" si="45"/>
        <v>10695069.675999999</v>
      </c>
      <c r="T137" s="1702">
        <f t="shared" si="46"/>
        <v>19474214.903559998</v>
      </c>
      <c r="U137" s="1702">
        <f t="shared" si="47"/>
        <v>34537945.598559998</v>
      </c>
      <c r="V137" s="1702">
        <f>R137</f>
        <v>38876436.818559997</v>
      </c>
      <c r="W137" s="1694" t="e">
        <f t="shared" ref="W137:W179" si="54">R137/E137*100</f>
        <v>#DIV/0!</v>
      </c>
      <c r="X137" s="1695">
        <f>R137/$X$1*100/1000</f>
        <v>4.7913379285620969</v>
      </c>
      <c r="Z137" s="1665"/>
    </row>
    <row r="138" spans="1:34">
      <c r="A138" s="1703" t="s">
        <v>516</v>
      </c>
      <c r="B138" s="1705" t="s">
        <v>515</v>
      </c>
      <c r="C138" s="1706" t="s">
        <v>3149</v>
      </c>
      <c r="D138" s="1699">
        <f t="shared" ref="D138:Q138" si="55">SUM(D139:D140)</f>
        <v>0</v>
      </c>
      <c r="E138" s="1699">
        <f t="shared" si="55"/>
        <v>0</v>
      </c>
      <c r="F138" s="1699">
        <f t="shared" si="55"/>
        <v>0</v>
      </c>
      <c r="G138" s="1699">
        <f t="shared" si="55"/>
        <v>0</v>
      </c>
      <c r="H138" s="1699">
        <f t="shared" si="55"/>
        <v>9900828.675999999</v>
      </c>
      <c r="I138" s="1699">
        <f t="shared" si="55"/>
        <v>0</v>
      </c>
      <c r="J138" s="1699">
        <f t="shared" si="55"/>
        <v>0</v>
      </c>
      <c r="K138" s="1699">
        <f t="shared" si="55"/>
        <v>8737519.2275599986</v>
      </c>
      <c r="L138" s="1699">
        <f t="shared" si="55"/>
        <v>0</v>
      </c>
      <c r="M138" s="1699">
        <f t="shared" si="55"/>
        <v>0</v>
      </c>
      <c r="N138" s="1699">
        <f t="shared" si="55"/>
        <v>14255389.695</v>
      </c>
      <c r="O138" s="1699">
        <f t="shared" si="55"/>
        <v>0</v>
      </c>
      <c r="P138" s="1699">
        <f t="shared" si="55"/>
        <v>0</v>
      </c>
      <c r="Q138" s="1699">
        <f t="shared" si="55"/>
        <v>4189491.2199999997</v>
      </c>
      <c r="R138" s="1692">
        <f t="shared" si="44"/>
        <v>37083228.818559997</v>
      </c>
      <c r="S138" s="1702">
        <f t="shared" si="45"/>
        <v>9900828.675999999</v>
      </c>
      <c r="T138" s="1702">
        <f t="shared" si="46"/>
        <v>18638347.903559998</v>
      </c>
      <c r="U138" s="1702">
        <f t="shared" si="47"/>
        <v>32893737.598559998</v>
      </c>
      <c r="V138" s="1702">
        <f>R138</f>
        <v>37083228.818559997</v>
      </c>
      <c r="W138" s="1694" t="e">
        <f t="shared" si="54"/>
        <v>#DIV/0!</v>
      </c>
      <c r="X138" s="1695">
        <f>R138/$X$1*100/1000</f>
        <v>4.5703334794069432</v>
      </c>
      <c r="Z138" s="1665"/>
      <c r="AH138" s="1759"/>
    </row>
    <row r="139" spans="1:34">
      <c r="A139" s="1703" t="s">
        <v>712</v>
      </c>
      <c r="B139" s="1705" t="s">
        <v>3151</v>
      </c>
      <c r="C139" s="1719" t="s">
        <v>674</v>
      </c>
      <c r="D139" s="1699"/>
      <c r="E139" s="1699"/>
      <c r="F139" s="1699">
        <v>0</v>
      </c>
      <c r="G139" s="1699">
        <f>+'Appui-Projets'!K32</f>
        <v>0</v>
      </c>
      <c r="H139" s="1699">
        <f>+'Appui-Projets'!L32</f>
        <v>6351667.6349999998</v>
      </c>
      <c r="I139" s="1699">
        <f>+'Appui-Projets'!M32</f>
        <v>0</v>
      </c>
      <c r="J139" s="1699">
        <f>+'Appui-Projets'!N32</f>
        <v>0</v>
      </c>
      <c r="K139" s="1699">
        <f>+'Appui-Projets'!O32</f>
        <v>6116982.7189999996</v>
      </c>
      <c r="L139" s="1699">
        <f>+'Appui-Projets'!P32</f>
        <v>0</v>
      </c>
      <c r="M139" s="1699">
        <f>+'Appui-Projets'!Q32</f>
        <v>0</v>
      </c>
      <c r="N139" s="1699">
        <f>+'Appui-Projets'!R32</f>
        <v>5832614.3799999999</v>
      </c>
      <c r="O139" s="1699">
        <f>+'Appui-Projets'!S32</f>
        <v>0</v>
      </c>
      <c r="P139" s="1699">
        <f>+'Appui-Projets'!T32</f>
        <v>0</v>
      </c>
      <c r="Q139" s="1699">
        <f>+'Appui-Projets'!U32</f>
        <v>4189325.5199999996</v>
      </c>
      <c r="R139" s="1692">
        <f t="shared" si="44"/>
        <v>22490590.253999997</v>
      </c>
      <c r="S139" s="1702">
        <f t="shared" si="45"/>
        <v>6351667.6349999998</v>
      </c>
      <c r="T139" s="1702">
        <f t="shared" si="46"/>
        <v>12468650.353999998</v>
      </c>
      <c r="U139" s="1702">
        <f t="shared" si="47"/>
        <v>18301264.733999997</v>
      </c>
      <c r="V139" s="1702">
        <f>R139</f>
        <v>22490590.253999997</v>
      </c>
      <c r="W139" s="1694" t="e">
        <f t="shared" si="54"/>
        <v>#DIV/0!</v>
      </c>
      <c r="X139" s="1695"/>
      <c r="Z139" s="1760">
        <v>38529593</v>
      </c>
      <c r="AH139" s="1759"/>
    </row>
    <row r="140" spans="1:34">
      <c r="A140" s="1703" t="s">
        <v>713</v>
      </c>
      <c r="B140" s="1705" t="s">
        <v>3152</v>
      </c>
      <c r="C140" s="1719" t="s">
        <v>675</v>
      </c>
      <c r="D140" s="1699">
        <v>0</v>
      </c>
      <c r="E140" s="1699"/>
      <c r="F140" s="1699">
        <f>+'Ordon-Dep'!E46</f>
        <v>0</v>
      </c>
      <c r="G140" s="1699">
        <f>+'Ordon-Dep'!F46</f>
        <v>0</v>
      </c>
      <c r="H140" s="1699">
        <f>+'Ordon-Dep'!G46</f>
        <v>3549161.0410000002</v>
      </c>
      <c r="I140" s="1699">
        <f>+'Ordon-Dep'!H46</f>
        <v>0</v>
      </c>
      <c r="J140" s="1699">
        <f>+'Ordon-Dep'!I46</f>
        <v>0</v>
      </c>
      <c r="K140" s="1699">
        <f>+'Ordon-Dep'!J46</f>
        <v>2620536.50856</v>
      </c>
      <c r="L140" s="1699">
        <f>+'Ordon-Dep'!K46</f>
        <v>0</v>
      </c>
      <c r="M140" s="1699">
        <f>+'Ordon-Dep'!L46</f>
        <v>0</v>
      </c>
      <c r="N140" s="1699">
        <f>+'Ordon-Dep'!M46</f>
        <v>8422775.3149999995</v>
      </c>
      <c r="O140" s="1699">
        <f>+'Ordon-Dep'!N46</f>
        <v>0</v>
      </c>
      <c r="P140" s="1699">
        <f>+'Ordon-Dep'!O46</f>
        <v>0</v>
      </c>
      <c r="Q140" s="1699">
        <f>+'Ordon-Dep'!P46</f>
        <v>165.7</v>
      </c>
      <c r="R140" s="1692">
        <f t="shared" si="44"/>
        <v>14592638.56456</v>
      </c>
      <c r="S140" s="1702">
        <f t="shared" si="45"/>
        <v>3549161.0410000002</v>
      </c>
      <c r="T140" s="1702">
        <f t="shared" si="46"/>
        <v>6169697.5495600002</v>
      </c>
      <c r="U140" s="1702">
        <f t="shared" si="47"/>
        <v>14592472.864560001</v>
      </c>
      <c r="V140" s="1702">
        <f>R140</f>
        <v>14592638.56456</v>
      </c>
      <c r="W140" s="1694" t="e">
        <f t="shared" si="54"/>
        <v>#DIV/0!</v>
      </c>
      <c r="X140" s="1695"/>
      <c r="Z140" s="1761">
        <f>+Z139-R137</f>
        <v>-346843.81855999678</v>
      </c>
      <c r="AA140" s="1756"/>
      <c r="AB140" s="1665"/>
      <c r="AH140" s="1759"/>
    </row>
    <row r="141" spans="1:34">
      <c r="A141" s="1703" t="s">
        <v>519</v>
      </c>
      <c r="B141" s="1705"/>
      <c r="C141" s="1706" t="s">
        <v>3150</v>
      </c>
      <c r="D141" s="1699"/>
      <c r="E141" s="1699"/>
      <c r="F141" s="1699">
        <f>+'Ordon-Dep'!E39</f>
        <v>30000</v>
      </c>
      <c r="G141" s="1699">
        <f>+'Ordon-Dep'!F39</f>
        <v>764241</v>
      </c>
      <c r="H141" s="1699">
        <f>+'Ordon-Dep'!G39</f>
        <v>0</v>
      </c>
      <c r="I141" s="1699">
        <f>+'Ordon-Dep'!H39</f>
        <v>41626</v>
      </c>
      <c r="J141" s="1699">
        <f>+'Ordon-Dep'!I39</f>
        <v>0</v>
      </c>
      <c r="K141" s="1699">
        <f>+'Ordon-Dep'!J39</f>
        <v>0</v>
      </c>
      <c r="L141" s="1699">
        <f>+'Ordon-Dep'!K39</f>
        <v>0</v>
      </c>
      <c r="M141" s="1699">
        <f>+'Ordon-Dep'!L39</f>
        <v>316966</v>
      </c>
      <c r="N141" s="1699">
        <f>+'Ordon-Dep'!M39</f>
        <v>491375</v>
      </c>
      <c r="O141" s="1699">
        <f>+'Ordon-Dep'!N39</f>
        <v>129000</v>
      </c>
      <c r="P141" s="1699">
        <f>+'Ordon-Dep'!O39</f>
        <v>0</v>
      </c>
      <c r="Q141" s="1699">
        <f>+'Ordon-Dep'!P39</f>
        <v>20000</v>
      </c>
      <c r="R141" s="1692">
        <f t="shared" si="44"/>
        <v>1793208</v>
      </c>
      <c r="S141" s="1702">
        <f t="shared" si="45"/>
        <v>794241</v>
      </c>
      <c r="T141" s="1702">
        <f t="shared" si="46"/>
        <v>835867</v>
      </c>
      <c r="U141" s="1702">
        <f t="shared" si="47"/>
        <v>1644208</v>
      </c>
      <c r="V141" s="1702">
        <f>R141</f>
        <v>1793208</v>
      </c>
      <c r="W141" s="1694" t="e">
        <f t="shared" si="54"/>
        <v>#DIV/0!</v>
      </c>
      <c r="X141" s="1695">
        <f>R141/$X$1*100/1000</f>
        <v>0.22100444915515349</v>
      </c>
      <c r="Z141" s="1665"/>
      <c r="AH141" s="1759"/>
    </row>
    <row r="142" spans="1:34">
      <c r="A142" s="1703"/>
      <c r="B142" s="1753"/>
      <c r="C142" s="1753"/>
      <c r="D142" s="1699"/>
      <c r="E142" s="1699"/>
      <c r="F142" s="1699">
        <f>'Ordon-Dep'!E43</f>
        <v>0</v>
      </c>
      <c r="G142" s="1699">
        <f>'Ordon-Dep'!F43</f>
        <v>0</v>
      </c>
      <c r="H142" s="1699">
        <f>'Ordon-Dep'!G43</f>
        <v>0</v>
      </c>
      <c r="I142" s="1699">
        <f>'Ordon-Dep'!H43</f>
        <v>0</v>
      </c>
      <c r="J142" s="1699">
        <f>'Ordon-Dep'!I43</f>
        <v>0</v>
      </c>
      <c r="K142" s="1699">
        <f>'Ordon-Dep'!J43</f>
        <v>0</v>
      </c>
      <c r="L142" s="1699">
        <f>'Ordon-Dep'!K43</f>
        <v>0</v>
      </c>
      <c r="M142" s="1699">
        <f>'Ordon-Dep'!L43</f>
        <v>0</v>
      </c>
      <c r="N142" s="1699">
        <f>'Ordon-Dep'!M43</f>
        <v>0</v>
      </c>
      <c r="O142" s="1699">
        <f>'Ordon-Dep'!N43</f>
        <v>0</v>
      </c>
      <c r="P142" s="1699">
        <f>'Ordon-Dep'!O43</f>
        <v>0</v>
      </c>
      <c r="Q142" s="1699">
        <f>'Ordon-Dep'!P43</f>
        <v>0</v>
      </c>
      <c r="R142" s="1692">
        <f t="shared" si="44"/>
        <v>0</v>
      </c>
      <c r="S142" s="1702">
        <f t="shared" si="45"/>
        <v>0</v>
      </c>
      <c r="T142" s="1702">
        <f t="shared" si="46"/>
        <v>0</v>
      </c>
      <c r="U142" s="1702">
        <f t="shared" si="47"/>
        <v>0</v>
      </c>
      <c r="V142" s="1702">
        <f t="shared" ref="V142:V174" si="56">R142</f>
        <v>0</v>
      </c>
      <c r="W142" s="1694" t="e">
        <f t="shared" si="54"/>
        <v>#DIV/0!</v>
      </c>
      <c r="X142" s="1695"/>
      <c r="AB142" s="1665"/>
      <c r="AH142" s="1759"/>
    </row>
    <row r="143" spans="1:34">
      <c r="A143" s="1744" t="s">
        <v>522</v>
      </c>
      <c r="B143" s="1745"/>
      <c r="C143" s="1745" t="s">
        <v>523</v>
      </c>
      <c r="D143" s="1699"/>
      <c r="E143" s="1699"/>
      <c r="F143" s="1699">
        <v>0</v>
      </c>
      <c r="G143" s="1699">
        <v>0</v>
      </c>
      <c r="H143" s="1699">
        <v>0</v>
      </c>
      <c r="I143" s="1699">
        <v>0</v>
      </c>
      <c r="J143" s="1699">
        <v>0</v>
      </c>
      <c r="K143" s="1699">
        <v>0</v>
      </c>
      <c r="L143" s="1699">
        <v>0</v>
      </c>
      <c r="M143" s="1699">
        <v>0</v>
      </c>
      <c r="N143" s="1699">
        <v>0</v>
      </c>
      <c r="O143" s="1699">
        <v>0</v>
      </c>
      <c r="P143" s="1699">
        <v>0</v>
      </c>
      <c r="Q143" s="1699">
        <v>0</v>
      </c>
      <c r="R143" s="1692">
        <f t="shared" si="44"/>
        <v>0</v>
      </c>
      <c r="S143" s="1702">
        <f t="shared" si="45"/>
        <v>0</v>
      </c>
      <c r="T143" s="1702">
        <f t="shared" si="46"/>
        <v>0</v>
      </c>
      <c r="U143" s="1702">
        <f t="shared" si="47"/>
        <v>0</v>
      </c>
      <c r="V143" s="1702">
        <f t="shared" si="56"/>
        <v>0</v>
      </c>
      <c r="W143" s="1694" t="e">
        <f t="shared" si="54"/>
        <v>#DIV/0!</v>
      </c>
      <c r="X143" s="1695"/>
      <c r="AB143" s="1665"/>
      <c r="AH143" s="1759"/>
    </row>
    <row r="144" spans="1:34">
      <c r="A144" s="1744" t="s">
        <v>525</v>
      </c>
      <c r="B144" s="1745"/>
      <c r="C144" s="1745" t="s">
        <v>526</v>
      </c>
      <c r="D144" s="1699"/>
      <c r="E144" s="1699"/>
      <c r="F144" s="1699"/>
      <c r="G144" s="1699"/>
      <c r="H144" s="1699"/>
      <c r="I144" s="1699"/>
      <c r="J144" s="1699"/>
      <c r="K144" s="1732"/>
      <c r="L144" s="1699"/>
      <c r="M144" s="1699"/>
      <c r="N144" s="1699"/>
      <c r="O144" s="1699"/>
      <c r="P144" s="1699"/>
      <c r="Q144" s="1755"/>
      <c r="R144" s="1692">
        <f t="shared" si="44"/>
        <v>0</v>
      </c>
      <c r="S144" s="1702">
        <f t="shared" si="45"/>
        <v>0</v>
      </c>
      <c r="T144" s="1702">
        <f t="shared" si="46"/>
        <v>0</v>
      </c>
      <c r="U144" s="1702">
        <f t="shared" si="47"/>
        <v>0</v>
      </c>
      <c r="V144" s="1702">
        <f t="shared" si="56"/>
        <v>0</v>
      </c>
      <c r="W144" s="1694" t="e">
        <f t="shared" si="54"/>
        <v>#DIV/0!</v>
      </c>
      <c r="X144" s="1695"/>
      <c r="Z144" s="1665"/>
      <c r="AB144" s="1665"/>
    </row>
    <row r="145" spans="1:33">
      <c r="A145" s="1744" t="s">
        <v>528</v>
      </c>
      <c r="B145" s="1762"/>
      <c r="C145" s="1762" t="s">
        <v>2869</v>
      </c>
      <c r="D145" s="1763"/>
      <c r="E145" s="1763"/>
      <c r="F145" s="1764"/>
      <c r="G145" s="1764"/>
      <c r="H145" s="1765"/>
      <c r="I145" s="1764"/>
      <c r="J145" s="1764"/>
      <c r="K145" s="1765"/>
      <c r="L145" s="1764"/>
      <c r="M145" s="1764"/>
      <c r="N145" s="1766"/>
      <c r="O145" s="1764"/>
      <c r="P145" s="1767"/>
      <c r="Q145" s="1767"/>
      <c r="R145" s="1768">
        <f t="shared" si="44"/>
        <v>0</v>
      </c>
      <c r="S145" s="1702">
        <f t="shared" si="45"/>
        <v>0</v>
      </c>
      <c r="T145" s="1702">
        <f t="shared" si="46"/>
        <v>0</v>
      </c>
      <c r="U145" s="1702">
        <f t="shared" si="47"/>
        <v>0</v>
      </c>
      <c r="V145" s="1702">
        <f t="shared" si="56"/>
        <v>0</v>
      </c>
      <c r="W145" s="1694" t="e">
        <f t="shared" si="54"/>
        <v>#DIV/0!</v>
      </c>
      <c r="X145" s="1695">
        <f>R145/$X$1*100/1000</f>
        <v>0</v>
      </c>
      <c r="Y145" s="1769"/>
    </row>
    <row r="146" spans="1:33">
      <c r="A146" s="1698"/>
      <c r="B146" s="1770"/>
      <c r="C146" s="1770" t="s">
        <v>2758</v>
      </c>
      <c r="D146" s="1771"/>
      <c r="E146" s="1771"/>
      <c r="F146" s="1764"/>
      <c r="G146" s="1764"/>
      <c r="H146" s="1765"/>
      <c r="I146" s="1765"/>
      <c r="J146" s="1765"/>
      <c r="K146" s="1765"/>
      <c r="L146" s="1764"/>
      <c r="M146" s="1764"/>
      <c r="N146" s="1766">
        <v>0</v>
      </c>
      <c r="O146" s="1764"/>
      <c r="P146" s="1764"/>
      <c r="Q146" s="1772"/>
      <c r="R146" s="1773">
        <f>SUM(F146:Q146)</f>
        <v>0</v>
      </c>
      <c r="S146" s="1702">
        <f t="shared" si="45"/>
        <v>0</v>
      </c>
      <c r="T146" s="1702">
        <f t="shared" si="46"/>
        <v>0</v>
      </c>
      <c r="U146" s="1702">
        <f t="shared" si="47"/>
        <v>0</v>
      </c>
      <c r="V146" s="1702">
        <f t="shared" si="56"/>
        <v>0</v>
      </c>
      <c r="W146" s="1694" t="e">
        <f t="shared" si="54"/>
        <v>#DIV/0!</v>
      </c>
      <c r="X146" s="1695"/>
    </row>
    <row r="147" spans="1:33">
      <c r="A147" s="1687" t="s">
        <v>531</v>
      </c>
      <c r="B147" s="1689" t="s">
        <v>530</v>
      </c>
      <c r="C147" s="1689" t="s">
        <v>532</v>
      </c>
      <c r="D147" s="1690">
        <f t="shared" ref="D147:Q147" si="57">SUM(D148:D152)</f>
        <v>0</v>
      </c>
      <c r="E147" s="1690">
        <f t="shared" si="57"/>
        <v>0</v>
      </c>
      <c r="F147" s="1691">
        <f t="shared" si="57"/>
        <v>0</v>
      </c>
      <c r="G147" s="1690">
        <v>0</v>
      </c>
      <c r="H147" s="1690">
        <f t="shared" si="57"/>
        <v>0</v>
      </c>
      <c r="I147" s="1690">
        <f t="shared" si="57"/>
        <v>0</v>
      </c>
      <c r="J147" s="1690">
        <f t="shared" si="57"/>
        <v>0</v>
      </c>
      <c r="K147" s="1690">
        <f t="shared" si="57"/>
        <v>0</v>
      </c>
      <c r="L147" s="1690">
        <f t="shared" si="57"/>
        <v>0</v>
      </c>
      <c r="M147" s="1690">
        <f t="shared" si="57"/>
        <v>0</v>
      </c>
      <c r="N147" s="1690">
        <f t="shared" si="57"/>
        <v>0</v>
      </c>
      <c r="O147" s="1690">
        <f t="shared" si="57"/>
        <v>0</v>
      </c>
      <c r="P147" s="1690">
        <f t="shared" si="57"/>
        <v>0</v>
      </c>
      <c r="Q147" s="1690">
        <f t="shared" si="57"/>
        <v>0</v>
      </c>
      <c r="R147" s="1692">
        <f t="shared" si="44"/>
        <v>0</v>
      </c>
      <c r="S147" s="1693">
        <f t="shared" si="45"/>
        <v>0</v>
      </c>
      <c r="T147" s="1693">
        <f t="shared" si="46"/>
        <v>0</v>
      </c>
      <c r="U147" s="1693">
        <f t="shared" si="47"/>
        <v>0</v>
      </c>
      <c r="V147" s="1693">
        <f t="shared" si="56"/>
        <v>0</v>
      </c>
      <c r="W147" s="1694" t="e">
        <f t="shared" si="54"/>
        <v>#DIV/0!</v>
      </c>
      <c r="X147" s="1695"/>
      <c r="Z147" s="1697"/>
    </row>
    <row r="148" spans="1:33">
      <c r="A148" s="1744" t="s">
        <v>534</v>
      </c>
      <c r="B148" s="1753"/>
      <c r="C148" s="1753" t="s">
        <v>535</v>
      </c>
      <c r="D148" s="1690"/>
      <c r="E148" s="1690"/>
      <c r="F148" s="1690">
        <v>0</v>
      </c>
      <c r="G148" s="1690">
        <v>0</v>
      </c>
      <c r="H148" s="1690">
        <v>0</v>
      </c>
      <c r="I148" s="1690">
        <v>0</v>
      </c>
      <c r="J148" s="1690">
        <v>0</v>
      </c>
      <c r="K148" s="1690">
        <v>0</v>
      </c>
      <c r="L148" s="1690">
        <v>0</v>
      </c>
      <c r="M148" s="1690">
        <v>0</v>
      </c>
      <c r="N148" s="1690">
        <v>0</v>
      </c>
      <c r="O148" s="1690">
        <v>0</v>
      </c>
      <c r="P148" s="1690">
        <v>0</v>
      </c>
      <c r="Q148" s="1774">
        <v>0</v>
      </c>
      <c r="R148" s="1692">
        <f t="shared" si="44"/>
        <v>0</v>
      </c>
      <c r="S148" s="1693">
        <f t="shared" si="45"/>
        <v>0</v>
      </c>
      <c r="T148" s="1693">
        <f t="shared" si="46"/>
        <v>0</v>
      </c>
      <c r="U148" s="1693">
        <f t="shared" si="47"/>
        <v>0</v>
      </c>
      <c r="V148" s="1693">
        <f t="shared" si="56"/>
        <v>0</v>
      </c>
      <c r="W148" s="1694" t="e">
        <f t="shared" si="54"/>
        <v>#DIV/0!</v>
      </c>
      <c r="X148" s="1695"/>
    </row>
    <row r="149" spans="1:33">
      <c r="A149" s="1744" t="s">
        <v>540</v>
      </c>
      <c r="B149" s="1753"/>
      <c r="C149" s="1753" t="s">
        <v>541</v>
      </c>
      <c r="D149" s="1699"/>
      <c r="E149" s="1699"/>
      <c r="F149" s="1690">
        <f>+'Appui-Bud'!G9</f>
        <v>0</v>
      </c>
      <c r="G149" s="1690">
        <f>+'Appui-Bud'!H9</f>
        <v>0</v>
      </c>
      <c r="H149" s="1690">
        <f>+'Appui-Bud'!I9</f>
        <v>0</v>
      </c>
      <c r="I149" s="1690">
        <f>+'Appui-Bud'!J9</f>
        <v>0</v>
      </c>
      <c r="J149" s="1690">
        <f>+'Appui-Bud'!K9</f>
        <v>0</v>
      </c>
      <c r="K149" s="1690">
        <f>+'Appui-Bud'!L9</f>
        <v>0</v>
      </c>
      <c r="L149" s="1690">
        <f>+'Appui-Bud'!M9</f>
        <v>0</v>
      </c>
      <c r="M149" s="1690">
        <f>+'Appui-Bud'!N9</f>
        <v>0</v>
      </c>
      <c r="N149" s="1690">
        <f>+'Appui-Bud'!O9</f>
        <v>0</v>
      </c>
      <c r="O149" s="1690">
        <f>+'Appui-Bud'!P9</f>
        <v>0</v>
      </c>
      <c r="P149" s="1690">
        <f>+'Appui-Bud'!Q9</f>
        <v>0</v>
      </c>
      <c r="Q149" s="1690">
        <f>+'Appui-Bud'!R9</f>
        <v>0</v>
      </c>
      <c r="R149" s="1692">
        <f t="shared" si="44"/>
        <v>0</v>
      </c>
      <c r="S149" s="1693">
        <f t="shared" si="45"/>
        <v>0</v>
      </c>
      <c r="T149" s="1693">
        <f t="shared" si="46"/>
        <v>0</v>
      </c>
      <c r="U149" s="1693">
        <f t="shared" si="47"/>
        <v>0</v>
      </c>
      <c r="V149" s="1693">
        <f t="shared" si="56"/>
        <v>0</v>
      </c>
      <c r="W149" s="1694" t="e">
        <f t="shared" si="54"/>
        <v>#DIV/0!</v>
      </c>
      <c r="X149" s="1695"/>
    </row>
    <row r="150" spans="1:33">
      <c r="A150" s="1744" t="s">
        <v>544</v>
      </c>
      <c r="B150" s="1753"/>
      <c r="C150" s="1753" t="s">
        <v>545</v>
      </c>
      <c r="D150" s="1690">
        <v>0</v>
      </c>
      <c r="E150" s="1690">
        <v>0</v>
      </c>
      <c r="F150" s="1690">
        <v>0</v>
      </c>
      <c r="G150" s="1690">
        <v>0</v>
      </c>
      <c r="H150" s="1690">
        <v>0</v>
      </c>
      <c r="I150" s="1690">
        <v>0</v>
      </c>
      <c r="J150" s="1690">
        <v>0</v>
      </c>
      <c r="K150" s="1690">
        <v>0</v>
      </c>
      <c r="L150" s="1690">
        <v>0</v>
      </c>
      <c r="M150" s="1690">
        <v>0</v>
      </c>
      <c r="N150" s="1690">
        <v>0</v>
      </c>
      <c r="O150" s="1690">
        <v>0</v>
      </c>
      <c r="P150" s="1690">
        <v>0</v>
      </c>
      <c r="Q150" s="1774">
        <v>0</v>
      </c>
      <c r="R150" s="1692">
        <f t="shared" si="44"/>
        <v>0</v>
      </c>
      <c r="S150" s="1693">
        <f t="shared" si="45"/>
        <v>0</v>
      </c>
      <c r="T150" s="1693">
        <f t="shared" si="46"/>
        <v>0</v>
      </c>
      <c r="U150" s="1693">
        <f t="shared" si="47"/>
        <v>0</v>
      </c>
      <c r="V150" s="1693">
        <f t="shared" si="56"/>
        <v>0</v>
      </c>
      <c r="W150" s="1694" t="e">
        <f t="shared" si="54"/>
        <v>#DIV/0!</v>
      </c>
      <c r="X150" s="1695"/>
    </row>
    <row r="151" spans="1:33">
      <c r="A151" s="1744" t="s">
        <v>547</v>
      </c>
      <c r="B151" s="1753"/>
      <c r="C151" s="1753" t="s">
        <v>548</v>
      </c>
      <c r="D151" s="1690">
        <v>0</v>
      </c>
      <c r="E151" s="1690">
        <v>0</v>
      </c>
      <c r="F151" s="1690">
        <v>0</v>
      </c>
      <c r="G151" s="1690">
        <v>0</v>
      </c>
      <c r="H151" s="1690">
        <v>0</v>
      </c>
      <c r="I151" s="1690">
        <v>0</v>
      </c>
      <c r="J151" s="1690">
        <v>0</v>
      </c>
      <c r="K151" s="1690">
        <v>0</v>
      </c>
      <c r="L151" s="1690">
        <v>0</v>
      </c>
      <c r="M151" s="1690">
        <v>0</v>
      </c>
      <c r="N151" s="1690">
        <v>0</v>
      </c>
      <c r="O151" s="1690">
        <v>0</v>
      </c>
      <c r="P151" s="1690">
        <v>0</v>
      </c>
      <c r="Q151" s="1774">
        <v>0</v>
      </c>
      <c r="R151" s="1692">
        <f t="shared" si="44"/>
        <v>0</v>
      </c>
      <c r="S151" s="1693">
        <f t="shared" si="45"/>
        <v>0</v>
      </c>
      <c r="T151" s="1693">
        <f t="shared" si="46"/>
        <v>0</v>
      </c>
      <c r="U151" s="1693">
        <f t="shared" si="47"/>
        <v>0</v>
      </c>
      <c r="V151" s="1693">
        <f t="shared" si="56"/>
        <v>0</v>
      </c>
      <c r="W151" s="1694" t="e">
        <f t="shared" si="54"/>
        <v>#DIV/0!</v>
      </c>
      <c r="X151" s="1695"/>
    </row>
    <row r="152" spans="1:33">
      <c r="A152" s="1744" t="s">
        <v>550</v>
      </c>
      <c r="B152" s="1753"/>
      <c r="C152" s="1753" t="s">
        <v>551</v>
      </c>
      <c r="D152" s="1690">
        <v>0</v>
      </c>
      <c r="E152" s="1690">
        <v>0</v>
      </c>
      <c r="F152" s="1690">
        <v>0</v>
      </c>
      <c r="G152" s="1690">
        <v>0</v>
      </c>
      <c r="H152" s="1690">
        <v>0</v>
      </c>
      <c r="I152" s="1690">
        <v>0</v>
      </c>
      <c r="J152" s="1690">
        <v>0</v>
      </c>
      <c r="K152" s="1690">
        <v>0</v>
      </c>
      <c r="L152" s="1690">
        <v>0</v>
      </c>
      <c r="M152" s="1690">
        <v>0</v>
      </c>
      <c r="N152" s="1690">
        <v>0</v>
      </c>
      <c r="O152" s="1690">
        <v>0</v>
      </c>
      <c r="P152" s="1690">
        <v>0</v>
      </c>
      <c r="Q152" s="1774">
        <v>0</v>
      </c>
      <c r="R152" s="1692">
        <f t="shared" si="44"/>
        <v>0</v>
      </c>
      <c r="S152" s="1693">
        <f t="shared" si="45"/>
        <v>0</v>
      </c>
      <c r="T152" s="1693">
        <f t="shared" si="46"/>
        <v>0</v>
      </c>
      <c r="U152" s="1693">
        <f t="shared" si="47"/>
        <v>0</v>
      </c>
      <c r="V152" s="1693">
        <f t="shared" si="56"/>
        <v>0</v>
      </c>
      <c r="W152" s="1694" t="e">
        <f t="shared" si="54"/>
        <v>#DIV/0!</v>
      </c>
      <c r="X152" s="1695"/>
    </row>
    <row r="153" spans="1:33">
      <c r="A153" s="1687" t="s">
        <v>676</v>
      </c>
      <c r="B153" s="1775"/>
      <c r="C153" s="1776" t="s">
        <v>677</v>
      </c>
      <c r="D153" s="1690">
        <f t="shared" ref="D153:Q153" si="58">D6-D125</f>
        <v>0</v>
      </c>
      <c r="E153" s="1690">
        <f t="shared" si="58"/>
        <v>0</v>
      </c>
      <c r="F153" s="1690">
        <f t="shared" si="58"/>
        <v>-1478176.4220196791</v>
      </c>
      <c r="G153" s="1690">
        <f t="shared" si="58"/>
        <v>-4689276.2553126486</v>
      </c>
      <c r="H153" s="1690">
        <f t="shared" si="58"/>
        <v>-9035517.7029564939</v>
      </c>
      <c r="I153" s="1690">
        <f t="shared" si="58"/>
        <v>-5356066.7281238846</v>
      </c>
      <c r="J153" s="1690">
        <f t="shared" si="58"/>
        <v>2334728.4918350009</v>
      </c>
      <c r="K153" s="1690">
        <f t="shared" si="58"/>
        <v>487367.24235557765</v>
      </c>
      <c r="L153" s="1690">
        <f t="shared" si="58"/>
        <v>2453433.962952001</v>
      </c>
      <c r="M153" s="1690">
        <f t="shared" si="58"/>
        <v>-3934555.1249599997</v>
      </c>
      <c r="N153" s="1690">
        <f t="shared" si="58"/>
        <v>-12838679.6690851</v>
      </c>
      <c r="O153" s="1690">
        <f t="shared" si="58"/>
        <v>2927549.646385001</v>
      </c>
      <c r="P153" s="1690">
        <f t="shared" si="58"/>
        <v>-3587362.5515251989</v>
      </c>
      <c r="Q153" s="1690">
        <f t="shared" si="58"/>
        <v>-3104863.072951939</v>
      </c>
      <c r="R153" s="1692">
        <f>SUM(F153:Q153)</f>
        <v>-35821418.183407366</v>
      </c>
      <c r="S153" s="1693">
        <f t="shared" ref="S153:S184" si="59">SUM(F153:H153)</f>
        <v>-15202970.380288821</v>
      </c>
      <c r="T153" s="1693">
        <f t="shared" ref="T153:T174" si="60">SUM(F153:K153)</f>
        <v>-17736941.374222126</v>
      </c>
      <c r="U153" s="1693">
        <f t="shared" ref="U153:U165" si="61">SUM(F153:N153)</f>
        <v>-32056742.205315225</v>
      </c>
      <c r="V153" s="1693">
        <f t="shared" si="56"/>
        <v>-35821418.183407366</v>
      </c>
      <c r="W153" s="1694" t="e">
        <f t="shared" si="54"/>
        <v>#DIV/0!</v>
      </c>
      <c r="X153" s="1695">
        <f>R153/$X$1*100/1000</f>
        <v>-4.4148212553035364</v>
      </c>
      <c r="AA153" s="1696"/>
    </row>
    <row r="154" spans="1:33">
      <c r="A154" s="1777" t="s">
        <v>678</v>
      </c>
      <c r="B154" s="1753"/>
      <c r="C154" s="1753" t="s">
        <v>556</v>
      </c>
      <c r="D154" s="1690">
        <f t="shared" ref="D154:Q154" si="62">D153-D86-D96</f>
        <v>0</v>
      </c>
      <c r="E154" s="1690">
        <f t="shared" si="62"/>
        <v>0</v>
      </c>
      <c r="F154" s="1690">
        <f t="shared" si="62"/>
        <v>-2056952.0930196792</v>
      </c>
      <c r="G154" s="1690">
        <f t="shared" si="62"/>
        <v>-4988049.1963126482</v>
      </c>
      <c r="H154" s="1690">
        <f t="shared" si="62"/>
        <v>-9135844.3759564944</v>
      </c>
      <c r="I154" s="1690">
        <f t="shared" si="62"/>
        <v>-5605853.5981238848</v>
      </c>
      <c r="J154" s="1690">
        <f t="shared" si="62"/>
        <v>2111500.2038350007</v>
      </c>
      <c r="K154" s="1690">
        <f t="shared" si="62"/>
        <v>-257004.27764442237</v>
      </c>
      <c r="L154" s="1690">
        <f t="shared" si="62"/>
        <v>1580031.2699520011</v>
      </c>
      <c r="M154" s="1690">
        <f t="shared" si="62"/>
        <v>-4306688.2679599999</v>
      </c>
      <c r="N154" s="1690">
        <f t="shared" si="62"/>
        <v>-13165031.831085101</v>
      </c>
      <c r="O154" s="1690">
        <f t="shared" si="62"/>
        <v>-4787906.484614999</v>
      </c>
      <c r="P154" s="1690">
        <f t="shared" si="62"/>
        <v>-5527062.9255251987</v>
      </c>
      <c r="Q154" s="1690">
        <f t="shared" si="62"/>
        <v>-5083562.4459519386</v>
      </c>
      <c r="R154" s="1692">
        <f t="shared" ref="R154:R184" si="63">SUM(F154:Q154)</f>
        <v>-51222424.02240736</v>
      </c>
      <c r="S154" s="1693">
        <f t="shared" si="59"/>
        <v>-16180845.665288821</v>
      </c>
      <c r="T154" s="1693">
        <f t="shared" si="60"/>
        <v>-19932203.337222129</v>
      </c>
      <c r="U154" s="1693">
        <f t="shared" si="61"/>
        <v>-35823892.166315228</v>
      </c>
      <c r="V154" s="1693">
        <f t="shared" si="56"/>
        <v>-51222424.02240736</v>
      </c>
      <c r="W154" s="1694" t="e">
        <f t="shared" si="54"/>
        <v>#DIV/0!</v>
      </c>
      <c r="X154" s="1695">
        <f>R154/$X$1*100/1000</f>
        <v>-6.3129227649351556</v>
      </c>
    </row>
    <row r="155" spans="1:33">
      <c r="A155" s="1778" t="s">
        <v>679</v>
      </c>
      <c r="B155" s="1779"/>
      <c r="C155" s="1779" t="s">
        <v>679</v>
      </c>
      <c r="D155" s="1732">
        <f t="shared" ref="D155:Q155" si="64">D6-D116-D125</f>
        <v>0</v>
      </c>
      <c r="E155" s="1732">
        <f t="shared" si="64"/>
        <v>0</v>
      </c>
      <c r="F155" s="1732">
        <f t="shared" si="64"/>
        <v>-1478176.4220196791</v>
      </c>
      <c r="G155" s="1732">
        <f t="shared" si="64"/>
        <v>-6398262.8913126485</v>
      </c>
      <c r="H155" s="1732">
        <f t="shared" si="64"/>
        <v>-15387185.337956494</v>
      </c>
      <c r="I155" s="1732">
        <f t="shared" si="64"/>
        <v>-5356066.7281238846</v>
      </c>
      <c r="J155" s="1732">
        <f t="shared" si="64"/>
        <v>2334728.4918350009</v>
      </c>
      <c r="K155" s="1732">
        <f t="shared" si="64"/>
        <v>-5629615.4766444229</v>
      </c>
      <c r="L155" s="1732">
        <f t="shared" si="64"/>
        <v>2453433.962952001</v>
      </c>
      <c r="M155" s="1732">
        <f t="shared" si="64"/>
        <v>-3934555.1249599997</v>
      </c>
      <c r="N155" s="1732">
        <f t="shared" si="64"/>
        <v>-18671294.049085099</v>
      </c>
      <c r="O155" s="1732">
        <f t="shared" si="64"/>
        <v>2927549.646385001</v>
      </c>
      <c r="P155" s="1732">
        <f t="shared" si="64"/>
        <v>-3752362.5515251989</v>
      </c>
      <c r="Q155" s="1732">
        <f t="shared" si="64"/>
        <v>-7294188.5929519385</v>
      </c>
      <c r="R155" s="1692">
        <f t="shared" si="63"/>
        <v>-60185995.073407359</v>
      </c>
      <c r="S155" s="1702">
        <f t="shared" si="59"/>
        <v>-23263624.651288822</v>
      </c>
      <c r="T155" s="1702">
        <f t="shared" si="60"/>
        <v>-31914578.364222128</v>
      </c>
      <c r="U155" s="1702">
        <f t="shared" si="61"/>
        <v>-52066993.575315222</v>
      </c>
      <c r="V155" s="1702">
        <f t="shared" si="56"/>
        <v>-60185995.073407359</v>
      </c>
      <c r="W155" s="1694" t="e">
        <f t="shared" si="54"/>
        <v>#DIV/0!</v>
      </c>
      <c r="X155" s="1695">
        <f>R155/$X$1*100/1000</f>
        <v>-7.4176407243628049</v>
      </c>
    </row>
    <row r="156" spans="1:33">
      <c r="A156" s="1778" t="s">
        <v>680</v>
      </c>
      <c r="B156" s="1780"/>
      <c r="C156" s="1781" t="s">
        <v>680</v>
      </c>
      <c r="D156" s="1732">
        <f>D6-D116-D127+D133</f>
        <v>0</v>
      </c>
      <c r="E156" s="1732">
        <f>E6-E116-E127+E133</f>
        <v>0</v>
      </c>
      <c r="F156" s="1732">
        <f t="shared" ref="F156:Q156" si="65">F7-F127+F133</f>
        <v>-1205924.3399999992</v>
      </c>
      <c r="G156" s="1732">
        <f t="shared" si="65"/>
        <v>-5303482.8999999985</v>
      </c>
      <c r="H156" s="1732">
        <f t="shared" si="65"/>
        <v>-5279043.4920000033</v>
      </c>
      <c r="I156" s="1732">
        <f t="shared" si="65"/>
        <v>-2955347.7837499999</v>
      </c>
      <c r="J156" s="1732">
        <f t="shared" si="65"/>
        <v>2387101.392500001</v>
      </c>
      <c r="K156" s="1732">
        <f t="shared" si="65"/>
        <v>3869637.1549999993</v>
      </c>
      <c r="L156" s="1732">
        <f t="shared" si="65"/>
        <v>3396273.5370000009</v>
      </c>
      <c r="M156" s="1732">
        <f t="shared" si="65"/>
        <v>-3067015.2359599997</v>
      </c>
      <c r="N156" s="1732">
        <f t="shared" si="65"/>
        <v>-3421637.0319999987</v>
      </c>
      <c r="O156" s="1732">
        <f t="shared" si="65"/>
        <v>4140263.1830000011</v>
      </c>
      <c r="P156" s="1732">
        <f t="shared" si="65"/>
        <v>-3450082.3979999991</v>
      </c>
      <c r="Q156" s="1732">
        <f t="shared" si="65"/>
        <v>-2601433.2839999986</v>
      </c>
      <c r="R156" s="1692">
        <f t="shared" si="63"/>
        <v>-13490691.198209995</v>
      </c>
      <c r="S156" s="1702">
        <f t="shared" si="59"/>
        <v>-11788450.732000001</v>
      </c>
      <c r="T156" s="1702">
        <f t="shared" si="60"/>
        <v>-8487059.9682500008</v>
      </c>
      <c r="U156" s="1702">
        <f t="shared" si="61"/>
        <v>-11579438.699209999</v>
      </c>
      <c r="V156" s="1702">
        <f t="shared" si="56"/>
        <v>-13490691.198209995</v>
      </c>
      <c r="W156" s="1694" t="e">
        <f t="shared" si="54"/>
        <v>#DIV/0!</v>
      </c>
      <c r="X156" s="1695">
        <f>R156/$X$1*100/1000</f>
        <v>-1.662664217972861</v>
      </c>
    </row>
    <row r="157" spans="1:33">
      <c r="A157" s="1778" t="s">
        <v>681</v>
      </c>
      <c r="B157" s="1780"/>
      <c r="C157" s="1781" t="s">
        <v>2214</v>
      </c>
      <c r="D157" s="1699">
        <f>D7-D126+D141</f>
        <v>0</v>
      </c>
      <c r="E157" s="1699">
        <f>E7-E126+E141</f>
        <v>0</v>
      </c>
      <c r="F157" s="1699">
        <f t="shared" ref="F157:Q157" si="66">F7-F127+F141</f>
        <v>-1418176.4220196791</v>
      </c>
      <c r="G157" s="1699">
        <f t="shared" si="66"/>
        <v>-4869780.8913126485</v>
      </c>
      <c r="H157" s="1699">
        <f t="shared" si="66"/>
        <v>-5486356.6619564928</v>
      </c>
      <c r="I157" s="1699">
        <f t="shared" si="66"/>
        <v>-5272814.7281238846</v>
      </c>
      <c r="J157" s="1699">
        <f t="shared" si="66"/>
        <v>2334728.4918350009</v>
      </c>
      <c r="K157" s="1699">
        <f t="shared" si="66"/>
        <v>3107903.7509155795</v>
      </c>
      <c r="L157" s="1699">
        <f t="shared" si="66"/>
        <v>2453433.962952001</v>
      </c>
      <c r="M157" s="1699">
        <f t="shared" si="66"/>
        <v>-3300623.1249599997</v>
      </c>
      <c r="N157" s="1699">
        <f t="shared" si="66"/>
        <v>-3433154.354085099</v>
      </c>
      <c r="O157" s="1699">
        <f t="shared" si="66"/>
        <v>3185549.646385001</v>
      </c>
      <c r="P157" s="1699">
        <f t="shared" si="66"/>
        <v>-3752362.5515251989</v>
      </c>
      <c r="Q157" s="1699">
        <f t="shared" si="66"/>
        <v>-3064697.3729519388</v>
      </c>
      <c r="R157" s="1692">
        <f t="shared" si="63"/>
        <v>-19516350.254847359</v>
      </c>
      <c r="S157" s="1702">
        <f t="shared" si="59"/>
        <v>-11774313.97528882</v>
      </c>
      <c r="T157" s="1702">
        <f t="shared" si="60"/>
        <v>-11604496.460662123</v>
      </c>
      <c r="U157" s="1702">
        <f t="shared" si="61"/>
        <v>-15884839.97675522</v>
      </c>
      <c r="V157" s="1702">
        <f t="shared" si="56"/>
        <v>-19516350.254847359</v>
      </c>
      <c r="W157" s="1694" t="e">
        <f t="shared" si="54"/>
        <v>#DIV/0!</v>
      </c>
      <c r="X157" s="1695">
        <f>R157/$X$1*100/1000</f>
        <v>-2.4052983466455533</v>
      </c>
    </row>
    <row r="158" spans="1:33">
      <c r="A158" s="1778"/>
      <c r="B158" s="1782"/>
      <c r="C158" s="1782" t="s">
        <v>2213</v>
      </c>
      <c r="D158" s="1783">
        <f t="shared" ref="D158:Q158" si="67">D7-D127-D141+D122</f>
        <v>0</v>
      </c>
      <c r="E158" s="1783">
        <f t="shared" si="67"/>
        <v>0</v>
      </c>
      <c r="F158" s="1783">
        <f t="shared" si="67"/>
        <v>-1478176.4220196791</v>
      </c>
      <c r="G158" s="1783">
        <f t="shared" si="67"/>
        <v>-4689276.2553126486</v>
      </c>
      <c r="H158" s="1783">
        <f t="shared" si="67"/>
        <v>-5486356.6619564928</v>
      </c>
      <c r="I158" s="1783">
        <f t="shared" si="67"/>
        <v>-5356066.7281238846</v>
      </c>
      <c r="J158" s="1783">
        <f t="shared" si="67"/>
        <v>2334728.4918350009</v>
      </c>
      <c r="K158" s="1783">
        <f t="shared" si="67"/>
        <v>3107903.7509155795</v>
      </c>
      <c r="L158" s="1783">
        <f t="shared" si="67"/>
        <v>2453433.962952001</v>
      </c>
      <c r="M158" s="1783">
        <f t="shared" si="67"/>
        <v>-3934555.1249599997</v>
      </c>
      <c r="N158" s="1783">
        <f t="shared" si="67"/>
        <v>-4415904.354085099</v>
      </c>
      <c r="O158" s="1783">
        <f t="shared" si="67"/>
        <v>2927549.646385001</v>
      </c>
      <c r="P158" s="1783">
        <f t="shared" si="67"/>
        <v>-3587362.5515251989</v>
      </c>
      <c r="Q158" s="1783">
        <f t="shared" si="67"/>
        <v>-3104697.3729519388</v>
      </c>
      <c r="R158" s="1692">
        <f t="shared" si="63"/>
        <v>-21228779.618847359</v>
      </c>
      <c r="S158" s="1702">
        <f t="shared" si="59"/>
        <v>-11653809.33928882</v>
      </c>
      <c r="T158" s="1702">
        <f t="shared" si="60"/>
        <v>-11567243.824662123</v>
      </c>
      <c r="U158" s="1702">
        <f t="shared" si="61"/>
        <v>-17464269.340755221</v>
      </c>
      <c r="V158" s="1702">
        <f t="shared" si="56"/>
        <v>-21228779.618847359</v>
      </c>
      <c r="W158" s="1694" t="e">
        <f t="shared" si="54"/>
        <v>#DIV/0!</v>
      </c>
      <c r="X158" s="1695"/>
      <c r="Y158" s="1665"/>
      <c r="Z158" s="1665"/>
      <c r="AA158" s="1665"/>
      <c r="AB158" s="1665"/>
      <c r="AC158" s="1665"/>
      <c r="AD158" s="1665"/>
      <c r="AE158" s="1665"/>
      <c r="AF158" s="1665"/>
      <c r="AG158" s="1665"/>
    </row>
    <row r="159" spans="1:33">
      <c r="A159" s="1778"/>
      <c r="B159" s="1784"/>
      <c r="C159" s="1784"/>
      <c r="D159" s="1699"/>
      <c r="E159" s="1699"/>
      <c r="F159" s="1699"/>
      <c r="G159" s="1699"/>
      <c r="H159" s="1699"/>
      <c r="I159" s="1699"/>
      <c r="J159" s="1699"/>
      <c r="K159" s="1699"/>
      <c r="L159" s="1699"/>
      <c r="M159" s="1699"/>
      <c r="N159" s="1699"/>
      <c r="O159" s="1699"/>
      <c r="P159" s="1699"/>
      <c r="Q159" s="1699"/>
      <c r="R159" s="1692">
        <f t="shared" si="63"/>
        <v>0</v>
      </c>
      <c r="S159" s="1702">
        <f t="shared" si="59"/>
        <v>0</v>
      </c>
      <c r="T159" s="1702">
        <f t="shared" si="60"/>
        <v>0</v>
      </c>
      <c r="U159" s="1702">
        <f t="shared" si="61"/>
        <v>0</v>
      </c>
      <c r="V159" s="1702">
        <f t="shared" si="56"/>
        <v>0</v>
      </c>
      <c r="W159" s="1694" t="e">
        <f t="shared" si="54"/>
        <v>#DIV/0!</v>
      </c>
      <c r="X159" s="1695"/>
    </row>
    <row r="160" spans="1:33">
      <c r="A160" s="1687" t="s">
        <v>182</v>
      </c>
      <c r="B160" s="1785"/>
      <c r="C160" s="1785" t="s">
        <v>682</v>
      </c>
      <c r="D160" s="1690">
        <f>D161+D163</f>
        <v>0</v>
      </c>
      <c r="E160" s="1690">
        <f>E161</f>
        <v>0</v>
      </c>
      <c r="F160" s="1690">
        <f>+F161+F178</f>
        <v>-1325104.6641299999</v>
      </c>
      <c r="G160" s="1690">
        <f>+G161+G178</f>
        <v>-528179.19999999995</v>
      </c>
      <c r="H160" s="1690">
        <f>+H161+H178</f>
        <v>-795302.07799999998</v>
      </c>
      <c r="I160" s="1690">
        <f>+I161+I178</f>
        <v>-175124</v>
      </c>
      <c r="J160" s="1690">
        <f>+J161+J178</f>
        <v>-15207.615</v>
      </c>
      <c r="K160" s="1690">
        <f t="shared" ref="K160:Q160" si="68">K161+K178</f>
        <v>106440.61356</v>
      </c>
      <c r="L160" s="1690">
        <f t="shared" si="68"/>
        <v>-222121.48095200001</v>
      </c>
      <c r="M160" s="1690">
        <f t="shared" si="68"/>
        <v>-11660.5</v>
      </c>
      <c r="N160" s="1690">
        <f>N161+N178</f>
        <v>-27317.892000000007</v>
      </c>
      <c r="O160" s="1690">
        <f t="shared" si="68"/>
        <v>430301.21499999997</v>
      </c>
      <c r="P160" s="1690">
        <f t="shared" si="68"/>
        <v>-84743.602948</v>
      </c>
      <c r="Q160" s="1690">
        <f t="shared" si="68"/>
        <v>12186421.632951751</v>
      </c>
      <c r="R160" s="1692">
        <f t="shared" si="63"/>
        <v>9538402.4284817502</v>
      </c>
      <c r="S160" s="1693">
        <f t="shared" si="59"/>
        <v>-2648585.9421299999</v>
      </c>
      <c r="T160" s="1693">
        <f t="shared" si="60"/>
        <v>-2732476.9435700001</v>
      </c>
      <c r="U160" s="1693">
        <f t="shared" si="61"/>
        <v>-2993576.8165220004</v>
      </c>
      <c r="V160" s="1693">
        <f t="shared" si="56"/>
        <v>9538402.4284817502</v>
      </c>
      <c r="W160" s="1694" t="e">
        <f t="shared" si="54"/>
        <v>#DIV/0!</v>
      </c>
      <c r="X160" s="1695">
        <f>R160/$X$1*100/1000</f>
        <v>1.1755632221843688</v>
      </c>
    </row>
    <row r="161" spans="1:256">
      <c r="A161" s="1744" t="s">
        <v>560</v>
      </c>
      <c r="B161" s="1745"/>
      <c r="C161" s="1745" t="s">
        <v>561</v>
      </c>
      <c r="D161" s="1699"/>
      <c r="E161" s="1699">
        <f>E162+E176</f>
        <v>0</v>
      </c>
      <c r="F161" s="1699">
        <f>F162+F176</f>
        <v>-1325104.6641299999</v>
      </c>
      <c r="G161" s="1699">
        <f t="shared" ref="G161:L161" si="69">+G162+G176</f>
        <v>-528179.19999999995</v>
      </c>
      <c r="H161" s="1699">
        <f t="shared" si="69"/>
        <v>-795302.07799999998</v>
      </c>
      <c r="I161" s="1699">
        <f t="shared" si="69"/>
        <v>-175124</v>
      </c>
      <c r="J161" s="1699">
        <f t="shared" si="69"/>
        <v>-15207.615</v>
      </c>
      <c r="K161" s="1699">
        <f t="shared" si="69"/>
        <v>106440.61356</v>
      </c>
      <c r="L161" s="1699">
        <f t="shared" si="69"/>
        <v>-222121.48095200001</v>
      </c>
      <c r="M161" s="1699">
        <f>M162+M176</f>
        <v>-11660.5</v>
      </c>
      <c r="N161" s="1699">
        <f>N162+N176</f>
        <v>-27317.892000000007</v>
      </c>
      <c r="O161" s="1699">
        <f>+O162+O176</f>
        <v>430301.21499999997</v>
      </c>
      <c r="P161" s="1699">
        <f>+P162+P176</f>
        <v>-84743.602948</v>
      </c>
      <c r="Q161" s="1699">
        <f>Q162+Q176</f>
        <v>249243.61695174998</v>
      </c>
      <c r="R161" s="1736">
        <f t="shared" si="63"/>
        <v>-2398775.5875182506</v>
      </c>
      <c r="S161" s="1702">
        <f t="shared" si="59"/>
        <v>-2648585.9421299999</v>
      </c>
      <c r="T161" s="1702">
        <f t="shared" si="60"/>
        <v>-2732476.9435700001</v>
      </c>
      <c r="U161" s="1702">
        <f t="shared" si="61"/>
        <v>-2993576.8165220004</v>
      </c>
      <c r="V161" s="1702">
        <f t="shared" si="56"/>
        <v>-2398775.5875182506</v>
      </c>
      <c r="W161" s="1694" t="e">
        <f t="shared" si="54"/>
        <v>#DIV/0!</v>
      </c>
      <c r="X161" s="1695">
        <f>R161/$X$1*100/1000</f>
        <v>-0.29563780518841126</v>
      </c>
    </row>
    <row r="162" spans="1:256">
      <c r="A162" s="1744" t="s">
        <v>683</v>
      </c>
      <c r="B162" s="1745"/>
      <c r="C162" s="1745" t="s">
        <v>684</v>
      </c>
      <c r="D162" s="1699">
        <v>0</v>
      </c>
      <c r="E162" s="1699">
        <v>0</v>
      </c>
      <c r="F162" s="1699">
        <f>F165+F166</f>
        <v>-1313866.4569999999</v>
      </c>
      <c r="G162" s="1699">
        <f t="shared" ref="G162:Q162" si="70">G165+G166</f>
        <v>-528179.19999999995</v>
      </c>
      <c r="H162" s="1699">
        <f t="shared" si="70"/>
        <v>-795302.07799999998</v>
      </c>
      <c r="I162" s="1699">
        <f t="shared" si="70"/>
        <v>-175124</v>
      </c>
      <c r="J162" s="1699">
        <f t="shared" si="70"/>
        <v>-15207.615</v>
      </c>
      <c r="K162" s="1699">
        <f t="shared" si="70"/>
        <v>-174165.541</v>
      </c>
      <c r="L162" s="1699">
        <f t="shared" si="70"/>
        <v>-400180.66600000003</v>
      </c>
      <c r="M162" s="1699">
        <f t="shared" si="70"/>
        <v>-11660.5</v>
      </c>
      <c r="N162" s="1699">
        <f t="shared" si="70"/>
        <v>-62337.308000000005</v>
      </c>
      <c r="O162" s="1699">
        <f>O165+O166</f>
        <v>-207931.71600000001</v>
      </c>
      <c r="P162" s="1699">
        <f>P165+P166</f>
        <v>-111374.527</v>
      </c>
      <c r="Q162" s="1699">
        <f t="shared" si="70"/>
        <v>-71585.241000000009</v>
      </c>
      <c r="R162" s="1736">
        <f t="shared" si="63"/>
        <v>-3866914.8490000009</v>
      </c>
      <c r="S162" s="1702">
        <f t="shared" si="59"/>
        <v>-2637347.7349999999</v>
      </c>
      <c r="T162" s="1702">
        <f t="shared" si="60"/>
        <v>-3001844.8910000003</v>
      </c>
      <c r="U162" s="1702">
        <f t="shared" si="61"/>
        <v>-3476023.3650000007</v>
      </c>
      <c r="V162" s="1702">
        <f t="shared" si="56"/>
        <v>-3866914.8490000009</v>
      </c>
      <c r="W162" s="1694" t="e">
        <f t="shared" si="54"/>
        <v>#DIV/0!</v>
      </c>
      <c r="X162" s="1695">
        <f>R162/$X$1*100/1000</f>
        <v>-0.4765790617335684</v>
      </c>
    </row>
    <row r="163" spans="1:256">
      <c r="A163" s="1703" t="s">
        <v>566</v>
      </c>
      <c r="B163" s="1753"/>
      <c r="C163" s="1753" t="s">
        <v>567</v>
      </c>
      <c r="D163" s="1699">
        <v>0</v>
      </c>
      <c r="E163" s="1699">
        <v>0</v>
      </c>
      <c r="F163" s="1699"/>
      <c r="G163" s="1699"/>
      <c r="H163" s="1699"/>
      <c r="I163" s="1699"/>
      <c r="J163" s="1699"/>
      <c r="K163" s="1699"/>
      <c r="L163" s="1699"/>
      <c r="M163" s="1699"/>
      <c r="N163" s="1699"/>
      <c r="O163" s="1699"/>
      <c r="P163" s="1699"/>
      <c r="Q163" s="1699"/>
      <c r="R163" s="1736">
        <f t="shared" si="63"/>
        <v>0</v>
      </c>
      <c r="S163" s="1702">
        <f t="shared" si="59"/>
        <v>0</v>
      </c>
      <c r="T163" s="1702">
        <f t="shared" si="60"/>
        <v>0</v>
      </c>
      <c r="U163" s="1702">
        <f t="shared" si="61"/>
        <v>0</v>
      </c>
      <c r="V163" s="1702">
        <f t="shared" si="56"/>
        <v>0</v>
      </c>
      <c r="W163" s="1694" t="e">
        <f t="shared" si="54"/>
        <v>#DIV/0!</v>
      </c>
      <c r="X163" s="1695"/>
    </row>
    <row r="164" spans="1:256">
      <c r="A164" s="1703" t="s">
        <v>579</v>
      </c>
      <c r="B164" s="1753"/>
      <c r="C164" s="1753" t="s">
        <v>537</v>
      </c>
      <c r="D164" s="1699"/>
      <c r="E164" s="1699"/>
      <c r="F164" s="1699"/>
      <c r="G164" s="1699"/>
      <c r="H164" s="1699"/>
      <c r="I164" s="1699"/>
      <c r="J164" s="1699"/>
      <c r="K164" s="1699"/>
      <c r="L164" s="1699"/>
      <c r="M164" s="1699"/>
      <c r="N164" s="1699"/>
      <c r="O164" s="1699"/>
      <c r="P164" s="1699"/>
      <c r="Q164" s="1699"/>
      <c r="R164" s="1692">
        <f t="shared" si="63"/>
        <v>0</v>
      </c>
      <c r="S164" s="1702">
        <f t="shared" si="59"/>
        <v>0</v>
      </c>
      <c r="T164" s="1702">
        <f t="shared" si="60"/>
        <v>0</v>
      </c>
      <c r="U164" s="1702">
        <f t="shared" si="61"/>
        <v>0</v>
      </c>
      <c r="V164" s="1702">
        <f t="shared" si="56"/>
        <v>0</v>
      </c>
      <c r="W164" s="1702">
        <f t="shared" ref="W164:Y165" si="71">SUM(J164:L164)</f>
        <v>0</v>
      </c>
      <c r="X164" s="1702">
        <f t="shared" si="71"/>
        <v>0</v>
      </c>
      <c r="Y164" s="1702">
        <f t="shared" si="71"/>
        <v>0</v>
      </c>
      <c r="Z164" s="1786"/>
      <c r="AA164" s="1786"/>
      <c r="AB164" s="1786"/>
      <c r="AC164" s="1786"/>
      <c r="AD164" s="1786"/>
      <c r="AE164" s="1786"/>
      <c r="AF164" s="1786"/>
      <c r="AG164" s="1786"/>
      <c r="AH164" s="1786"/>
      <c r="AI164" s="1786"/>
      <c r="AJ164" s="1786"/>
      <c r="AK164" s="1786"/>
      <c r="AL164" s="1786"/>
      <c r="AM164" s="1786"/>
      <c r="AN164" s="1786"/>
      <c r="AO164" s="1786"/>
      <c r="AP164" s="1786"/>
      <c r="AQ164" s="1786"/>
      <c r="AR164" s="1786"/>
      <c r="AS164" s="1786"/>
      <c r="AT164" s="1786"/>
      <c r="AU164" s="1786"/>
      <c r="AV164" s="1786"/>
      <c r="AW164" s="1786"/>
      <c r="AX164" s="1786"/>
      <c r="AY164" s="1786"/>
      <c r="AZ164" s="1786"/>
      <c r="BA164" s="1786"/>
      <c r="BB164" s="1786"/>
      <c r="BC164" s="1786"/>
      <c r="BD164" s="1786"/>
      <c r="BE164" s="1786"/>
      <c r="BF164" s="1786"/>
      <c r="BG164" s="1786"/>
      <c r="BH164" s="1786"/>
      <c r="BI164" s="1786"/>
      <c r="BJ164" s="1786"/>
      <c r="BK164" s="1786"/>
      <c r="BL164" s="1786"/>
      <c r="BM164" s="1786"/>
      <c r="BN164" s="1786"/>
      <c r="BO164" s="1786"/>
      <c r="BP164" s="1786"/>
      <c r="BQ164" s="1786"/>
      <c r="BR164" s="1786"/>
      <c r="BS164" s="1786"/>
      <c r="BT164" s="1786"/>
      <c r="BU164" s="1786"/>
      <c r="BV164" s="1786"/>
      <c r="BW164" s="1786"/>
      <c r="BX164" s="1786"/>
      <c r="BY164" s="1786"/>
      <c r="BZ164" s="1786"/>
      <c r="CA164" s="1786"/>
      <c r="CB164" s="1786"/>
      <c r="CC164" s="1786"/>
      <c r="CD164" s="1786"/>
      <c r="CE164" s="1786"/>
      <c r="CF164" s="1786"/>
      <c r="CG164" s="1786"/>
      <c r="CH164" s="1786"/>
      <c r="CI164" s="1786"/>
      <c r="CJ164" s="1786"/>
      <c r="CK164" s="1786"/>
      <c r="CL164" s="1786"/>
      <c r="CM164" s="1786"/>
      <c r="CN164" s="1786"/>
      <c r="CO164" s="1786"/>
      <c r="CP164" s="1786"/>
      <c r="CQ164" s="1786"/>
      <c r="CR164" s="1786"/>
      <c r="CS164" s="1786"/>
      <c r="CT164" s="1786"/>
      <c r="CU164" s="1786"/>
      <c r="CV164" s="1786"/>
      <c r="CW164" s="1786"/>
      <c r="CX164" s="1786"/>
      <c r="CY164" s="1786"/>
      <c r="CZ164" s="1786"/>
      <c r="DA164" s="1786"/>
      <c r="DB164" s="1786"/>
      <c r="DC164" s="1786"/>
      <c r="DD164" s="1786"/>
      <c r="DE164" s="1786"/>
      <c r="DF164" s="1786"/>
      <c r="DG164" s="1786"/>
      <c r="DH164" s="1786"/>
      <c r="DI164" s="1786"/>
      <c r="DJ164" s="1786"/>
      <c r="DK164" s="1786"/>
      <c r="DL164" s="1786"/>
      <c r="DM164" s="1786"/>
      <c r="DN164" s="1786"/>
      <c r="DO164" s="1786"/>
      <c r="DP164" s="1786"/>
      <c r="DQ164" s="1786"/>
      <c r="DR164" s="1786"/>
      <c r="DS164" s="1786"/>
      <c r="DT164" s="1786"/>
      <c r="DU164" s="1786"/>
      <c r="DV164" s="1786"/>
      <c r="DW164" s="1786"/>
      <c r="DX164" s="1786"/>
      <c r="DY164" s="1786"/>
      <c r="DZ164" s="1786"/>
      <c r="EA164" s="1786"/>
      <c r="EB164" s="1786"/>
      <c r="EC164" s="1786"/>
      <c r="ED164" s="1786"/>
      <c r="EE164" s="1786"/>
      <c r="EF164" s="1786"/>
      <c r="EG164" s="1786"/>
      <c r="EH164" s="1786"/>
      <c r="EI164" s="1786"/>
      <c r="EJ164" s="1786"/>
      <c r="EK164" s="1786"/>
      <c r="EL164" s="1786"/>
      <c r="EM164" s="1786"/>
      <c r="EN164" s="1786"/>
      <c r="EO164" s="1786"/>
      <c r="EP164" s="1786"/>
      <c r="EQ164" s="1786"/>
      <c r="ER164" s="1786"/>
      <c r="ES164" s="1786"/>
      <c r="ET164" s="1786"/>
      <c r="EU164" s="1786"/>
      <c r="EV164" s="1786"/>
      <c r="EW164" s="1786"/>
      <c r="EX164" s="1786"/>
      <c r="EY164" s="1786"/>
      <c r="EZ164" s="1786"/>
      <c r="FA164" s="1786"/>
      <c r="FB164" s="1786"/>
      <c r="FC164" s="1786"/>
      <c r="FD164" s="1786"/>
      <c r="FE164" s="1786"/>
      <c r="FF164" s="1786"/>
      <c r="FG164" s="1786"/>
      <c r="FH164" s="1786"/>
      <c r="FI164" s="1786"/>
      <c r="FJ164" s="1786"/>
      <c r="FK164" s="1786"/>
      <c r="FL164" s="1786"/>
      <c r="FM164" s="1786"/>
      <c r="FN164" s="1786"/>
      <c r="FO164" s="1786"/>
      <c r="FP164" s="1786"/>
      <c r="FQ164" s="1786"/>
      <c r="FR164" s="1786"/>
      <c r="FS164" s="1786"/>
      <c r="FT164" s="1786"/>
      <c r="FU164" s="1786"/>
      <c r="FV164" s="1786"/>
      <c r="FW164" s="1786"/>
      <c r="FX164" s="1786"/>
      <c r="FY164" s="1786"/>
      <c r="FZ164" s="1786"/>
      <c r="GA164" s="1786"/>
      <c r="GB164" s="1786"/>
      <c r="GC164" s="1786"/>
      <c r="GD164" s="1786"/>
      <c r="GE164" s="1786"/>
      <c r="GF164" s="1786"/>
      <c r="GG164" s="1786"/>
      <c r="GH164" s="1786"/>
      <c r="GI164" s="1786"/>
      <c r="GJ164" s="1786"/>
      <c r="GK164" s="1786"/>
      <c r="GL164" s="1786"/>
      <c r="GM164" s="1786"/>
      <c r="GN164" s="1786"/>
      <c r="GO164" s="1786"/>
      <c r="GP164" s="1786"/>
      <c r="GQ164" s="1786"/>
      <c r="GR164" s="1786"/>
      <c r="GS164" s="1786"/>
      <c r="GT164" s="1786"/>
      <c r="GU164" s="1786"/>
      <c r="GV164" s="1786"/>
      <c r="GW164" s="1786"/>
      <c r="GX164" s="1786"/>
      <c r="GY164" s="1786"/>
      <c r="GZ164" s="1786"/>
      <c r="HA164" s="1786"/>
      <c r="HB164" s="1786"/>
      <c r="HC164" s="1786"/>
      <c r="HD164" s="1786"/>
      <c r="HE164" s="1786"/>
      <c r="HF164" s="1786"/>
      <c r="HG164" s="1786"/>
      <c r="HH164" s="1786"/>
      <c r="HI164" s="1786"/>
      <c r="HJ164" s="1786"/>
      <c r="HK164" s="1786"/>
      <c r="HL164" s="1786"/>
      <c r="HM164" s="1786"/>
      <c r="HN164" s="1786"/>
      <c r="HO164" s="1786"/>
      <c r="HP164" s="1786"/>
      <c r="HQ164" s="1786"/>
      <c r="HR164" s="1786"/>
      <c r="HS164" s="1786"/>
      <c r="HT164" s="1786"/>
      <c r="HU164" s="1786"/>
      <c r="HV164" s="1786"/>
      <c r="HW164" s="1786"/>
      <c r="HX164" s="1786"/>
      <c r="HY164" s="1786"/>
      <c r="HZ164" s="1786"/>
      <c r="IA164" s="1786"/>
      <c r="IB164" s="1786"/>
      <c r="IC164" s="1786"/>
      <c r="ID164" s="1786"/>
      <c r="IE164" s="1786"/>
      <c r="IF164" s="1786"/>
      <c r="IG164" s="1786"/>
      <c r="IH164" s="1786"/>
      <c r="II164" s="1786"/>
      <c r="IJ164" s="1786"/>
      <c r="IK164" s="1786"/>
      <c r="IL164" s="1786"/>
      <c r="IM164" s="1786"/>
      <c r="IN164" s="1786"/>
      <c r="IO164" s="1786"/>
      <c r="IP164" s="1786"/>
      <c r="IQ164" s="1786"/>
      <c r="IR164" s="1786"/>
      <c r="IS164" s="1786"/>
      <c r="IT164" s="1786"/>
      <c r="IU164" s="1786"/>
      <c r="IV164" s="1786"/>
    </row>
    <row r="165" spans="1:256">
      <c r="A165" s="1703"/>
      <c r="B165" s="1753"/>
      <c r="C165" s="1753" t="s">
        <v>2851</v>
      </c>
      <c r="D165" s="1699"/>
      <c r="E165" s="1699"/>
      <c r="F165" s="1699">
        <f>-ARRIERE!D26</f>
        <v>-633373</v>
      </c>
      <c r="G165" s="1699">
        <f>-ARRIERE!E26</f>
        <v>-310643</v>
      </c>
      <c r="H165" s="1699">
        <f>-ARRIERE!F26</f>
        <v>-691360</v>
      </c>
      <c r="I165" s="1699">
        <f>-ARRIERE!G26</f>
        <v>-72239</v>
      </c>
      <c r="J165" s="1699">
        <f>-ARRIERE!H26</f>
        <v>0</v>
      </c>
      <c r="K165" s="1699">
        <f>-ARRIERE!I26</f>
        <v>0</v>
      </c>
      <c r="L165" s="1699">
        <f>-ARRIERE!J26</f>
        <v>0</v>
      </c>
      <c r="M165" s="1699">
        <f>-ARRIERE!K26</f>
        <v>-1279</v>
      </c>
      <c r="N165" s="1699">
        <f>-ARRIERE!L26</f>
        <v>0</v>
      </c>
      <c r="O165" s="1699">
        <f>-ARRIERE!M26</f>
        <v>0</v>
      </c>
      <c r="P165" s="1699">
        <f>-ARRIERE!N26</f>
        <v>-11586</v>
      </c>
      <c r="Q165" s="1699">
        <f>-ARRIERE!O26</f>
        <v>0</v>
      </c>
      <c r="R165" s="1692">
        <f t="shared" si="63"/>
        <v>-1720480</v>
      </c>
      <c r="S165" s="1702">
        <f t="shared" si="59"/>
        <v>-1635376</v>
      </c>
      <c r="T165" s="1702">
        <f t="shared" si="60"/>
        <v>-1707615</v>
      </c>
      <c r="U165" s="1702">
        <f t="shared" si="61"/>
        <v>-1708894</v>
      </c>
      <c r="V165" s="1702">
        <f t="shared" si="56"/>
        <v>-1720480</v>
      </c>
      <c r="W165" s="1702">
        <f t="shared" si="71"/>
        <v>0</v>
      </c>
      <c r="X165" s="1702">
        <f t="shared" si="71"/>
        <v>-1279</v>
      </c>
      <c r="Y165" s="1702">
        <f t="shared" si="71"/>
        <v>-1279</v>
      </c>
      <c r="Z165" s="1786"/>
      <c r="AA165" s="1786"/>
      <c r="AB165" s="1786"/>
      <c r="AC165" s="1786"/>
      <c r="AD165" s="1786"/>
      <c r="AE165" s="1786"/>
      <c r="AF165" s="1786"/>
      <c r="AG165" s="1786"/>
      <c r="AH165" s="1786"/>
      <c r="AI165" s="1786"/>
      <c r="AJ165" s="1786"/>
      <c r="AK165" s="1786"/>
      <c r="AL165" s="1786"/>
      <c r="AM165" s="1786"/>
      <c r="AN165" s="1786"/>
      <c r="AO165" s="1786"/>
      <c r="AP165" s="1786"/>
      <c r="AQ165" s="1786"/>
      <c r="AR165" s="1786"/>
      <c r="AS165" s="1786"/>
      <c r="AT165" s="1786"/>
      <c r="AU165" s="1786"/>
      <c r="AV165" s="1786"/>
      <c r="AW165" s="1786"/>
      <c r="AX165" s="1786"/>
      <c r="AY165" s="1786"/>
      <c r="AZ165" s="1786"/>
      <c r="BA165" s="1786"/>
      <c r="BB165" s="1786"/>
      <c r="BC165" s="1786"/>
      <c r="BD165" s="1786"/>
      <c r="BE165" s="1786"/>
      <c r="BF165" s="1786"/>
      <c r="BG165" s="1786"/>
      <c r="BH165" s="1786"/>
      <c r="BI165" s="1786"/>
      <c r="BJ165" s="1786"/>
      <c r="BK165" s="1786"/>
      <c r="BL165" s="1786"/>
      <c r="BM165" s="1786"/>
      <c r="BN165" s="1786"/>
      <c r="BO165" s="1786"/>
      <c r="BP165" s="1786"/>
      <c r="BQ165" s="1786"/>
      <c r="BR165" s="1786"/>
      <c r="BS165" s="1786"/>
      <c r="BT165" s="1786"/>
      <c r="BU165" s="1786"/>
      <c r="BV165" s="1786"/>
      <c r="BW165" s="1786"/>
      <c r="BX165" s="1786"/>
      <c r="BY165" s="1786"/>
      <c r="BZ165" s="1786"/>
      <c r="CA165" s="1786"/>
      <c r="CB165" s="1786"/>
      <c r="CC165" s="1786"/>
      <c r="CD165" s="1786"/>
      <c r="CE165" s="1786"/>
      <c r="CF165" s="1786"/>
      <c r="CG165" s="1786"/>
      <c r="CH165" s="1786"/>
      <c r="CI165" s="1786"/>
      <c r="CJ165" s="1786"/>
      <c r="CK165" s="1786"/>
      <c r="CL165" s="1786"/>
      <c r="CM165" s="1786"/>
      <c r="CN165" s="1786"/>
      <c r="CO165" s="1786"/>
      <c r="CP165" s="1786"/>
      <c r="CQ165" s="1786"/>
      <c r="CR165" s="1786"/>
      <c r="CS165" s="1786"/>
      <c r="CT165" s="1786"/>
      <c r="CU165" s="1786"/>
      <c r="CV165" s="1786"/>
      <c r="CW165" s="1786"/>
      <c r="CX165" s="1786"/>
      <c r="CY165" s="1786"/>
      <c r="CZ165" s="1786"/>
      <c r="DA165" s="1786"/>
      <c r="DB165" s="1786"/>
      <c r="DC165" s="1786"/>
      <c r="DD165" s="1786"/>
      <c r="DE165" s="1786"/>
      <c r="DF165" s="1786"/>
      <c r="DG165" s="1786"/>
      <c r="DH165" s="1786"/>
      <c r="DI165" s="1786"/>
      <c r="DJ165" s="1786"/>
      <c r="DK165" s="1786"/>
      <c r="DL165" s="1786"/>
      <c r="DM165" s="1786"/>
      <c r="DN165" s="1786"/>
      <c r="DO165" s="1786"/>
      <c r="DP165" s="1786"/>
      <c r="DQ165" s="1786"/>
      <c r="DR165" s="1786"/>
      <c r="DS165" s="1786"/>
      <c r="DT165" s="1786"/>
      <c r="DU165" s="1786"/>
      <c r="DV165" s="1786"/>
      <c r="DW165" s="1786"/>
      <c r="DX165" s="1786"/>
      <c r="DY165" s="1786"/>
      <c r="DZ165" s="1786"/>
      <c r="EA165" s="1786"/>
      <c r="EB165" s="1786"/>
      <c r="EC165" s="1786"/>
      <c r="ED165" s="1786"/>
      <c r="EE165" s="1786"/>
      <c r="EF165" s="1786"/>
      <c r="EG165" s="1786"/>
      <c r="EH165" s="1786"/>
      <c r="EI165" s="1786"/>
      <c r="EJ165" s="1786"/>
      <c r="EK165" s="1786"/>
      <c r="EL165" s="1786"/>
      <c r="EM165" s="1786"/>
      <c r="EN165" s="1786"/>
      <c r="EO165" s="1786"/>
      <c r="EP165" s="1786"/>
      <c r="EQ165" s="1786"/>
      <c r="ER165" s="1786"/>
      <c r="ES165" s="1786"/>
      <c r="ET165" s="1786"/>
      <c r="EU165" s="1786"/>
      <c r="EV165" s="1786"/>
      <c r="EW165" s="1786"/>
      <c r="EX165" s="1786"/>
      <c r="EY165" s="1786"/>
      <c r="EZ165" s="1786"/>
      <c r="FA165" s="1786"/>
      <c r="FB165" s="1786"/>
      <c r="FC165" s="1786"/>
      <c r="FD165" s="1786"/>
      <c r="FE165" s="1786"/>
      <c r="FF165" s="1786"/>
      <c r="FG165" s="1786"/>
      <c r="FH165" s="1786"/>
      <c r="FI165" s="1786"/>
      <c r="FJ165" s="1786"/>
      <c r="FK165" s="1786"/>
      <c r="FL165" s="1786"/>
      <c r="FM165" s="1786"/>
      <c r="FN165" s="1786"/>
      <c r="FO165" s="1786"/>
      <c r="FP165" s="1786"/>
      <c r="FQ165" s="1786"/>
      <c r="FR165" s="1786"/>
      <c r="FS165" s="1786"/>
      <c r="FT165" s="1786"/>
      <c r="FU165" s="1786"/>
      <c r="FV165" s="1786"/>
      <c r="FW165" s="1786"/>
      <c r="FX165" s="1786"/>
      <c r="FY165" s="1786"/>
      <c r="FZ165" s="1786"/>
      <c r="GA165" s="1786"/>
      <c r="GB165" s="1786"/>
      <c r="GC165" s="1786"/>
      <c r="GD165" s="1786"/>
      <c r="GE165" s="1786"/>
      <c r="GF165" s="1786"/>
      <c r="GG165" s="1786"/>
      <c r="GH165" s="1786"/>
      <c r="GI165" s="1786"/>
      <c r="GJ165" s="1786"/>
      <c r="GK165" s="1786"/>
      <c r="GL165" s="1786"/>
      <c r="GM165" s="1786"/>
      <c r="GN165" s="1786"/>
      <c r="GO165" s="1786"/>
      <c r="GP165" s="1786"/>
      <c r="GQ165" s="1786"/>
      <c r="GR165" s="1786"/>
      <c r="GS165" s="1786"/>
      <c r="GT165" s="1786"/>
      <c r="GU165" s="1786"/>
      <c r="GV165" s="1786"/>
      <c r="GW165" s="1786"/>
      <c r="GX165" s="1786"/>
      <c r="GY165" s="1786"/>
      <c r="GZ165" s="1786"/>
      <c r="HA165" s="1786"/>
      <c r="HB165" s="1786"/>
      <c r="HC165" s="1786"/>
      <c r="HD165" s="1786"/>
      <c r="HE165" s="1786"/>
      <c r="HF165" s="1786"/>
      <c r="HG165" s="1786"/>
      <c r="HH165" s="1786"/>
      <c r="HI165" s="1786"/>
      <c r="HJ165" s="1786"/>
      <c r="HK165" s="1786"/>
      <c r="HL165" s="1786"/>
      <c r="HM165" s="1786"/>
      <c r="HN165" s="1786"/>
      <c r="HO165" s="1786"/>
      <c r="HP165" s="1786"/>
      <c r="HQ165" s="1786"/>
      <c r="HR165" s="1786"/>
      <c r="HS165" s="1786"/>
      <c r="HT165" s="1786"/>
      <c r="HU165" s="1786"/>
      <c r="HV165" s="1786"/>
      <c r="HW165" s="1786"/>
      <c r="HX165" s="1786"/>
      <c r="HY165" s="1786"/>
      <c r="HZ165" s="1786"/>
      <c r="IA165" s="1786"/>
      <c r="IB165" s="1786"/>
      <c r="IC165" s="1786"/>
      <c r="ID165" s="1786"/>
      <c r="IE165" s="1786"/>
      <c r="IF165" s="1786"/>
      <c r="IG165" s="1786"/>
      <c r="IH165" s="1786"/>
      <c r="II165" s="1786"/>
      <c r="IJ165" s="1786"/>
      <c r="IK165" s="1786"/>
      <c r="IL165" s="1786"/>
      <c r="IM165" s="1786"/>
      <c r="IN165" s="1786"/>
      <c r="IO165" s="1786"/>
      <c r="IP165" s="1786"/>
      <c r="IQ165" s="1786"/>
      <c r="IR165" s="1786"/>
      <c r="IS165" s="1786"/>
      <c r="IT165" s="1786"/>
      <c r="IU165" s="1786"/>
      <c r="IV165" s="1786"/>
    </row>
    <row r="166" spans="1:256" ht="42">
      <c r="A166" s="1703"/>
      <c r="B166" s="1787"/>
      <c r="C166" s="1787" t="s">
        <v>2900</v>
      </c>
      <c r="D166" s="1699"/>
      <c r="E166" s="1699"/>
      <c r="F166" s="1788">
        <f>SUM(F168:F175)</f>
        <v>-680493.45699999994</v>
      </c>
      <c r="G166" s="1788">
        <f t="shared" ref="G166:Q166" si="72">SUM(G168:G175)</f>
        <v>-217536.2</v>
      </c>
      <c r="H166" s="1788">
        <f t="shared" si="72"/>
        <v>-103942.07799999999</v>
      </c>
      <c r="I166" s="1788">
        <f t="shared" si="72"/>
        <v>-102885</v>
      </c>
      <c r="J166" s="1788">
        <f t="shared" si="72"/>
        <v>-15207.615</v>
      </c>
      <c r="K166" s="1788">
        <f t="shared" si="72"/>
        <v>-174165.541</v>
      </c>
      <c r="L166" s="1788">
        <f t="shared" si="72"/>
        <v>-400180.66600000003</v>
      </c>
      <c r="M166" s="1788">
        <f t="shared" si="72"/>
        <v>-10381.5</v>
      </c>
      <c r="N166" s="1788">
        <f t="shared" si="72"/>
        <v>-62337.308000000005</v>
      </c>
      <c r="O166" s="1788">
        <f>SUM(O168:O175)</f>
        <v>-207931.71600000001</v>
      </c>
      <c r="P166" s="1788">
        <f>SUM(P168:P175)</f>
        <v>-99788.527000000002</v>
      </c>
      <c r="Q166" s="1788">
        <f t="shared" si="72"/>
        <v>-71585.241000000009</v>
      </c>
      <c r="R166" s="1692">
        <f t="shared" si="63"/>
        <v>-2146434.8489999999</v>
      </c>
      <c r="S166" s="1702">
        <f t="shared" si="59"/>
        <v>-1001971.7349999999</v>
      </c>
      <c r="T166" s="1702">
        <f t="shared" si="60"/>
        <v>-1294229.8909999998</v>
      </c>
      <c r="U166" s="1702">
        <f t="shared" ref="U166:U174" si="73">SUM(F166:N166)</f>
        <v>-1767129.3649999998</v>
      </c>
      <c r="V166" s="1702">
        <f t="shared" si="56"/>
        <v>-2146434.8489999999</v>
      </c>
      <c r="W166" s="1694" t="e">
        <f t="shared" si="54"/>
        <v>#DIV/0!</v>
      </c>
      <c r="X166" s="1695"/>
      <c r="Y166" s="1786"/>
      <c r="Z166" s="1786"/>
      <c r="AA166" s="1786"/>
      <c r="AB166" s="1786"/>
      <c r="AC166" s="1786"/>
      <c r="AD166" s="1786"/>
      <c r="AE166" s="1786"/>
      <c r="AF166" s="1786"/>
      <c r="AG166" s="1786"/>
      <c r="AH166" s="1786"/>
      <c r="AI166" s="1786"/>
      <c r="AJ166" s="1786"/>
      <c r="AK166" s="1786"/>
      <c r="AL166" s="1786"/>
      <c r="AM166" s="1786"/>
      <c r="AN166" s="1786"/>
      <c r="AO166" s="1786"/>
      <c r="AP166" s="1786"/>
      <c r="AQ166" s="1786"/>
      <c r="AR166" s="1786"/>
      <c r="AS166" s="1786"/>
      <c r="AT166" s="1786"/>
      <c r="AU166" s="1786"/>
      <c r="AV166" s="1786"/>
      <c r="AW166" s="1786"/>
      <c r="AX166" s="1786"/>
      <c r="AY166" s="1786"/>
      <c r="AZ166" s="1786"/>
      <c r="BA166" s="1786"/>
      <c r="BB166" s="1786"/>
      <c r="BC166" s="1786"/>
      <c r="BD166" s="1786"/>
      <c r="BE166" s="1786"/>
      <c r="BF166" s="1786"/>
      <c r="BG166" s="1786"/>
      <c r="BH166" s="1786"/>
      <c r="BI166" s="1786"/>
      <c r="BJ166" s="1786"/>
      <c r="BK166" s="1786"/>
      <c r="BL166" s="1786"/>
      <c r="BM166" s="1786"/>
      <c r="BN166" s="1786"/>
      <c r="BO166" s="1786"/>
      <c r="BP166" s="1786"/>
      <c r="BQ166" s="1786"/>
      <c r="BR166" s="1786"/>
      <c r="BS166" s="1786"/>
      <c r="BT166" s="1786"/>
      <c r="BU166" s="1786"/>
      <c r="BV166" s="1786"/>
      <c r="BW166" s="1786"/>
      <c r="BX166" s="1786"/>
      <c r="BY166" s="1786"/>
      <c r="BZ166" s="1786"/>
      <c r="CA166" s="1786"/>
      <c r="CB166" s="1786"/>
      <c r="CC166" s="1786"/>
      <c r="CD166" s="1786"/>
      <c r="CE166" s="1786"/>
      <c r="CF166" s="1786"/>
      <c r="CG166" s="1786"/>
      <c r="CH166" s="1786"/>
      <c r="CI166" s="1786"/>
      <c r="CJ166" s="1786"/>
      <c r="CK166" s="1786"/>
      <c r="CL166" s="1786"/>
      <c r="CM166" s="1786"/>
      <c r="CN166" s="1786"/>
      <c r="CO166" s="1786"/>
      <c r="CP166" s="1786"/>
      <c r="CQ166" s="1786"/>
      <c r="CR166" s="1786"/>
      <c r="CS166" s="1786"/>
      <c r="CT166" s="1786"/>
      <c r="CU166" s="1786"/>
      <c r="CV166" s="1786"/>
      <c r="CW166" s="1786"/>
      <c r="CX166" s="1786"/>
      <c r="CY166" s="1786"/>
      <c r="CZ166" s="1786"/>
      <c r="DA166" s="1786"/>
      <c r="DB166" s="1786"/>
      <c r="DC166" s="1786"/>
      <c r="DD166" s="1786"/>
      <c r="DE166" s="1786"/>
      <c r="DF166" s="1786"/>
      <c r="DG166" s="1786"/>
      <c r="DH166" s="1786"/>
      <c r="DI166" s="1786"/>
      <c r="DJ166" s="1786"/>
      <c r="DK166" s="1786"/>
      <c r="DL166" s="1786"/>
      <c r="DM166" s="1786"/>
      <c r="DN166" s="1786"/>
      <c r="DO166" s="1786"/>
      <c r="DP166" s="1786"/>
      <c r="DQ166" s="1786"/>
      <c r="DR166" s="1786"/>
      <c r="DS166" s="1786"/>
      <c r="DT166" s="1786"/>
      <c r="DU166" s="1786"/>
      <c r="DV166" s="1786"/>
      <c r="DW166" s="1786"/>
      <c r="DX166" s="1786"/>
      <c r="DY166" s="1786"/>
      <c r="DZ166" s="1786"/>
      <c r="EA166" s="1786"/>
      <c r="EB166" s="1786"/>
      <c r="EC166" s="1786"/>
      <c r="ED166" s="1786"/>
      <c r="EE166" s="1786"/>
      <c r="EF166" s="1786"/>
      <c r="EG166" s="1786"/>
      <c r="EH166" s="1786"/>
      <c r="EI166" s="1786"/>
      <c r="EJ166" s="1786"/>
      <c r="EK166" s="1786"/>
      <c r="EL166" s="1786"/>
      <c r="EM166" s="1786"/>
      <c r="EN166" s="1786"/>
      <c r="EO166" s="1786"/>
      <c r="EP166" s="1786"/>
      <c r="EQ166" s="1786"/>
      <c r="ER166" s="1786"/>
      <c r="ES166" s="1786"/>
      <c r="ET166" s="1786"/>
      <c r="EU166" s="1786"/>
      <c r="EV166" s="1786"/>
      <c r="EW166" s="1786"/>
      <c r="EX166" s="1786"/>
      <c r="EY166" s="1786"/>
      <c r="EZ166" s="1786"/>
      <c r="FA166" s="1786"/>
      <c r="FB166" s="1786"/>
      <c r="FC166" s="1786"/>
      <c r="FD166" s="1786"/>
      <c r="FE166" s="1786"/>
      <c r="FF166" s="1786"/>
      <c r="FG166" s="1786"/>
      <c r="FH166" s="1786"/>
      <c r="FI166" s="1786"/>
      <c r="FJ166" s="1786"/>
      <c r="FK166" s="1786"/>
      <c r="FL166" s="1786"/>
      <c r="FM166" s="1786"/>
      <c r="FN166" s="1786"/>
      <c r="FO166" s="1786"/>
      <c r="FP166" s="1786"/>
      <c r="FQ166" s="1786"/>
      <c r="FR166" s="1786"/>
      <c r="FS166" s="1786"/>
      <c r="FT166" s="1786"/>
      <c r="FU166" s="1786"/>
      <c r="FV166" s="1786"/>
      <c r="FW166" s="1786"/>
      <c r="FX166" s="1786"/>
      <c r="FY166" s="1786"/>
      <c r="FZ166" s="1786"/>
      <c r="GA166" s="1786"/>
      <c r="GB166" s="1786"/>
      <c r="GC166" s="1786"/>
      <c r="GD166" s="1786"/>
      <c r="GE166" s="1786"/>
      <c r="GF166" s="1786"/>
      <c r="GG166" s="1786"/>
      <c r="GH166" s="1786"/>
      <c r="GI166" s="1786"/>
      <c r="GJ166" s="1786"/>
      <c r="GK166" s="1786"/>
      <c r="GL166" s="1786"/>
      <c r="GM166" s="1786"/>
      <c r="GN166" s="1786"/>
      <c r="GO166" s="1786"/>
      <c r="GP166" s="1786"/>
      <c r="GQ166" s="1786"/>
      <c r="GR166" s="1786"/>
      <c r="GS166" s="1786"/>
      <c r="GT166" s="1786"/>
      <c r="GU166" s="1786"/>
      <c r="GV166" s="1786"/>
      <c r="GW166" s="1786"/>
      <c r="GX166" s="1786"/>
      <c r="GY166" s="1786"/>
      <c r="GZ166" s="1786"/>
      <c r="HA166" s="1786"/>
      <c r="HB166" s="1786"/>
      <c r="HC166" s="1786"/>
      <c r="HD166" s="1786"/>
      <c r="HE166" s="1786"/>
      <c r="HF166" s="1786"/>
      <c r="HG166" s="1786"/>
      <c r="HH166" s="1786"/>
      <c r="HI166" s="1786"/>
      <c r="HJ166" s="1786"/>
      <c r="HK166" s="1786"/>
      <c r="HL166" s="1786"/>
      <c r="HM166" s="1786"/>
      <c r="HN166" s="1786"/>
      <c r="HO166" s="1786"/>
      <c r="HP166" s="1786"/>
      <c r="HQ166" s="1786"/>
      <c r="HR166" s="1786"/>
      <c r="HS166" s="1786"/>
      <c r="HT166" s="1786"/>
      <c r="HU166" s="1786"/>
      <c r="HV166" s="1786"/>
      <c r="HW166" s="1786"/>
      <c r="HX166" s="1786"/>
      <c r="HY166" s="1786"/>
      <c r="HZ166" s="1786"/>
      <c r="IA166" s="1786"/>
      <c r="IB166" s="1786"/>
      <c r="IC166" s="1786"/>
      <c r="ID166" s="1786"/>
      <c r="IE166" s="1786"/>
      <c r="IF166" s="1786"/>
      <c r="IG166" s="1786"/>
      <c r="IH166" s="1786"/>
      <c r="II166" s="1786"/>
      <c r="IJ166" s="1786"/>
      <c r="IK166" s="1786"/>
      <c r="IL166" s="1786"/>
      <c r="IM166" s="1786"/>
      <c r="IN166" s="1786"/>
      <c r="IO166" s="1786"/>
      <c r="IP166" s="1786"/>
      <c r="IQ166" s="1786"/>
      <c r="IR166" s="1786"/>
      <c r="IS166" s="1786"/>
      <c r="IT166" s="1786"/>
      <c r="IU166" s="1786"/>
      <c r="IV166" s="1786"/>
    </row>
    <row r="167" spans="1:256">
      <c r="A167" s="1703"/>
      <c r="B167" s="1753"/>
      <c r="C167" s="1753" t="s">
        <v>2738</v>
      </c>
      <c r="D167" s="1699"/>
      <c r="E167" s="1699"/>
      <c r="F167" s="1755"/>
      <c r="G167" s="1699"/>
      <c r="H167" s="1699"/>
      <c r="I167" s="1699"/>
      <c r="J167" s="1699"/>
      <c r="K167" s="1699"/>
      <c r="L167" s="1699"/>
      <c r="M167" s="1699"/>
      <c r="N167" s="1699"/>
      <c r="O167" s="1699"/>
      <c r="P167" s="1699"/>
      <c r="Q167" s="1699"/>
      <c r="R167" s="1692">
        <f t="shared" si="63"/>
        <v>0</v>
      </c>
      <c r="S167" s="1702">
        <f t="shared" si="59"/>
        <v>0</v>
      </c>
      <c r="T167" s="1702">
        <f t="shared" si="60"/>
        <v>0</v>
      </c>
      <c r="U167" s="1702">
        <f t="shared" si="73"/>
        <v>0</v>
      </c>
      <c r="V167" s="1702">
        <f t="shared" si="56"/>
        <v>0</v>
      </c>
      <c r="W167" s="1694" t="e">
        <f t="shared" si="54"/>
        <v>#DIV/0!</v>
      </c>
      <c r="X167" s="1695"/>
      <c r="Y167" s="1786"/>
      <c r="Z167" s="1786"/>
      <c r="AA167" s="1786"/>
      <c r="AB167" s="1786"/>
      <c r="AC167" s="1786"/>
      <c r="AD167" s="1786"/>
      <c r="AE167" s="1786"/>
      <c r="AF167" s="1786"/>
      <c r="AG167" s="1786"/>
      <c r="AH167" s="1786"/>
      <c r="AI167" s="1786"/>
      <c r="AJ167" s="1786"/>
      <c r="AK167" s="1786"/>
      <c r="AL167" s="1786"/>
      <c r="AM167" s="1786"/>
      <c r="AN167" s="1786"/>
      <c r="AO167" s="1786"/>
      <c r="AP167" s="1786"/>
      <c r="AQ167" s="1786"/>
      <c r="AR167" s="1786"/>
      <c r="AS167" s="1786"/>
      <c r="AT167" s="1786"/>
      <c r="AU167" s="1786"/>
      <c r="AV167" s="1786"/>
      <c r="AW167" s="1786"/>
      <c r="AX167" s="1786"/>
      <c r="AY167" s="1786"/>
      <c r="AZ167" s="1786"/>
      <c r="BA167" s="1786"/>
      <c r="BB167" s="1786"/>
      <c r="BC167" s="1786"/>
      <c r="BD167" s="1786"/>
      <c r="BE167" s="1786"/>
      <c r="BF167" s="1786"/>
      <c r="BG167" s="1786"/>
      <c r="BH167" s="1786"/>
      <c r="BI167" s="1786"/>
      <c r="BJ167" s="1786"/>
      <c r="BK167" s="1786"/>
      <c r="BL167" s="1786"/>
      <c r="BM167" s="1786"/>
      <c r="BN167" s="1786"/>
      <c r="BO167" s="1786"/>
      <c r="BP167" s="1786"/>
      <c r="BQ167" s="1786"/>
      <c r="BR167" s="1786"/>
      <c r="BS167" s="1786"/>
      <c r="BT167" s="1786"/>
      <c r="BU167" s="1786"/>
      <c r="BV167" s="1786"/>
      <c r="BW167" s="1786"/>
      <c r="BX167" s="1786"/>
      <c r="BY167" s="1786"/>
      <c r="BZ167" s="1786"/>
      <c r="CA167" s="1786"/>
      <c r="CB167" s="1786"/>
      <c r="CC167" s="1786"/>
      <c r="CD167" s="1786"/>
      <c r="CE167" s="1786"/>
      <c r="CF167" s="1786"/>
      <c r="CG167" s="1786"/>
      <c r="CH167" s="1786"/>
      <c r="CI167" s="1786"/>
      <c r="CJ167" s="1786"/>
      <c r="CK167" s="1786"/>
      <c r="CL167" s="1786"/>
      <c r="CM167" s="1786"/>
      <c r="CN167" s="1786"/>
      <c r="CO167" s="1786"/>
      <c r="CP167" s="1786"/>
      <c r="CQ167" s="1786"/>
      <c r="CR167" s="1786"/>
      <c r="CS167" s="1786"/>
      <c r="CT167" s="1786"/>
      <c r="CU167" s="1786"/>
      <c r="CV167" s="1786"/>
      <c r="CW167" s="1786"/>
      <c r="CX167" s="1786"/>
      <c r="CY167" s="1786"/>
      <c r="CZ167" s="1786"/>
      <c r="DA167" s="1786"/>
      <c r="DB167" s="1786"/>
      <c r="DC167" s="1786"/>
      <c r="DD167" s="1786"/>
      <c r="DE167" s="1786"/>
      <c r="DF167" s="1786"/>
      <c r="DG167" s="1786"/>
      <c r="DH167" s="1786"/>
      <c r="DI167" s="1786"/>
      <c r="DJ167" s="1786"/>
      <c r="DK167" s="1786"/>
      <c r="DL167" s="1786"/>
      <c r="DM167" s="1786"/>
      <c r="DN167" s="1786"/>
      <c r="DO167" s="1786"/>
      <c r="DP167" s="1786"/>
      <c r="DQ167" s="1786"/>
      <c r="DR167" s="1786"/>
      <c r="DS167" s="1786"/>
      <c r="DT167" s="1786"/>
      <c r="DU167" s="1786"/>
      <c r="DV167" s="1786"/>
      <c r="DW167" s="1786"/>
      <c r="DX167" s="1786"/>
      <c r="DY167" s="1786"/>
      <c r="DZ167" s="1786"/>
      <c r="EA167" s="1786"/>
      <c r="EB167" s="1786"/>
      <c r="EC167" s="1786"/>
      <c r="ED167" s="1786"/>
      <c r="EE167" s="1786"/>
      <c r="EF167" s="1786"/>
      <c r="EG167" s="1786"/>
      <c r="EH167" s="1786"/>
      <c r="EI167" s="1786"/>
      <c r="EJ167" s="1786"/>
      <c r="EK167" s="1786"/>
      <c r="EL167" s="1786"/>
      <c r="EM167" s="1786"/>
      <c r="EN167" s="1786"/>
      <c r="EO167" s="1786"/>
      <c r="EP167" s="1786"/>
      <c r="EQ167" s="1786"/>
      <c r="ER167" s="1786"/>
      <c r="ES167" s="1786"/>
      <c r="ET167" s="1786"/>
      <c r="EU167" s="1786"/>
      <c r="EV167" s="1786"/>
      <c r="EW167" s="1786"/>
      <c r="EX167" s="1786"/>
      <c r="EY167" s="1786"/>
      <c r="EZ167" s="1786"/>
      <c r="FA167" s="1786"/>
      <c r="FB167" s="1786"/>
      <c r="FC167" s="1786"/>
      <c r="FD167" s="1786"/>
      <c r="FE167" s="1786"/>
      <c r="FF167" s="1786"/>
      <c r="FG167" s="1786"/>
      <c r="FH167" s="1786"/>
      <c r="FI167" s="1786"/>
      <c r="FJ167" s="1786"/>
      <c r="FK167" s="1786"/>
      <c r="FL167" s="1786"/>
      <c r="FM167" s="1786"/>
      <c r="FN167" s="1786"/>
      <c r="FO167" s="1786"/>
      <c r="FP167" s="1786"/>
      <c r="FQ167" s="1786"/>
      <c r="FR167" s="1786"/>
      <c r="FS167" s="1786"/>
      <c r="FT167" s="1786"/>
      <c r="FU167" s="1786"/>
      <c r="FV167" s="1786"/>
      <c r="FW167" s="1786"/>
      <c r="FX167" s="1786"/>
      <c r="FY167" s="1786"/>
      <c r="FZ167" s="1786"/>
      <c r="GA167" s="1786"/>
      <c r="GB167" s="1786"/>
      <c r="GC167" s="1786"/>
      <c r="GD167" s="1786"/>
      <c r="GE167" s="1786"/>
      <c r="GF167" s="1786"/>
      <c r="GG167" s="1786"/>
      <c r="GH167" s="1786"/>
      <c r="GI167" s="1786"/>
      <c r="GJ167" s="1786"/>
      <c r="GK167" s="1786"/>
      <c r="GL167" s="1786"/>
      <c r="GM167" s="1786"/>
      <c r="GN167" s="1786"/>
      <c r="GO167" s="1786"/>
      <c r="GP167" s="1786"/>
      <c r="GQ167" s="1786"/>
      <c r="GR167" s="1786"/>
      <c r="GS167" s="1786"/>
      <c r="GT167" s="1786"/>
      <c r="GU167" s="1786"/>
      <c r="GV167" s="1786"/>
      <c r="GW167" s="1786"/>
      <c r="GX167" s="1786"/>
      <c r="GY167" s="1786"/>
      <c r="GZ167" s="1786"/>
      <c r="HA167" s="1786"/>
      <c r="HB167" s="1786"/>
      <c r="HC167" s="1786"/>
      <c r="HD167" s="1786"/>
      <c r="HE167" s="1786"/>
      <c r="HF167" s="1786"/>
      <c r="HG167" s="1786"/>
      <c r="HH167" s="1786"/>
      <c r="HI167" s="1786"/>
      <c r="HJ167" s="1786"/>
      <c r="HK167" s="1786"/>
      <c r="HL167" s="1786"/>
      <c r="HM167" s="1786"/>
      <c r="HN167" s="1786"/>
      <c r="HO167" s="1786"/>
      <c r="HP167" s="1786"/>
      <c r="HQ167" s="1786"/>
      <c r="HR167" s="1786"/>
      <c r="HS167" s="1786"/>
      <c r="HT167" s="1786"/>
      <c r="HU167" s="1786"/>
      <c r="HV167" s="1786"/>
      <c r="HW167" s="1786"/>
      <c r="HX167" s="1786"/>
      <c r="HY167" s="1786"/>
      <c r="HZ167" s="1786"/>
      <c r="IA167" s="1786"/>
      <c r="IB167" s="1786"/>
      <c r="IC167" s="1786"/>
      <c r="ID167" s="1786"/>
      <c r="IE167" s="1786"/>
      <c r="IF167" s="1786"/>
      <c r="IG167" s="1786"/>
      <c r="IH167" s="1786"/>
      <c r="II167" s="1786"/>
      <c r="IJ167" s="1786"/>
      <c r="IK167" s="1786"/>
      <c r="IL167" s="1786"/>
      <c r="IM167" s="1786"/>
      <c r="IN167" s="1786"/>
      <c r="IO167" s="1786"/>
      <c r="IP167" s="1786"/>
      <c r="IQ167" s="1786"/>
      <c r="IR167" s="1786"/>
      <c r="IS167" s="1786"/>
      <c r="IT167" s="1786"/>
      <c r="IU167" s="1786"/>
      <c r="IV167" s="1786"/>
    </row>
    <row r="168" spans="1:256">
      <c r="A168" s="1703"/>
      <c r="B168" s="1753"/>
      <c r="C168" s="1753" t="s">
        <v>538</v>
      </c>
      <c r="D168" s="1699"/>
      <c r="E168" s="1699"/>
      <c r="F168" s="1755"/>
      <c r="G168" s="1699"/>
      <c r="H168" s="1699"/>
      <c r="I168" s="1699"/>
      <c r="J168" s="1699"/>
      <c r="K168" s="1699"/>
      <c r="L168" s="1699"/>
      <c r="M168" s="1699"/>
      <c r="N168" s="1699"/>
      <c r="O168" s="1699"/>
      <c r="P168" s="1699"/>
      <c r="Q168" s="1699"/>
      <c r="R168" s="1692">
        <f t="shared" si="63"/>
        <v>0</v>
      </c>
      <c r="S168" s="1702">
        <f t="shared" si="59"/>
        <v>0</v>
      </c>
      <c r="T168" s="1702">
        <f t="shared" si="60"/>
        <v>0</v>
      </c>
      <c r="U168" s="1702">
        <f t="shared" si="73"/>
        <v>0</v>
      </c>
      <c r="V168" s="1702">
        <f t="shared" si="56"/>
        <v>0</v>
      </c>
      <c r="W168" s="1694" t="e">
        <f t="shared" si="54"/>
        <v>#DIV/0!</v>
      </c>
      <c r="X168" s="1695"/>
      <c r="Y168" s="1786"/>
      <c r="Z168" s="1786"/>
      <c r="AA168" s="1786"/>
      <c r="AB168" s="1786"/>
      <c r="AC168" s="1786"/>
      <c r="AD168" s="1786"/>
      <c r="AE168" s="1786"/>
      <c r="AF168" s="1786"/>
      <c r="AG168" s="1786"/>
      <c r="AH168" s="1786"/>
      <c r="AI168" s="1786"/>
      <c r="AJ168" s="1786"/>
      <c r="AK168" s="1786"/>
      <c r="AL168" s="1786"/>
      <c r="AM168" s="1786"/>
      <c r="AN168" s="1786"/>
      <c r="AO168" s="1786"/>
      <c r="AP168" s="1786"/>
      <c r="AQ168" s="1786"/>
      <c r="AR168" s="1786"/>
      <c r="AS168" s="1786"/>
      <c r="AT168" s="1786"/>
      <c r="AU168" s="1786"/>
      <c r="AV168" s="1786"/>
      <c r="AW168" s="1786"/>
      <c r="AX168" s="1786"/>
      <c r="AY168" s="1786"/>
      <c r="AZ168" s="1786"/>
      <c r="BA168" s="1786"/>
      <c r="BB168" s="1786"/>
      <c r="BC168" s="1786"/>
      <c r="BD168" s="1786"/>
      <c r="BE168" s="1786"/>
      <c r="BF168" s="1786"/>
      <c r="BG168" s="1786"/>
      <c r="BH168" s="1786"/>
      <c r="BI168" s="1786"/>
      <c r="BJ168" s="1786"/>
      <c r="BK168" s="1786"/>
      <c r="BL168" s="1786"/>
      <c r="BM168" s="1786"/>
      <c r="BN168" s="1786"/>
      <c r="BO168" s="1786"/>
      <c r="BP168" s="1786"/>
      <c r="BQ168" s="1786"/>
      <c r="BR168" s="1786"/>
      <c r="BS168" s="1786"/>
      <c r="BT168" s="1786"/>
      <c r="BU168" s="1786"/>
      <c r="BV168" s="1786"/>
      <c r="BW168" s="1786"/>
      <c r="BX168" s="1786"/>
      <c r="BY168" s="1786"/>
      <c r="BZ168" s="1786"/>
      <c r="CA168" s="1786"/>
      <c r="CB168" s="1786"/>
      <c r="CC168" s="1786"/>
      <c r="CD168" s="1786"/>
      <c r="CE168" s="1786"/>
      <c r="CF168" s="1786"/>
      <c r="CG168" s="1786"/>
      <c r="CH168" s="1786"/>
      <c r="CI168" s="1786"/>
      <c r="CJ168" s="1786"/>
      <c r="CK168" s="1786"/>
      <c r="CL168" s="1786"/>
      <c r="CM168" s="1786"/>
      <c r="CN168" s="1786"/>
      <c r="CO168" s="1786"/>
      <c r="CP168" s="1786"/>
      <c r="CQ168" s="1786"/>
      <c r="CR168" s="1786"/>
      <c r="CS168" s="1786"/>
      <c r="CT168" s="1786"/>
      <c r="CU168" s="1786"/>
      <c r="CV168" s="1786"/>
      <c r="CW168" s="1786"/>
      <c r="CX168" s="1786"/>
      <c r="CY168" s="1786"/>
      <c r="CZ168" s="1786"/>
      <c r="DA168" s="1786"/>
      <c r="DB168" s="1786"/>
      <c r="DC168" s="1786"/>
      <c r="DD168" s="1786"/>
      <c r="DE168" s="1786"/>
      <c r="DF168" s="1786"/>
      <c r="DG168" s="1786"/>
      <c r="DH168" s="1786"/>
      <c r="DI168" s="1786"/>
      <c r="DJ168" s="1786"/>
      <c r="DK168" s="1786"/>
      <c r="DL168" s="1786"/>
      <c r="DM168" s="1786"/>
      <c r="DN168" s="1786"/>
      <c r="DO168" s="1786"/>
      <c r="DP168" s="1786"/>
      <c r="DQ168" s="1786"/>
      <c r="DR168" s="1786"/>
      <c r="DS168" s="1786"/>
      <c r="DT168" s="1786"/>
      <c r="DU168" s="1786"/>
      <c r="DV168" s="1786"/>
      <c r="DW168" s="1786"/>
      <c r="DX168" s="1786"/>
      <c r="DY168" s="1786"/>
      <c r="DZ168" s="1786"/>
      <c r="EA168" s="1786"/>
      <c r="EB168" s="1786"/>
      <c r="EC168" s="1786"/>
      <c r="ED168" s="1786"/>
      <c r="EE168" s="1786"/>
      <c r="EF168" s="1786"/>
      <c r="EG168" s="1786"/>
      <c r="EH168" s="1786"/>
      <c r="EI168" s="1786"/>
      <c r="EJ168" s="1786"/>
      <c r="EK168" s="1786"/>
      <c r="EL168" s="1786"/>
      <c r="EM168" s="1786"/>
      <c r="EN168" s="1786"/>
      <c r="EO168" s="1786"/>
      <c r="EP168" s="1786"/>
      <c r="EQ168" s="1786"/>
      <c r="ER168" s="1786"/>
      <c r="ES168" s="1786"/>
      <c r="ET168" s="1786"/>
      <c r="EU168" s="1786"/>
      <c r="EV168" s="1786"/>
      <c r="EW168" s="1786"/>
      <c r="EX168" s="1786"/>
      <c r="EY168" s="1786"/>
      <c r="EZ168" s="1786"/>
      <c r="FA168" s="1786"/>
      <c r="FB168" s="1786"/>
      <c r="FC168" s="1786"/>
      <c r="FD168" s="1786"/>
      <c r="FE168" s="1786"/>
      <c r="FF168" s="1786"/>
      <c r="FG168" s="1786"/>
      <c r="FH168" s="1786"/>
      <c r="FI168" s="1786"/>
      <c r="FJ168" s="1786"/>
      <c r="FK168" s="1786"/>
      <c r="FL168" s="1786"/>
      <c r="FM168" s="1786"/>
      <c r="FN168" s="1786"/>
      <c r="FO168" s="1786"/>
      <c r="FP168" s="1786"/>
      <c r="FQ168" s="1786"/>
      <c r="FR168" s="1786"/>
      <c r="FS168" s="1786"/>
      <c r="FT168" s="1786"/>
      <c r="FU168" s="1786"/>
      <c r="FV168" s="1786"/>
      <c r="FW168" s="1786"/>
      <c r="FX168" s="1786"/>
      <c r="FY168" s="1786"/>
      <c r="FZ168" s="1786"/>
      <c r="GA168" s="1786"/>
      <c r="GB168" s="1786"/>
      <c r="GC168" s="1786"/>
      <c r="GD168" s="1786"/>
      <c r="GE168" s="1786"/>
      <c r="GF168" s="1786"/>
      <c r="GG168" s="1786"/>
      <c r="GH168" s="1786"/>
      <c r="GI168" s="1786"/>
      <c r="GJ168" s="1786"/>
      <c r="GK168" s="1786"/>
      <c r="GL168" s="1786"/>
      <c r="GM168" s="1786"/>
      <c r="GN168" s="1786"/>
      <c r="GO168" s="1786"/>
      <c r="GP168" s="1786"/>
      <c r="GQ168" s="1786"/>
      <c r="GR168" s="1786"/>
      <c r="GS168" s="1786"/>
      <c r="GT168" s="1786"/>
      <c r="GU168" s="1786"/>
      <c r="GV168" s="1786"/>
      <c r="GW168" s="1786"/>
      <c r="GX168" s="1786"/>
      <c r="GY168" s="1786"/>
      <c r="GZ168" s="1786"/>
      <c r="HA168" s="1786"/>
      <c r="HB168" s="1786"/>
      <c r="HC168" s="1786"/>
      <c r="HD168" s="1786"/>
      <c r="HE168" s="1786"/>
      <c r="HF168" s="1786"/>
      <c r="HG168" s="1786"/>
      <c r="HH168" s="1786"/>
      <c r="HI168" s="1786"/>
      <c r="HJ168" s="1786"/>
      <c r="HK168" s="1786"/>
      <c r="HL168" s="1786"/>
      <c r="HM168" s="1786"/>
      <c r="HN168" s="1786"/>
      <c r="HO168" s="1786"/>
      <c r="HP168" s="1786"/>
      <c r="HQ168" s="1786"/>
      <c r="HR168" s="1786"/>
      <c r="HS168" s="1786"/>
      <c r="HT168" s="1786"/>
      <c r="HU168" s="1786"/>
      <c r="HV168" s="1786"/>
      <c r="HW168" s="1786"/>
      <c r="HX168" s="1786"/>
      <c r="HY168" s="1786"/>
      <c r="HZ168" s="1786"/>
      <c r="IA168" s="1786"/>
      <c r="IB168" s="1786"/>
      <c r="IC168" s="1786"/>
      <c r="ID168" s="1786"/>
      <c r="IE168" s="1786"/>
      <c r="IF168" s="1786"/>
      <c r="IG168" s="1786"/>
      <c r="IH168" s="1786"/>
      <c r="II168" s="1786"/>
      <c r="IJ168" s="1786"/>
      <c r="IK168" s="1786"/>
      <c r="IL168" s="1786"/>
      <c r="IM168" s="1786"/>
      <c r="IN168" s="1786"/>
      <c r="IO168" s="1786"/>
      <c r="IP168" s="1786"/>
      <c r="IQ168" s="1786"/>
      <c r="IR168" s="1786"/>
      <c r="IS168" s="1786"/>
      <c r="IT168" s="1786"/>
      <c r="IU168" s="1786"/>
      <c r="IV168" s="1786"/>
    </row>
    <row r="169" spans="1:256">
      <c r="A169" s="1703"/>
      <c r="B169" s="1753"/>
      <c r="C169" s="1753" t="s">
        <v>539</v>
      </c>
      <c r="D169" s="1699"/>
      <c r="E169" s="1699"/>
      <c r="F169" s="1755"/>
      <c r="G169" s="1699"/>
      <c r="H169" s="1699"/>
      <c r="I169" s="1699"/>
      <c r="J169" s="1699"/>
      <c r="K169" s="1699"/>
      <c r="L169" s="1699"/>
      <c r="M169" s="1699"/>
      <c r="N169" s="1699"/>
      <c r="O169" s="1699"/>
      <c r="P169" s="1699"/>
      <c r="Q169" s="1789"/>
      <c r="R169" s="1692">
        <f t="shared" si="63"/>
        <v>0</v>
      </c>
      <c r="S169" s="1702">
        <f t="shared" si="59"/>
        <v>0</v>
      </c>
      <c r="T169" s="1702">
        <f t="shared" si="60"/>
        <v>0</v>
      </c>
      <c r="U169" s="1702">
        <f t="shared" si="73"/>
        <v>0</v>
      </c>
      <c r="V169" s="1702">
        <f t="shared" si="56"/>
        <v>0</v>
      </c>
      <c r="W169" s="1694" t="e">
        <f t="shared" si="54"/>
        <v>#DIV/0!</v>
      </c>
      <c r="X169" s="1695"/>
      <c r="Y169" s="1786"/>
      <c r="Z169" s="1786"/>
      <c r="AA169" s="1786"/>
      <c r="AB169" s="1786"/>
      <c r="AC169" s="1786"/>
      <c r="AD169" s="1786"/>
      <c r="AE169" s="1786"/>
      <c r="AF169" s="1786"/>
      <c r="AG169" s="1786"/>
      <c r="AH169" s="1786"/>
      <c r="AI169" s="1786"/>
      <c r="AJ169" s="1786"/>
      <c r="AK169" s="1786"/>
      <c r="AL169" s="1786"/>
      <c r="AM169" s="1786"/>
      <c r="AN169" s="1786"/>
      <c r="AO169" s="1786"/>
      <c r="AP169" s="1786"/>
      <c r="AQ169" s="1786"/>
      <c r="AR169" s="1786"/>
      <c r="AS169" s="1786"/>
      <c r="AT169" s="1786"/>
      <c r="AU169" s="1786"/>
      <c r="AV169" s="1786"/>
      <c r="AW169" s="1786"/>
      <c r="AX169" s="1786"/>
      <c r="AY169" s="1786"/>
      <c r="AZ169" s="1786"/>
      <c r="BA169" s="1786"/>
      <c r="BB169" s="1786"/>
      <c r="BC169" s="1786"/>
      <c r="BD169" s="1786"/>
      <c r="BE169" s="1786"/>
      <c r="BF169" s="1786"/>
      <c r="BG169" s="1786"/>
      <c r="BH169" s="1786"/>
      <c r="BI169" s="1786"/>
      <c r="BJ169" s="1786"/>
      <c r="BK169" s="1786"/>
      <c r="BL169" s="1786"/>
      <c r="BM169" s="1786"/>
      <c r="BN169" s="1786"/>
      <c r="BO169" s="1786"/>
      <c r="BP169" s="1786"/>
      <c r="BQ169" s="1786"/>
      <c r="BR169" s="1786"/>
      <c r="BS169" s="1786"/>
      <c r="BT169" s="1786"/>
      <c r="BU169" s="1786"/>
      <c r="BV169" s="1786"/>
      <c r="BW169" s="1786"/>
      <c r="BX169" s="1786"/>
      <c r="BY169" s="1786"/>
      <c r="BZ169" s="1786"/>
      <c r="CA169" s="1786"/>
      <c r="CB169" s="1786"/>
      <c r="CC169" s="1786"/>
      <c r="CD169" s="1786"/>
      <c r="CE169" s="1786"/>
      <c r="CF169" s="1786"/>
      <c r="CG169" s="1786"/>
      <c r="CH169" s="1786"/>
      <c r="CI169" s="1786"/>
      <c r="CJ169" s="1786"/>
      <c r="CK169" s="1786"/>
      <c r="CL169" s="1786"/>
      <c r="CM169" s="1786"/>
      <c r="CN169" s="1786"/>
      <c r="CO169" s="1786"/>
      <c r="CP169" s="1786"/>
      <c r="CQ169" s="1786"/>
      <c r="CR169" s="1786"/>
      <c r="CS169" s="1786"/>
      <c r="CT169" s="1786"/>
      <c r="CU169" s="1786"/>
      <c r="CV169" s="1786"/>
      <c r="CW169" s="1786"/>
      <c r="CX169" s="1786"/>
      <c r="CY169" s="1786"/>
      <c r="CZ169" s="1786"/>
      <c r="DA169" s="1786"/>
      <c r="DB169" s="1786"/>
      <c r="DC169" s="1786"/>
      <c r="DD169" s="1786"/>
      <c r="DE169" s="1786"/>
      <c r="DF169" s="1786"/>
      <c r="DG169" s="1786"/>
      <c r="DH169" s="1786"/>
      <c r="DI169" s="1786"/>
      <c r="DJ169" s="1786"/>
      <c r="DK169" s="1786"/>
      <c r="DL169" s="1786"/>
      <c r="DM169" s="1786"/>
      <c r="DN169" s="1786"/>
      <c r="DO169" s="1786"/>
      <c r="DP169" s="1786"/>
      <c r="DQ169" s="1786"/>
      <c r="DR169" s="1786"/>
      <c r="DS169" s="1786"/>
      <c r="DT169" s="1786"/>
      <c r="DU169" s="1786"/>
      <c r="DV169" s="1786"/>
      <c r="DW169" s="1786"/>
      <c r="DX169" s="1786"/>
      <c r="DY169" s="1786"/>
      <c r="DZ169" s="1786"/>
      <c r="EA169" s="1786"/>
      <c r="EB169" s="1786"/>
      <c r="EC169" s="1786"/>
      <c r="ED169" s="1786"/>
      <c r="EE169" s="1786"/>
      <c r="EF169" s="1786"/>
      <c r="EG169" s="1786"/>
      <c r="EH169" s="1786"/>
      <c r="EI169" s="1786"/>
      <c r="EJ169" s="1786"/>
      <c r="EK169" s="1786"/>
      <c r="EL169" s="1786"/>
      <c r="EM169" s="1786"/>
      <c r="EN169" s="1786"/>
      <c r="EO169" s="1786"/>
      <c r="EP169" s="1786"/>
      <c r="EQ169" s="1786"/>
      <c r="ER169" s="1786"/>
      <c r="ES169" s="1786"/>
      <c r="ET169" s="1786"/>
      <c r="EU169" s="1786"/>
      <c r="EV169" s="1786"/>
      <c r="EW169" s="1786"/>
      <c r="EX169" s="1786"/>
      <c r="EY169" s="1786"/>
      <c r="EZ169" s="1786"/>
      <c r="FA169" s="1786"/>
      <c r="FB169" s="1786"/>
      <c r="FC169" s="1786"/>
      <c r="FD169" s="1786"/>
      <c r="FE169" s="1786"/>
      <c r="FF169" s="1786"/>
      <c r="FG169" s="1786"/>
      <c r="FH169" s="1786"/>
      <c r="FI169" s="1786"/>
      <c r="FJ169" s="1786"/>
      <c r="FK169" s="1786"/>
      <c r="FL169" s="1786"/>
      <c r="FM169" s="1786"/>
      <c r="FN169" s="1786"/>
      <c r="FO169" s="1786"/>
      <c r="FP169" s="1786"/>
      <c r="FQ169" s="1786"/>
      <c r="FR169" s="1786"/>
      <c r="FS169" s="1786"/>
      <c r="FT169" s="1786"/>
      <c r="FU169" s="1786"/>
      <c r="FV169" s="1786"/>
      <c r="FW169" s="1786"/>
      <c r="FX169" s="1786"/>
      <c r="FY169" s="1786"/>
      <c r="FZ169" s="1786"/>
      <c r="GA169" s="1786"/>
      <c r="GB169" s="1786"/>
      <c r="GC169" s="1786"/>
      <c r="GD169" s="1786"/>
      <c r="GE169" s="1786"/>
      <c r="GF169" s="1786"/>
      <c r="GG169" s="1786"/>
      <c r="GH169" s="1786"/>
      <c r="GI169" s="1786"/>
      <c r="GJ169" s="1786"/>
      <c r="GK169" s="1786"/>
      <c r="GL169" s="1786"/>
      <c r="GM169" s="1786"/>
      <c r="GN169" s="1786"/>
      <c r="GO169" s="1786"/>
      <c r="GP169" s="1786"/>
      <c r="GQ169" s="1786"/>
      <c r="GR169" s="1786"/>
      <c r="GS169" s="1786"/>
      <c r="GT169" s="1786"/>
      <c r="GU169" s="1786"/>
      <c r="GV169" s="1786"/>
      <c r="GW169" s="1786"/>
      <c r="GX169" s="1786"/>
      <c r="GY169" s="1786"/>
      <c r="GZ169" s="1786"/>
      <c r="HA169" s="1786"/>
      <c r="HB169" s="1786"/>
      <c r="HC169" s="1786"/>
      <c r="HD169" s="1786"/>
      <c r="HE169" s="1786"/>
      <c r="HF169" s="1786"/>
      <c r="HG169" s="1786"/>
      <c r="HH169" s="1786"/>
      <c r="HI169" s="1786"/>
      <c r="HJ169" s="1786"/>
      <c r="HK169" s="1786"/>
      <c r="HL169" s="1786"/>
      <c r="HM169" s="1786"/>
      <c r="HN169" s="1786"/>
      <c r="HO169" s="1786"/>
      <c r="HP169" s="1786"/>
      <c r="HQ169" s="1786"/>
      <c r="HR169" s="1786"/>
      <c r="HS169" s="1786"/>
      <c r="HT169" s="1786"/>
      <c r="HU169" s="1786"/>
      <c r="HV169" s="1786"/>
      <c r="HW169" s="1786"/>
      <c r="HX169" s="1786"/>
      <c r="HY169" s="1786"/>
      <c r="HZ169" s="1786"/>
      <c r="IA169" s="1786"/>
      <c r="IB169" s="1786"/>
      <c r="IC169" s="1786"/>
      <c r="ID169" s="1786"/>
      <c r="IE169" s="1786"/>
      <c r="IF169" s="1786"/>
      <c r="IG169" s="1786"/>
      <c r="IH169" s="1786"/>
      <c r="II169" s="1786"/>
      <c r="IJ169" s="1786"/>
      <c r="IK169" s="1786"/>
      <c r="IL169" s="1786"/>
      <c r="IM169" s="1786"/>
      <c r="IN169" s="1786"/>
      <c r="IO169" s="1786"/>
      <c r="IP169" s="1786"/>
      <c r="IQ169" s="1786"/>
      <c r="IR169" s="1786"/>
      <c r="IS169" s="1786"/>
      <c r="IT169" s="1786"/>
      <c r="IU169" s="1786"/>
      <c r="IV169" s="1786"/>
    </row>
    <row r="170" spans="1:256">
      <c r="A170" s="1703"/>
      <c r="B170" s="1753"/>
      <c r="C170" s="1753" t="s">
        <v>1579</v>
      </c>
      <c r="D170" s="1699"/>
      <c r="E170" s="1699"/>
      <c r="F170" s="1755"/>
      <c r="G170" s="1699"/>
      <c r="H170" s="1699"/>
      <c r="I170" s="1699"/>
      <c r="J170" s="1699"/>
      <c r="K170" s="1699"/>
      <c r="L170" s="1699"/>
      <c r="M170" s="1699"/>
      <c r="N170" s="1699"/>
      <c r="O170" s="1699"/>
      <c r="P170" s="1699"/>
      <c r="Q170" s="1699"/>
      <c r="R170" s="1692">
        <f t="shared" si="63"/>
        <v>0</v>
      </c>
      <c r="S170" s="1702">
        <f t="shared" si="59"/>
        <v>0</v>
      </c>
      <c r="T170" s="1702">
        <f t="shared" si="60"/>
        <v>0</v>
      </c>
      <c r="U170" s="1702">
        <f t="shared" si="73"/>
        <v>0</v>
      </c>
      <c r="V170" s="1702">
        <f t="shared" si="56"/>
        <v>0</v>
      </c>
      <c r="W170" s="1694" t="e">
        <f t="shared" si="54"/>
        <v>#DIV/0!</v>
      </c>
      <c r="X170" s="1695"/>
      <c r="Y170" s="1786"/>
      <c r="Z170" s="1786"/>
      <c r="AA170" s="1786"/>
      <c r="AB170" s="1786"/>
      <c r="AC170" s="1786"/>
      <c r="AD170" s="1786"/>
      <c r="AE170" s="1786"/>
      <c r="AF170" s="1786"/>
      <c r="AG170" s="1786"/>
      <c r="AH170" s="1786"/>
      <c r="AI170" s="1786"/>
      <c r="AJ170" s="1786"/>
      <c r="AK170" s="1786"/>
      <c r="AL170" s="1786"/>
      <c r="AM170" s="1786"/>
      <c r="AN170" s="1786"/>
      <c r="AO170" s="1786"/>
      <c r="AP170" s="1786"/>
      <c r="AQ170" s="1786"/>
      <c r="AR170" s="1786"/>
      <c r="AS170" s="1786"/>
      <c r="AT170" s="1786"/>
      <c r="AU170" s="1786"/>
      <c r="AV170" s="1786"/>
      <c r="AW170" s="1786"/>
      <c r="AX170" s="1786"/>
      <c r="AY170" s="1786"/>
      <c r="AZ170" s="1786"/>
      <c r="BA170" s="1786"/>
      <c r="BB170" s="1786"/>
      <c r="BC170" s="1786"/>
      <c r="BD170" s="1786"/>
      <c r="BE170" s="1786"/>
      <c r="BF170" s="1786"/>
      <c r="BG170" s="1786"/>
      <c r="BH170" s="1786"/>
      <c r="BI170" s="1786"/>
      <c r="BJ170" s="1786"/>
      <c r="BK170" s="1786"/>
      <c r="BL170" s="1786"/>
      <c r="BM170" s="1786"/>
      <c r="BN170" s="1786"/>
      <c r="BO170" s="1786"/>
      <c r="BP170" s="1786"/>
      <c r="BQ170" s="1786"/>
      <c r="BR170" s="1786"/>
      <c r="BS170" s="1786"/>
      <c r="BT170" s="1786"/>
      <c r="BU170" s="1786"/>
      <c r="BV170" s="1786"/>
      <c r="BW170" s="1786"/>
      <c r="BX170" s="1786"/>
      <c r="BY170" s="1786"/>
      <c r="BZ170" s="1786"/>
      <c r="CA170" s="1786"/>
      <c r="CB170" s="1786"/>
      <c r="CC170" s="1786"/>
      <c r="CD170" s="1786"/>
      <c r="CE170" s="1786"/>
      <c r="CF170" s="1786"/>
      <c r="CG170" s="1786"/>
      <c r="CH170" s="1786"/>
      <c r="CI170" s="1786"/>
      <c r="CJ170" s="1786"/>
      <c r="CK170" s="1786"/>
      <c r="CL170" s="1786"/>
      <c r="CM170" s="1786"/>
      <c r="CN170" s="1786"/>
      <c r="CO170" s="1786"/>
      <c r="CP170" s="1786"/>
      <c r="CQ170" s="1786"/>
      <c r="CR170" s="1786"/>
      <c r="CS170" s="1786"/>
      <c r="CT170" s="1786"/>
      <c r="CU170" s="1786"/>
      <c r="CV170" s="1786"/>
      <c r="CW170" s="1786"/>
      <c r="CX170" s="1786"/>
      <c r="CY170" s="1786"/>
      <c r="CZ170" s="1786"/>
      <c r="DA170" s="1786"/>
      <c r="DB170" s="1786"/>
      <c r="DC170" s="1786"/>
      <c r="DD170" s="1786"/>
      <c r="DE170" s="1786"/>
      <c r="DF170" s="1786"/>
      <c r="DG170" s="1786"/>
      <c r="DH170" s="1786"/>
      <c r="DI170" s="1786"/>
      <c r="DJ170" s="1786"/>
      <c r="DK170" s="1786"/>
      <c r="DL170" s="1786"/>
      <c r="DM170" s="1786"/>
      <c r="DN170" s="1786"/>
      <c r="DO170" s="1786"/>
      <c r="DP170" s="1786"/>
      <c r="DQ170" s="1786"/>
      <c r="DR170" s="1786"/>
      <c r="DS170" s="1786"/>
      <c r="DT170" s="1786"/>
      <c r="DU170" s="1786"/>
      <c r="DV170" s="1786"/>
      <c r="DW170" s="1786"/>
      <c r="DX170" s="1786"/>
      <c r="DY170" s="1786"/>
      <c r="DZ170" s="1786"/>
      <c r="EA170" s="1786"/>
      <c r="EB170" s="1786"/>
      <c r="EC170" s="1786"/>
      <c r="ED170" s="1786"/>
      <c r="EE170" s="1786"/>
      <c r="EF170" s="1786"/>
      <c r="EG170" s="1786"/>
      <c r="EH170" s="1786"/>
      <c r="EI170" s="1786"/>
      <c r="EJ170" s="1786"/>
      <c r="EK170" s="1786"/>
      <c r="EL170" s="1786"/>
      <c r="EM170" s="1786"/>
      <c r="EN170" s="1786"/>
      <c r="EO170" s="1786"/>
      <c r="EP170" s="1786"/>
      <c r="EQ170" s="1786"/>
      <c r="ER170" s="1786"/>
      <c r="ES170" s="1786"/>
      <c r="ET170" s="1786"/>
      <c r="EU170" s="1786"/>
      <c r="EV170" s="1786"/>
      <c r="EW170" s="1786"/>
      <c r="EX170" s="1786"/>
      <c r="EY170" s="1786"/>
      <c r="EZ170" s="1786"/>
      <c r="FA170" s="1786"/>
      <c r="FB170" s="1786"/>
      <c r="FC170" s="1786"/>
      <c r="FD170" s="1786"/>
      <c r="FE170" s="1786"/>
      <c r="FF170" s="1786"/>
      <c r="FG170" s="1786"/>
      <c r="FH170" s="1786"/>
      <c r="FI170" s="1786"/>
      <c r="FJ170" s="1786"/>
      <c r="FK170" s="1786"/>
      <c r="FL170" s="1786"/>
      <c r="FM170" s="1786"/>
      <c r="FN170" s="1786"/>
      <c r="FO170" s="1786"/>
      <c r="FP170" s="1786"/>
      <c r="FQ170" s="1786"/>
      <c r="FR170" s="1786"/>
      <c r="FS170" s="1786"/>
      <c r="FT170" s="1786"/>
      <c r="FU170" s="1786"/>
      <c r="FV170" s="1786"/>
      <c r="FW170" s="1786"/>
      <c r="FX170" s="1786"/>
      <c r="FY170" s="1786"/>
      <c r="FZ170" s="1786"/>
      <c r="GA170" s="1786"/>
      <c r="GB170" s="1786"/>
      <c r="GC170" s="1786"/>
      <c r="GD170" s="1786"/>
      <c r="GE170" s="1786"/>
      <c r="GF170" s="1786"/>
      <c r="GG170" s="1786"/>
      <c r="GH170" s="1786"/>
      <c r="GI170" s="1786"/>
      <c r="GJ170" s="1786"/>
      <c r="GK170" s="1786"/>
      <c r="GL170" s="1786"/>
      <c r="GM170" s="1786"/>
      <c r="GN170" s="1786"/>
      <c r="GO170" s="1786"/>
      <c r="GP170" s="1786"/>
      <c r="GQ170" s="1786"/>
      <c r="GR170" s="1786"/>
      <c r="GS170" s="1786"/>
      <c r="GT170" s="1786"/>
      <c r="GU170" s="1786"/>
      <c r="GV170" s="1786"/>
      <c r="GW170" s="1786"/>
      <c r="GX170" s="1786"/>
      <c r="GY170" s="1786"/>
      <c r="GZ170" s="1786"/>
      <c r="HA170" s="1786"/>
      <c r="HB170" s="1786"/>
      <c r="HC170" s="1786"/>
      <c r="HD170" s="1786"/>
      <c r="HE170" s="1786"/>
      <c r="HF170" s="1786"/>
      <c r="HG170" s="1786"/>
      <c r="HH170" s="1786"/>
      <c r="HI170" s="1786"/>
      <c r="HJ170" s="1786"/>
      <c r="HK170" s="1786"/>
      <c r="HL170" s="1786"/>
      <c r="HM170" s="1786"/>
      <c r="HN170" s="1786"/>
      <c r="HO170" s="1786"/>
      <c r="HP170" s="1786"/>
      <c r="HQ170" s="1786"/>
      <c r="HR170" s="1786"/>
      <c r="HS170" s="1786"/>
      <c r="HT170" s="1786"/>
      <c r="HU170" s="1786"/>
      <c r="HV170" s="1786"/>
      <c r="HW170" s="1786"/>
      <c r="HX170" s="1786"/>
      <c r="HY170" s="1786"/>
      <c r="HZ170" s="1786"/>
      <c r="IA170" s="1786"/>
      <c r="IB170" s="1786"/>
      <c r="IC170" s="1786"/>
      <c r="ID170" s="1786"/>
      <c r="IE170" s="1786"/>
      <c r="IF170" s="1786"/>
      <c r="IG170" s="1786"/>
      <c r="IH170" s="1786"/>
      <c r="II170" s="1786"/>
      <c r="IJ170" s="1786"/>
      <c r="IK170" s="1786"/>
      <c r="IL170" s="1786"/>
      <c r="IM170" s="1786"/>
      <c r="IN170" s="1786"/>
      <c r="IO170" s="1786"/>
      <c r="IP170" s="1786"/>
      <c r="IQ170" s="1786"/>
      <c r="IR170" s="1786"/>
      <c r="IS170" s="1786"/>
      <c r="IT170" s="1786"/>
      <c r="IU170" s="1786"/>
      <c r="IV170" s="1786"/>
    </row>
    <row r="171" spans="1:256">
      <c r="A171" s="1703"/>
      <c r="B171" s="1753"/>
      <c r="C171" s="1753" t="s">
        <v>596</v>
      </c>
      <c r="D171" s="1699"/>
      <c r="E171" s="1699"/>
      <c r="F171" s="1755"/>
      <c r="G171" s="1699"/>
      <c r="H171" s="1699"/>
      <c r="I171" s="1699"/>
      <c r="J171" s="1699"/>
      <c r="K171" s="1699"/>
      <c r="L171" s="1699"/>
      <c r="M171" s="1699"/>
      <c r="N171" s="1699"/>
      <c r="O171" s="1699"/>
      <c r="P171" s="1699"/>
      <c r="Q171" s="1699"/>
      <c r="R171" s="1692">
        <f t="shared" si="63"/>
        <v>0</v>
      </c>
      <c r="S171" s="1702">
        <f t="shared" si="59"/>
        <v>0</v>
      </c>
      <c r="T171" s="1702">
        <f t="shared" si="60"/>
        <v>0</v>
      </c>
      <c r="U171" s="1702">
        <f t="shared" si="73"/>
        <v>0</v>
      </c>
      <c r="V171" s="1702">
        <f t="shared" si="56"/>
        <v>0</v>
      </c>
      <c r="W171" s="1694" t="e">
        <f t="shared" si="54"/>
        <v>#DIV/0!</v>
      </c>
      <c r="X171" s="1695"/>
      <c r="Y171" s="1786"/>
      <c r="Z171" s="1786"/>
      <c r="AA171" s="1786"/>
      <c r="AB171" s="1786"/>
      <c r="AC171" s="1786"/>
      <c r="AD171" s="1786"/>
      <c r="AE171" s="1786"/>
      <c r="AF171" s="1786"/>
      <c r="AG171" s="1786"/>
      <c r="AH171" s="1786"/>
      <c r="AI171" s="1786"/>
      <c r="AJ171" s="1786"/>
      <c r="AK171" s="1786"/>
      <c r="AL171" s="1786"/>
      <c r="AM171" s="1786"/>
      <c r="AN171" s="1786"/>
      <c r="AO171" s="1786"/>
      <c r="AP171" s="1786"/>
      <c r="AQ171" s="1786"/>
      <c r="AR171" s="1786"/>
      <c r="AS171" s="1786"/>
      <c r="AT171" s="1786"/>
      <c r="AU171" s="1786"/>
      <c r="AV171" s="1786"/>
      <c r="AW171" s="1786"/>
      <c r="AX171" s="1786"/>
      <c r="AY171" s="1786"/>
      <c r="AZ171" s="1786"/>
      <c r="BA171" s="1786"/>
      <c r="BB171" s="1786"/>
      <c r="BC171" s="1786"/>
      <c r="BD171" s="1786"/>
      <c r="BE171" s="1786"/>
      <c r="BF171" s="1786"/>
      <c r="BG171" s="1786"/>
      <c r="BH171" s="1786"/>
      <c r="BI171" s="1786"/>
      <c r="BJ171" s="1786"/>
      <c r="BK171" s="1786"/>
      <c r="BL171" s="1786"/>
      <c r="BM171" s="1786"/>
      <c r="BN171" s="1786"/>
      <c r="BO171" s="1786"/>
      <c r="BP171" s="1786"/>
      <c r="BQ171" s="1786"/>
      <c r="BR171" s="1786"/>
      <c r="BS171" s="1786"/>
      <c r="BT171" s="1786"/>
      <c r="BU171" s="1786"/>
      <c r="BV171" s="1786"/>
      <c r="BW171" s="1786"/>
      <c r="BX171" s="1786"/>
      <c r="BY171" s="1786"/>
      <c r="BZ171" s="1786"/>
      <c r="CA171" s="1786"/>
      <c r="CB171" s="1786"/>
      <c r="CC171" s="1786"/>
      <c r="CD171" s="1786"/>
      <c r="CE171" s="1786"/>
      <c r="CF171" s="1786"/>
      <c r="CG171" s="1786"/>
      <c r="CH171" s="1786"/>
      <c r="CI171" s="1786"/>
      <c r="CJ171" s="1786"/>
      <c r="CK171" s="1786"/>
      <c r="CL171" s="1786"/>
      <c r="CM171" s="1786"/>
      <c r="CN171" s="1786"/>
      <c r="CO171" s="1786"/>
      <c r="CP171" s="1786"/>
      <c r="CQ171" s="1786"/>
      <c r="CR171" s="1786"/>
      <c r="CS171" s="1786"/>
      <c r="CT171" s="1786"/>
      <c r="CU171" s="1786"/>
      <c r="CV171" s="1786"/>
      <c r="CW171" s="1786"/>
      <c r="CX171" s="1786"/>
      <c r="CY171" s="1786"/>
      <c r="CZ171" s="1786"/>
      <c r="DA171" s="1786"/>
      <c r="DB171" s="1786"/>
      <c r="DC171" s="1786"/>
      <c r="DD171" s="1786"/>
      <c r="DE171" s="1786"/>
      <c r="DF171" s="1786"/>
      <c r="DG171" s="1786"/>
      <c r="DH171" s="1786"/>
      <c r="DI171" s="1786"/>
      <c r="DJ171" s="1786"/>
      <c r="DK171" s="1786"/>
      <c r="DL171" s="1786"/>
      <c r="DM171" s="1786"/>
      <c r="DN171" s="1786"/>
      <c r="DO171" s="1786"/>
      <c r="DP171" s="1786"/>
      <c r="DQ171" s="1786"/>
      <c r="DR171" s="1786"/>
      <c r="DS171" s="1786"/>
      <c r="DT171" s="1786"/>
      <c r="DU171" s="1786"/>
      <c r="DV171" s="1786"/>
      <c r="DW171" s="1786"/>
      <c r="DX171" s="1786"/>
      <c r="DY171" s="1786"/>
      <c r="DZ171" s="1786"/>
      <c r="EA171" s="1786"/>
      <c r="EB171" s="1786"/>
      <c r="EC171" s="1786"/>
      <c r="ED171" s="1786"/>
      <c r="EE171" s="1786"/>
      <c r="EF171" s="1786"/>
      <c r="EG171" s="1786"/>
      <c r="EH171" s="1786"/>
      <c r="EI171" s="1786"/>
      <c r="EJ171" s="1786"/>
      <c r="EK171" s="1786"/>
      <c r="EL171" s="1786"/>
      <c r="EM171" s="1786"/>
      <c r="EN171" s="1786"/>
      <c r="EO171" s="1786"/>
      <c r="EP171" s="1786"/>
      <c r="EQ171" s="1786"/>
      <c r="ER171" s="1786"/>
      <c r="ES171" s="1786"/>
      <c r="ET171" s="1786"/>
      <c r="EU171" s="1786"/>
      <c r="EV171" s="1786"/>
      <c r="EW171" s="1786"/>
      <c r="EX171" s="1786"/>
      <c r="EY171" s="1786"/>
      <c r="EZ171" s="1786"/>
      <c r="FA171" s="1786"/>
      <c r="FB171" s="1786"/>
      <c r="FC171" s="1786"/>
      <c r="FD171" s="1786"/>
      <c r="FE171" s="1786"/>
      <c r="FF171" s="1786"/>
      <c r="FG171" s="1786"/>
      <c r="FH171" s="1786"/>
      <c r="FI171" s="1786"/>
      <c r="FJ171" s="1786"/>
      <c r="FK171" s="1786"/>
      <c r="FL171" s="1786"/>
      <c r="FM171" s="1786"/>
      <c r="FN171" s="1786"/>
      <c r="FO171" s="1786"/>
      <c r="FP171" s="1786"/>
      <c r="FQ171" s="1786"/>
      <c r="FR171" s="1786"/>
      <c r="FS171" s="1786"/>
      <c r="FT171" s="1786"/>
      <c r="FU171" s="1786"/>
      <c r="FV171" s="1786"/>
      <c r="FW171" s="1786"/>
      <c r="FX171" s="1786"/>
      <c r="FY171" s="1786"/>
      <c r="FZ171" s="1786"/>
      <c r="GA171" s="1786"/>
      <c r="GB171" s="1786"/>
      <c r="GC171" s="1786"/>
      <c r="GD171" s="1786"/>
      <c r="GE171" s="1786"/>
      <c r="GF171" s="1786"/>
      <c r="GG171" s="1786"/>
      <c r="GH171" s="1786"/>
      <c r="GI171" s="1786"/>
      <c r="GJ171" s="1786"/>
      <c r="GK171" s="1786"/>
      <c r="GL171" s="1786"/>
      <c r="GM171" s="1786"/>
      <c r="GN171" s="1786"/>
      <c r="GO171" s="1786"/>
      <c r="GP171" s="1786"/>
      <c r="GQ171" s="1786"/>
      <c r="GR171" s="1786"/>
      <c r="GS171" s="1786"/>
      <c r="GT171" s="1786"/>
      <c r="GU171" s="1786"/>
      <c r="GV171" s="1786"/>
      <c r="GW171" s="1786"/>
      <c r="GX171" s="1786"/>
      <c r="GY171" s="1786"/>
      <c r="GZ171" s="1786"/>
      <c r="HA171" s="1786"/>
      <c r="HB171" s="1786"/>
      <c r="HC171" s="1786"/>
      <c r="HD171" s="1786"/>
      <c r="HE171" s="1786"/>
      <c r="HF171" s="1786"/>
      <c r="HG171" s="1786"/>
      <c r="HH171" s="1786"/>
      <c r="HI171" s="1786"/>
      <c r="HJ171" s="1786"/>
      <c r="HK171" s="1786"/>
      <c r="HL171" s="1786"/>
      <c r="HM171" s="1786"/>
      <c r="HN171" s="1786"/>
      <c r="HO171" s="1786"/>
      <c r="HP171" s="1786"/>
      <c r="HQ171" s="1786"/>
      <c r="HR171" s="1786"/>
      <c r="HS171" s="1786"/>
      <c r="HT171" s="1786"/>
      <c r="HU171" s="1786"/>
      <c r="HV171" s="1786"/>
      <c r="HW171" s="1786"/>
      <c r="HX171" s="1786"/>
      <c r="HY171" s="1786"/>
      <c r="HZ171" s="1786"/>
      <c r="IA171" s="1786"/>
      <c r="IB171" s="1786"/>
      <c r="IC171" s="1786"/>
      <c r="ID171" s="1786"/>
      <c r="IE171" s="1786"/>
      <c r="IF171" s="1786"/>
      <c r="IG171" s="1786"/>
      <c r="IH171" s="1786"/>
      <c r="II171" s="1786"/>
      <c r="IJ171" s="1786"/>
      <c r="IK171" s="1786"/>
      <c r="IL171" s="1786"/>
      <c r="IM171" s="1786"/>
      <c r="IN171" s="1786"/>
      <c r="IO171" s="1786"/>
      <c r="IP171" s="1786"/>
      <c r="IQ171" s="1786"/>
      <c r="IR171" s="1786"/>
      <c r="IS171" s="1786"/>
      <c r="IT171" s="1786"/>
      <c r="IU171" s="1786"/>
      <c r="IV171" s="1786"/>
    </row>
    <row r="172" spans="1:256">
      <c r="A172" s="1703"/>
      <c r="B172" s="1753"/>
      <c r="C172" s="1753" t="s">
        <v>2729</v>
      </c>
      <c r="D172" s="1699"/>
      <c r="E172" s="1699"/>
      <c r="F172" s="1755"/>
      <c r="G172" s="1699"/>
      <c r="H172" s="1699"/>
      <c r="I172" s="1699"/>
      <c r="J172" s="1699"/>
      <c r="K172" s="1699"/>
      <c r="L172" s="1699"/>
      <c r="M172" s="1699"/>
      <c r="N172" s="1699"/>
      <c r="O172" s="1699"/>
      <c r="P172" s="1699"/>
      <c r="Q172" s="1699"/>
      <c r="R172" s="1692">
        <f t="shared" si="63"/>
        <v>0</v>
      </c>
      <c r="S172" s="1702">
        <f t="shared" si="59"/>
        <v>0</v>
      </c>
      <c r="T172" s="1702">
        <f t="shared" si="60"/>
        <v>0</v>
      </c>
      <c r="U172" s="1702">
        <f t="shared" si="73"/>
        <v>0</v>
      </c>
      <c r="V172" s="1702">
        <f t="shared" si="56"/>
        <v>0</v>
      </c>
      <c r="W172" s="1694" t="e">
        <f t="shared" si="54"/>
        <v>#DIV/0!</v>
      </c>
      <c r="X172" s="1695"/>
      <c r="Y172" s="1786"/>
      <c r="Z172" s="1786"/>
      <c r="AA172" s="1786"/>
      <c r="AB172" s="1786"/>
      <c r="AC172" s="1786"/>
      <c r="AD172" s="1786"/>
      <c r="AE172" s="1786"/>
      <c r="AF172" s="1786"/>
      <c r="AG172" s="1786"/>
      <c r="AH172" s="1786"/>
      <c r="AI172" s="1786"/>
      <c r="AJ172" s="1786"/>
      <c r="AK172" s="1786"/>
      <c r="AL172" s="1786"/>
      <c r="AM172" s="1786"/>
      <c r="AN172" s="1786"/>
      <c r="AO172" s="1786"/>
      <c r="AP172" s="1786"/>
      <c r="AQ172" s="1786"/>
      <c r="AR172" s="1786"/>
      <c r="AS172" s="1786"/>
      <c r="AT172" s="1786"/>
      <c r="AU172" s="1786"/>
      <c r="AV172" s="1786"/>
      <c r="AW172" s="1786"/>
      <c r="AX172" s="1786"/>
      <c r="AY172" s="1786"/>
      <c r="AZ172" s="1786"/>
      <c r="BA172" s="1786"/>
      <c r="BB172" s="1786"/>
      <c r="BC172" s="1786"/>
      <c r="BD172" s="1786"/>
      <c r="BE172" s="1786"/>
      <c r="BF172" s="1786"/>
      <c r="BG172" s="1786"/>
      <c r="BH172" s="1786"/>
      <c r="BI172" s="1786"/>
      <c r="BJ172" s="1786"/>
      <c r="BK172" s="1786"/>
      <c r="BL172" s="1786"/>
      <c r="BM172" s="1786"/>
      <c r="BN172" s="1786"/>
      <c r="BO172" s="1786"/>
      <c r="BP172" s="1786"/>
      <c r="BQ172" s="1786"/>
      <c r="BR172" s="1786"/>
      <c r="BS172" s="1786"/>
      <c r="BT172" s="1786"/>
      <c r="BU172" s="1786"/>
      <c r="BV172" s="1786"/>
      <c r="BW172" s="1786"/>
      <c r="BX172" s="1786"/>
      <c r="BY172" s="1786"/>
      <c r="BZ172" s="1786"/>
      <c r="CA172" s="1786"/>
      <c r="CB172" s="1786"/>
      <c r="CC172" s="1786"/>
      <c r="CD172" s="1786"/>
      <c r="CE172" s="1786"/>
      <c r="CF172" s="1786"/>
      <c r="CG172" s="1786"/>
      <c r="CH172" s="1786"/>
      <c r="CI172" s="1786"/>
      <c r="CJ172" s="1786"/>
      <c r="CK172" s="1786"/>
      <c r="CL172" s="1786"/>
      <c r="CM172" s="1786"/>
      <c r="CN172" s="1786"/>
      <c r="CO172" s="1786"/>
      <c r="CP172" s="1786"/>
      <c r="CQ172" s="1786"/>
      <c r="CR172" s="1786"/>
      <c r="CS172" s="1786"/>
      <c r="CT172" s="1786"/>
      <c r="CU172" s="1786"/>
      <c r="CV172" s="1786"/>
      <c r="CW172" s="1786"/>
      <c r="CX172" s="1786"/>
      <c r="CY172" s="1786"/>
      <c r="CZ172" s="1786"/>
      <c r="DA172" s="1786"/>
      <c r="DB172" s="1786"/>
      <c r="DC172" s="1786"/>
      <c r="DD172" s="1786"/>
      <c r="DE172" s="1786"/>
      <c r="DF172" s="1786"/>
      <c r="DG172" s="1786"/>
      <c r="DH172" s="1786"/>
      <c r="DI172" s="1786"/>
      <c r="DJ172" s="1786"/>
      <c r="DK172" s="1786"/>
      <c r="DL172" s="1786"/>
      <c r="DM172" s="1786"/>
      <c r="DN172" s="1786"/>
      <c r="DO172" s="1786"/>
      <c r="DP172" s="1786"/>
      <c r="DQ172" s="1786"/>
      <c r="DR172" s="1786"/>
      <c r="DS172" s="1786"/>
      <c r="DT172" s="1786"/>
      <c r="DU172" s="1786"/>
      <c r="DV172" s="1786"/>
      <c r="DW172" s="1786"/>
      <c r="DX172" s="1786"/>
      <c r="DY172" s="1786"/>
      <c r="DZ172" s="1786"/>
      <c r="EA172" s="1786"/>
      <c r="EB172" s="1786"/>
      <c r="EC172" s="1786"/>
      <c r="ED172" s="1786"/>
      <c r="EE172" s="1786"/>
      <c r="EF172" s="1786"/>
      <c r="EG172" s="1786"/>
      <c r="EH172" s="1786"/>
      <c r="EI172" s="1786"/>
      <c r="EJ172" s="1786"/>
      <c r="EK172" s="1786"/>
      <c r="EL172" s="1786"/>
      <c r="EM172" s="1786"/>
      <c r="EN172" s="1786"/>
      <c r="EO172" s="1786"/>
      <c r="EP172" s="1786"/>
      <c r="EQ172" s="1786"/>
      <c r="ER172" s="1786"/>
      <c r="ES172" s="1786"/>
      <c r="ET172" s="1786"/>
      <c r="EU172" s="1786"/>
      <c r="EV172" s="1786"/>
      <c r="EW172" s="1786"/>
      <c r="EX172" s="1786"/>
      <c r="EY172" s="1786"/>
      <c r="EZ172" s="1786"/>
      <c r="FA172" s="1786"/>
      <c r="FB172" s="1786"/>
      <c r="FC172" s="1786"/>
      <c r="FD172" s="1786"/>
      <c r="FE172" s="1786"/>
      <c r="FF172" s="1786"/>
      <c r="FG172" s="1786"/>
      <c r="FH172" s="1786"/>
      <c r="FI172" s="1786"/>
      <c r="FJ172" s="1786"/>
      <c r="FK172" s="1786"/>
      <c r="FL172" s="1786"/>
      <c r="FM172" s="1786"/>
      <c r="FN172" s="1786"/>
      <c r="FO172" s="1786"/>
      <c r="FP172" s="1786"/>
      <c r="FQ172" s="1786"/>
      <c r="FR172" s="1786"/>
      <c r="FS172" s="1786"/>
      <c r="FT172" s="1786"/>
      <c r="FU172" s="1786"/>
      <c r="FV172" s="1786"/>
      <c r="FW172" s="1786"/>
      <c r="FX172" s="1786"/>
      <c r="FY172" s="1786"/>
      <c r="FZ172" s="1786"/>
      <c r="GA172" s="1786"/>
      <c r="GB172" s="1786"/>
      <c r="GC172" s="1786"/>
      <c r="GD172" s="1786"/>
      <c r="GE172" s="1786"/>
      <c r="GF172" s="1786"/>
      <c r="GG172" s="1786"/>
      <c r="GH172" s="1786"/>
      <c r="GI172" s="1786"/>
      <c r="GJ172" s="1786"/>
      <c r="GK172" s="1786"/>
      <c r="GL172" s="1786"/>
      <c r="GM172" s="1786"/>
      <c r="GN172" s="1786"/>
      <c r="GO172" s="1786"/>
      <c r="GP172" s="1786"/>
      <c r="GQ172" s="1786"/>
      <c r="GR172" s="1786"/>
      <c r="GS172" s="1786"/>
      <c r="GT172" s="1786"/>
      <c r="GU172" s="1786"/>
      <c r="GV172" s="1786"/>
      <c r="GW172" s="1786"/>
      <c r="GX172" s="1786"/>
      <c r="GY172" s="1786"/>
      <c r="GZ172" s="1786"/>
      <c r="HA172" s="1786"/>
      <c r="HB172" s="1786"/>
      <c r="HC172" s="1786"/>
      <c r="HD172" s="1786"/>
      <c r="HE172" s="1786"/>
      <c r="HF172" s="1786"/>
      <c r="HG172" s="1786"/>
      <c r="HH172" s="1786"/>
      <c r="HI172" s="1786"/>
      <c r="HJ172" s="1786"/>
      <c r="HK172" s="1786"/>
      <c r="HL172" s="1786"/>
      <c r="HM172" s="1786"/>
      <c r="HN172" s="1786"/>
      <c r="HO172" s="1786"/>
      <c r="HP172" s="1786"/>
      <c r="HQ172" s="1786"/>
      <c r="HR172" s="1786"/>
      <c r="HS172" s="1786"/>
      <c r="HT172" s="1786"/>
      <c r="HU172" s="1786"/>
      <c r="HV172" s="1786"/>
      <c r="HW172" s="1786"/>
      <c r="HX172" s="1786"/>
      <c r="HY172" s="1786"/>
      <c r="HZ172" s="1786"/>
      <c r="IA172" s="1786"/>
      <c r="IB172" s="1786"/>
      <c r="IC172" s="1786"/>
      <c r="ID172" s="1786"/>
      <c r="IE172" s="1786"/>
      <c r="IF172" s="1786"/>
      <c r="IG172" s="1786"/>
      <c r="IH172" s="1786"/>
      <c r="II172" s="1786"/>
      <c r="IJ172" s="1786"/>
      <c r="IK172" s="1786"/>
      <c r="IL172" s="1786"/>
      <c r="IM172" s="1786"/>
      <c r="IN172" s="1786"/>
      <c r="IO172" s="1786"/>
      <c r="IP172" s="1786"/>
      <c r="IQ172" s="1786"/>
      <c r="IR172" s="1786"/>
      <c r="IS172" s="1786"/>
      <c r="IT172" s="1786"/>
      <c r="IU172" s="1786"/>
      <c r="IV172" s="1786"/>
    </row>
    <row r="173" spans="1:256">
      <c r="A173" s="1703"/>
      <c r="B173" s="1753"/>
      <c r="C173" s="1753" t="s">
        <v>2728</v>
      </c>
      <c r="D173" s="1699"/>
      <c r="E173" s="1699"/>
      <c r="F173" s="1755"/>
      <c r="G173" s="1699"/>
      <c r="H173" s="1699"/>
      <c r="I173" s="1699"/>
      <c r="J173" s="1699"/>
      <c r="K173" s="1699"/>
      <c r="L173" s="1699"/>
      <c r="M173" s="1699"/>
      <c r="N173" s="1699"/>
      <c r="O173" s="1699"/>
      <c r="P173" s="1699"/>
      <c r="Q173" s="1699"/>
      <c r="R173" s="1692">
        <f t="shared" si="63"/>
        <v>0</v>
      </c>
      <c r="S173" s="1702">
        <f t="shared" si="59"/>
        <v>0</v>
      </c>
      <c r="T173" s="1702">
        <f t="shared" si="60"/>
        <v>0</v>
      </c>
      <c r="U173" s="1702">
        <f t="shared" si="73"/>
        <v>0</v>
      </c>
      <c r="V173" s="1702">
        <f t="shared" si="56"/>
        <v>0</v>
      </c>
      <c r="W173" s="1694" t="e">
        <f t="shared" si="54"/>
        <v>#DIV/0!</v>
      </c>
      <c r="X173" s="1695"/>
      <c r="Y173" s="1786"/>
      <c r="Z173" s="1786"/>
      <c r="AA173" s="1786"/>
      <c r="AB173" s="1786"/>
      <c r="AC173" s="1786"/>
      <c r="AD173" s="1786"/>
      <c r="AE173" s="1786"/>
      <c r="AF173" s="1786"/>
      <c r="AG173" s="1786"/>
      <c r="AH173" s="1786"/>
      <c r="AI173" s="1786"/>
      <c r="AJ173" s="1786"/>
      <c r="AK173" s="1786"/>
      <c r="AL173" s="1786"/>
      <c r="AM173" s="1786"/>
      <c r="AN173" s="1786"/>
      <c r="AO173" s="1786"/>
      <c r="AP173" s="1786"/>
      <c r="AQ173" s="1786"/>
      <c r="AR173" s="1786"/>
      <c r="AS173" s="1786"/>
      <c r="AT173" s="1786"/>
      <c r="AU173" s="1786"/>
      <c r="AV173" s="1786"/>
      <c r="AW173" s="1786"/>
      <c r="AX173" s="1786"/>
      <c r="AY173" s="1786"/>
      <c r="AZ173" s="1786"/>
      <c r="BA173" s="1786"/>
      <c r="BB173" s="1786"/>
      <c r="BC173" s="1786"/>
      <c r="BD173" s="1786"/>
      <c r="BE173" s="1786"/>
      <c r="BF173" s="1786"/>
      <c r="BG173" s="1786"/>
      <c r="BH173" s="1786"/>
      <c r="BI173" s="1786"/>
      <c r="BJ173" s="1786"/>
      <c r="BK173" s="1786"/>
      <c r="BL173" s="1786"/>
      <c r="BM173" s="1786"/>
      <c r="BN173" s="1786"/>
      <c r="BO173" s="1786"/>
      <c r="BP173" s="1786"/>
      <c r="BQ173" s="1786"/>
      <c r="BR173" s="1786"/>
      <c r="BS173" s="1786"/>
      <c r="BT173" s="1786"/>
      <c r="BU173" s="1786"/>
      <c r="BV173" s="1786"/>
      <c r="BW173" s="1786"/>
      <c r="BX173" s="1786"/>
      <c r="BY173" s="1786"/>
      <c r="BZ173" s="1786"/>
      <c r="CA173" s="1786"/>
      <c r="CB173" s="1786"/>
      <c r="CC173" s="1786"/>
      <c r="CD173" s="1786"/>
      <c r="CE173" s="1786"/>
      <c r="CF173" s="1786"/>
      <c r="CG173" s="1786"/>
      <c r="CH173" s="1786"/>
      <c r="CI173" s="1786"/>
      <c r="CJ173" s="1786"/>
      <c r="CK173" s="1786"/>
      <c r="CL173" s="1786"/>
      <c r="CM173" s="1786"/>
      <c r="CN173" s="1786"/>
      <c r="CO173" s="1786"/>
      <c r="CP173" s="1786"/>
      <c r="CQ173" s="1786"/>
      <c r="CR173" s="1786"/>
      <c r="CS173" s="1786"/>
      <c r="CT173" s="1786"/>
      <c r="CU173" s="1786"/>
      <c r="CV173" s="1786"/>
      <c r="CW173" s="1786"/>
      <c r="CX173" s="1786"/>
      <c r="CY173" s="1786"/>
      <c r="CZ173" s="1786"/>
      <c r="DA173" s="1786"/>
      <c r="DB173" s="1786"/>
      <c r="DC173" s="1786"/>
      <c r="DD173" s="1786"/>
      <c r="DE173" s="1786"/>
      <c r="DF173" s="1786"/>
      <c r="DG173" s="1786"/>
      <c r="DH173" s="1786"/>
      <c r="DI173" s="1786"/>
      <c r="DJ173" s="1786"/>
      <c r="DK173" s="1786"/>
      <c r="DL173" s="1786"/>
      <c r="DM173" s="1786"/>
      <c r="DN173" s="1786"/>
      <c r="DO173" s="1786"/>
      <c r="DP173" s="1786"/>
      <c r="DQ173" s="1786"/>
      <c r="DR173" s="1786"/>
      <c r="DS173" s="1786"/>
      <c r="DT173" s="1786"/>
      <c r="DU173" s="1786"/>
      <c r="DV173" s="1786"/>
      <c r="DW173" s="1786"/>
      <c r="DX173" s="1786"/>
      <c r="DY173" s="1786"/>
      <c r="DZ173" s="1786"/>
      <c r="EA173" s="1786"/>
      <c r="EB173" s="1786"/>
      <c r="EC173" s="1786"/>
      <c r="ED173" s="1786"/>
      <c r="EE173" s="1786"/>
      <c r="EF173" s="1786"/>
      <c r="EG173" s="1786"/>
      <c r="EH173" s="1786"/>
      <c r="EI173" s="1786"/>
      <c r="EJ173" s="1786"/>
      <c r="EK173" s="1786"/>
      <c r="EL173" s="1786"/>
      <c r="EM173" s="1786"/>
      <c r="EN173" s="1786"/>
      <c r="EO173" s="1786"/>
      <c r="EP173" s="1786"/>
      <c r="EQ173" s="1786"/>
      <c r="ER173" s="1786"/>
      <c r="ES173" s="1786"/>
      <c r="ET173" s="1786"/>
      <c r="EU173" s="1786"/>
      <c r="EV173" s="1786"/>
      <c r="EW173" s="1786"/>
      <c r="EX173" s="1786"/>
      <c r="EY173" s="1786"/>
      <c r="EZ173" s="1786"/>
      <c r="FA173" s="1786"/>
      <c r="FB173" s="1786"/>
      <c r="FC173" s="1786"/>
      <c r="FD173" s="1786"/>
      <c r="FE173" s="1786"/>
      <c r="FF173" s="1786"/>
      <c r="FG173" s="1786"/>
      <c r="FH173" s="1786"/>
      <c r="FI173" s="1786"/>
      <c r="FJ173" s="1786"/>
      <c r="FK173" s="1786"/>
      <c r="FL173" s="1786"/>
      <c r="FM173" s="1786"/>
      <c r="FN173" s="1786"/>
      <c r="FO173" s="1786"/>
      <c r="FP173" s="1786"/>
      <c r="FQ173" s="1786"/>
      <c r="FR173" s="1786"/>
      <c r="FS173" s="1786"/>
      <c r="FT173" s="1786"/>
      <c r="FU173" s="1786"/>
      <c r="FV173" s="1786"/>
      <c r="FW173" s="1786"/>
      <c r="FX173" s="1786"/>
      <c r="FY173" s="1786"/>
      <c r="FZ173" s="1786"/>
      <c r="GA173" s="1786"/>
      <c r="GB173" s="1786"/>
      <c r="GC173" s="1786"/>
      <c r="GD173" s="1786"/>
      <c r="GE173" s="1786"/>
      <c r="GF173" s="1786"/>
      <c r="GG173" s="1786"/>
      <c r="GH173" s="1786"/>
      <c r="GI173" s="1786"/>
      <c r="GJ173" s="1786"/>
      <c r="GK173" s="1786"/>
      <c r="GL173" s="1786"/>
      <c r="GM173" s="1786"/>
      <c r="GN173" s="1786"/>
      <c r="GO173" s="1786"/>
      <c r="GP173" s="1786"/>
      <c r="GQ173" s="1786"/>
      <c r="GR173" s="1786"/>
      <c r="GS173" s="1786"/>
      <c r="GT173" s="1786"/>
      <c r="GU173" s="1786"/>
      <c r="GV173" s="1786"/>
      <c r="GW173" s="1786"/>
      <c r="GX173" s="1786"/>
      <c r="GY173" s="1786"/>
      <c r="GZ173" s="1786"/>
      <c r="HA173" s="1786"/>
      <c r="HB173" s="1786"/>
      <c r="HC173" s="1786"/>
      <c r="HD173" s="1786"/>
      <c r="HE173" s="1786"/>
      <c r="HF173" s="1786"/>
      <c r="HG173" s="1786"/>
      <c r="HH173" s="1786"/>
      <c r="HI173" s="1786"/>
      <c r="HJ173" s="1786"/>
      <c r="HK173" s="1786"/>
      <c r="HL173" s="1786"/>
      <c r="HM173" s="1786"/>
      <c r="HN173" s="1786"/>
      <c r="HO173" s="1786"/>
      <c r="HP173" s="1786"/>
      <c r="HQ173" s="1786"/>
      <c r="HR173" s="1786"/>
      <c r="HS173" s="1786"/>
      <c r="HT173" s="1786"/>
      <c r="HU173" s="1786"/>
      <c r="HV173" s="1786"/>
      <c r="HW173" s="1786"/>
      <c r="HX173" s="1786"/>
      <c r="HY173" s="1786"/>
      <c r="HZ173" s="1786"/>
      <c r="IA173" s="1786"/>
      <c r="IB173" s="1786"/>
      <c r="IC173" s="1786"/>
      <c r="ID173" s="1786"/>
      <c r="IE173" s="1786"/>
      <c r="IF173" s="1786"/>
      <c r="IG173" s="1786"/>
      <c r="IH173" s="1786"/>
      <c r="II173" s="1786"/>
      <c r="IJ173" s="1786"/>
      <c r="IK173" s="1786"/>
      <c r="IL173" s="1786"/>
      <c r="IM173" s="1786"/>
      <c r="IN173" s="1786"/>
      <c r="IO173" s="1786"/>
      <c r="IP173" s="1786"/>
      <c r="IQ173" s="1786"/>
      <c r="IR173" s="1786"/>
      <c r="IS173" s="1786"/>
      <c r="IT173" s="1786"/>
      <c r="IU173" s="1786"/>
      <c r="IV173" s="1786"/>
    </row>
    <row r="174" spans="1:256">
      <c r="A174" s="1703"/>
      <c r="B174" s="1753"/>
      <c r="C174" s="1753" t="s">
        <v>2727</v>
      </c>
      <c r="D174" s="1699"/>
      <c r="E174" s="1699"/>
      <c r="F174" s="1699"/>
      <c r="G174" s="1699"/>
      <c r="H174" s="1699"/>
      <c r="I174" s="1699"/>
      <c r="J174" s="1699"/>
      <c r="K174" s="1699"/>
      <c r="L174" s="1699"/>
      <c r="M174" s="1699"/>
      <c r="N174" s="1699"/>
      <c r="O174" s="1699"/>
      <c r="P174" s="1699"/>
      <c r="Q174" s="1699"/>
      <c r="R174" s="1692">
        <f t="shared" si="63"/>
        <v>0</v>
      </c>
      <c r="S174" s="1702">
        <f t="shared" si="59"/>
        <v>0</v>
      </c>
      <c r="T174" s="1702">
        <f t="shared" si="60"/>
        <v>0</v>
      </c>
      <c r="U174" s="1702">
        <f t="shared" si="73"/>
        <v>0</v>
      </c>
      <c r="V174" s="1702">
        <f t="shared" si="56"/>
        <v>0</v>
      </c>
      <c r="W174" s="1694" t="e">
        <f t="shared" si="54"/>
        <v>#DIV/0!</v>
      </c>
      <c r="X174" s="1695"/>
      <c r="Y174" s="1786"/>
      <c r="Z174" s="1786"/>
      <c r="AA174" s="1786"/>
      <c r="AB174" s="1786"/>
      <c r="AC174" s="1786"/>
      <c r="AD174" s="1786"/>
      <c r="AE174" s="1786"/>
      <c r="AF174" s="1786"/>
      <c r="AG174" s="1786"/>
      <c r="AH174" s="1786"/>
      <c r="AI174" s="1786"/>
      <c r="AJ174" s="1786"/>
      <c r="AK174" s="1786"/>
      <c r="AL174" s="1786"/>
      <c r="AM174" s="1786"/>
      <c r="AN174" s="1786"/>
      <c r="AO174" s="1786"/>
      <c r="AP174" s="1786"/>
      <c r="AQ174" s="1786"/>
      <c r="AR174" s="1786"/>
      <c r="AS174" s="1786"/>
      <c r="AT174" s="1786"/>
      <c r="AU174" s="1786"/>
      <c r="AV174" s="1786"/>
      <c r="AW174" s="1786"/>
      <c r="AX174" s="1786"/>
      <c r="AY174" s="1786"/>
      <c r="AZ174" s="1786"/>
      <c r="BA174" s="1786"/>
      <c r="BB174" s="1786"/>
      <c r="BC174" s="1786"/>
      <c r="BD174" s="1786"/>
      <c r="BE174" s="1786"/>
      <c r="BF174" s="1786"/>
      <c r="BG174" s="1786"/>
      <c r="BH174" s="1786"/>
      <c r="BI174" s="1786"/>
      <c r="BJ174" s="1786"/>
      <c r="BK174" s="1786"/>
      <c r="BL174" s="1786"/>
      <c r="BM174" s="1786"/>
      <c r="BN174" s="1786"/>
      <c r="BO174" s="1786"/>
      <c r="BP174" s="1786"/>
      <c r="BQ174" s="1786"/>
      <c r="BR174" s="1786"/>
      <c r="BS174" s="1786"/>
      <c r="BT174" s="1786"/>
      <c r="BU174" s="1786"/>
      <c r="BV174" s="1786"/>
      <c r="BW174" s="1786"/>
      <c r="BX174" s="1786"/>
      <c r="BY174" s="1786"/>
      <c r="BZ174" s="1786"/>
      <c r="CA174" s="1786"/>
      <c r="CB174" s="1786"/>
      <c r="CC174" s="1786"/>
      <c r="CD174" s="1786"/>
      <c r="CE174" s="1786"/>
      <c r="CF174" s="1786"/>
      <c r="CG174" s="1786"/>
      <c r="CH174" s="1786"/>
      <c r="CI174" s="1786"/>
      <c r="CJ174" s="1786"/>
      <c r="CK174" s="1786"/>
      <c r="CL174" s="1786"/>
      <c r="CM174" s="1786"/>
      <c r="CN174" s="1786"/>
      <c r="CO174" s="1786"/>
      <c r="CP174" s="1786"/>
      <c r="CQ174" s="1786"/>
      <c r="CR174" s="1786"/>
      <c r="CS174" s="1786"/>
      <c r="CT174" s="1786"/>
      <c r="CU174" s="1786"/>
      <c r="CV174" s="1786"/>
      <c r="CW174" s="1786"/>
      <c r="CX174" s="1786"/>
      <c r="CY174" s="1786"/>
      <c r="CZ174" s="1786"/>
      <c r="DA174" s="1786"/>
      <c r="DB174" s="1786"/>
      <c r="DC174" s="1786"/>
      <c r="DD174" s="1786"/>
      <c r="DE174" s="1786"/>
      <c r="DF174" s="1786"/>
      <c r="DG174" s="1786"/>
      <c r="DH174" s="1786"/>
      <c r="DI174" s="1786"/>
      <c r="DJ174" s="1786"/>
      <c r="DK174" s="1786"/>
      <c r="DL174" s="1786"/>
      <c r="DM174" s="1786"/>
      <c r="DN174" s="1786"/>
      <c r="DO174" s="1786"/>
      <c r="DP174" s="1786"/>
      <c r="DQ174" s="1786"/>
      <c r="DR174" s="1786"/>
      <c r="DS174" s="1786"/>
      <c r="DT174" s="1786"/>
      <c r="DU174" s="1786"/>
      <c r="DV174" s="1786"/>
      <c r="DW174" s="1786"/>
      <c r="DX174" s="1786"/>
      <c r="DY174" s="1786"/>
      <c r="DZ174" s="1786"/>
      <c r="EA174" s="1786"/>
      <c r="EB174" s="1786"/>
      <c r="EC174" s="1786"/>
      <c r="ED174" s="1786"/>
      <c r="EE174" s="1786"/>
      <c r="EF174" s="1786"/>
      <c r="EG174" s="1786"/>
      <c r="EH174" s="1786"/>
      <c r="EI174" s="1786"/>
      <c r="EJ174" s="1786"/>
      <c r="EK174" s="1786"/>
      <c r="EL174" s="1786"/>
      <c r="EM174" s="1786"/>
      <c r="EN174" s="1786"/>
      <c r="EO174" s="1786"/>
      <c r="EP174" s="1786"/>
      <c r="EQ174" s="1786"/>
      <c r="ER174" s="1786"/>
      <c r="ES174" s="1786"/>
      <c r="ET174" s="1786"/>
      <c r="EU174" s="1786"/>
      <c r="EV174" s="1786"/>
      <c r="EW174" s="1786"/>
      <c r="EX174" s="1786"/>
      <c r="EY174" s="1786"/>
      <c r="EZ174" s="1786"/>
      <c r="FA174" s="1786"/>
      <c r="FB174" s="1786"/>
      <c r="FC174" s="1786"/>
      <c r="FD174" s="1786"/>
      <c r="FE174" s="1786"/>
      <c r="FF174" s="1786"/>
      <c r="FG174" s="1786"/>
      <c r="FH174" s="1786"/>
      <c r="FI174" s="1786"/>
      <c r="FJ174" s="1786"/>
      <c r="FK174" s="1786"/>
      <c r="FL174" s="1786"/>
      <c r="FM174" s="1786"/>
      <c r="FN174" s="1786"/>
      <c r="FO174" s="1786"/>
      <c r="FP174" s="1786"/>
      <c r="FQ174" s="1786"/>
      <c r="FR174" s="1786"/>
      <c r="FS174" s="1786"/>
      <c r="FT174" s="1786"/>
      <c r="FU174" s="1786"/>
      <c r="FV174" s="1786"/>
      <c r="FW174" s="1786"/>
      <c r="FX174" s="1786"/>
      <c r="FY174" s="1786"/>
      <c r="FZ174" s="1786"/>
      <c r="GA174" s="1786"/>
      <c r="GB174" s="1786"/>
      <c r="GC174" s="1786"/>
      <c r="GD174" s="1786"/>
      <c r="GE174" s="1786"/>
      <c r="GF174" s="1786"/>
      <c r="GG174" s="1786"/>
      <c r="GH174" s="1786"/>
      <c r="GI174" s="1786"/>
      <c r="GJ174" s="1786"/>
      <c r="GK174" s="1786"/>
      <c r="GL174" s="1786"/>
      <c r="GM174" s="1786"/>
      <c r="GN174" s="1786"/>
      <c r="GO174" s="1786"/>
      <c r="GP174" s="1786"/>
      <c r="GQ174" s="1786"/>
      <c r="GR174" s="1786"/>
      <c r="GS174" s="1786"/>
      <c r="GT174" s="1786"/>
      <c r="GU174" s="1786"/>
      <c r="GV174" s="1786"/>
      <c r="GW174" s="1786"/>
      <c r="GX174" s="1786"/>
      <c r="GY174" s="1786"/>
      <c r="GZ174" s="1786"/>
      <c r="HA174" s="1786"/>
      <c r="HB174" s="1786"/>
      <c r="HC174" s="1786"/>
      <c r="HD174" s="1786"/>
      <c r="HE174" s="1786"/>
      <c r="HF174" s="1786"/>
      <c r="HG174" s="1786"/>
      <c r="HH174" s="1786"/>
      <c r="HI174" s="1786"/>
      <c r="HJ174" s="1786"/>
      <c r="HK174" s="1786"/>
      <c r="HL174" s="1786"/>
      <c r="HM174" s="1786"/>
      <c r="HN174" s="1786"/>
      <c r="HO174" s="1786"/>
      <c r="HP174" s="1786"/>
      <c r="HQ174" s="1786"/>
      <c r="HR174" s="1786"/>
      <c r="HS174" s="1786"/>
      <c r="HT174" s="1786"/>
      <c r="HU174" s="1786"/>
      <c r="HV174" s="1786"/>
      <c r="HW174" s="1786"/>
      <c r="HX174" s="1786"/>
      <c r="HY174" s="1786"/>
      <c r="HZ174" s="1786"/>
      <c r="IA174" s="1786"/>
      <c r="IB174" s="1786"/>
      <c r="IC174" s="1786"/>
      <c r="ID174" s="1786"/>
      <c r="IE174" s="1786"/>
      <c r="IF174" s="1786"/>
      <c r="IG174" s="1786"/>
      <c r="IH174" s="1786"/>
      <c r="II174" s="1786"/>
      <c r="IJ174" s="1786"/>
      <c r="IK174" s="1786"/>
      <c r="IL174" s="1786"/>
      <c r="IM174" s="1786"/>
      <c r="IN174" s="1786"/>
      <c r="IO174" s="1786"/>
      <c r="IP174" s="1786"/>
      <c r="IQ174" s="1786"/>
      <c r="IR174" s="1786"/>
      <c r="IS174" s="1786"/>
      <c r="IT174" s="1786"/>
      <c r="IU174" s="1786"/>
      <c r="IV174" s="1786"/>
    </row>
    <row r="175" spans="1:256">
      <c r="A175" s="1703"/>
      <c r="B175" s="1753"/>
      <c r="C175" s="1753" t="s">
        <v>3155</v>
      </c>
      <c r="D175" s="1699"/>
      <c r="E175" s="1699"/>
      <c r="F175" s="1699">
        <f>-ARRIERE!D28</f>
        <v>-680493.45699999994</v>
      </c>
      <c r="G175" s="1699">
        <f>-ARRIERE!E28</f>
        <v>-217536.2</v>
      </c>
      <c r="H175" s="1699">
        <f>-ARRIERE!F28</f>
        <v>-103942.07799999999</v>
      </c>
      <c r="I175" s="1699">
        <f>-ARRIERE!G28</f>
        <v>-102885</v>
      </c>
      <c r="J175" s="1699">
        <f>-ARRIERE!H28</f>
        <v>-15207.615</v>
      </c>
      <c r="K175" s="1699">
        <f>-ARRIERE!I28</f>
        <v>-174165.541</v>
      </c>
      <c r="L175" s="1699">
        <f>-ARRIERE!J28</f>
        <v>-400180.66600000003</v>
      </c>
      <c r="M175" s="1699">
        <f>-ARRIERE!K28</f>
        <v>-10381.5</v>
      </c>
      <c r="N175" s="1699">
        <f>-ARRIERE!L28</f>
        <v>-62337.308000000005</v>
      </c>
      <c r="O175" s="1699">
        <f>-ARRIERE!M28</f>
        <v>-207931.71600000001</v>
      </c>
      <c r="P175" s="1699">
        <f>-ARRIERE!N28</f>
        <v>-99788.527000000002</v>
      </c>
      <c r="Q175" s="1699">
        <f>-ARRIERE!O28</f>
        <v>-71585.241000000009</v>
      </c>
      <c r="R175" s="1692">
        <f t="shared" si="63"/>
        <v>-2146434.8489999999</v>
      </c>
      <c r="S175" s="1702">
        <f t="shared" si="59"/>
        <v>-1001971.7349999999</v>
      </c>
      <c r="T175" s="1702"/>
      <c r="U175" s="1702"/>
      <c r="V175" s="1702"/>
      <c r="W175" s="1694" t="e">
        <f t="shared" si="54"/>
        <v>#DIV/0!</v>
      </c>
      <c r="X175" s="1695"/>
      <c r="Y175" s="1786"/>
      <c r="Z175" s="1786"/>
      <c r="AA175" s="1786"/>
      <c r="AB175" s="1786"/>
      <c r="AC175" s="1786"/>
      <c r="AD175" s="1786"/>
      <c r="AE175" s="1786"/>
      <c r="AF175" s="1786"/>
      <c r="AG175" s="1786"/>
      <c r="AH175" s="1786"/>
      <c r="AI175" s="1786"/>
      <c r="AJ175" s="1786"/>
      <c r="AK175" s="1786"/>
      <c r="AL175" s="1786"/>
      <c r="AM175" s="1786"/>
      <c r="AN175" s="1786"/>
      <c r="AO175" s="1786"/>
      <c r="AP175" s="1786"/>
      <c r="AQ175" s="1786"/>
      <c r="AR175" s="1786"/>
      <c r="AS175" s="1786"/>
      <c r="AT175" s="1786"/>
      <c r="AU175" s="1786"/>
      <c r="AV175" s="1786"/>
      <c r="AW175" s="1786"/>
      <c r="AX175" s="1786"/>
      <c r="AY175" s="1786"/>
      <c r="AZ175" s="1786"/>
      <c r="BA175" s="1786"/>
      <c r="BB175" s="1786"/>
      <c r="BC175" s="1786"/>
      <c r="BD175" s="1786"/>
      <c r="BE175" s="1786"/>
      <c r="BF175" s="1786"/>
      <c r="BG175" s="1786"/>
      <c r="BH175" s="1786"/>
      <c r="BI175" s="1786"/>
      <c r="BJ175" s="1786"/>
      <c r="BK175" s="1786"/>
      <c r="BL175" s="1786"/>
      <c r="BM175" s="1786"/>
      <c r="BN175" s="1786"/>
      <c r="BO175" s="1786"/>
      <c r="BP175" s="1786"/>
      <c r="BQ175" s="1786"/>
      <c r="BR175" s="1786"/>
      <c r="BS175" s="1786"/>
      <c r="BT175" s="1786"/>
      <c r="BU175" s="1786"/>
      <c r="BV175" s="1786"/>
      <c r="BW175" s="1786"/>
      <c r="BX175" s="1786"/>
      <c r="BY175" s="1786"/>
      <c r="BZ175" s="1786"/>
      <c r="CA175" s="1786"/>
      <c r="CB175" s="1786"/>
      <c r="CC175" s="1786"/>
      <c r="CD175" s="1786"/>
      <c r="CE175" s="1786"/>
      <c r="CF175" s="1786"/>
      <c r="CG175" s="1786"/>
      <c r="CH175" s="1786"/>
      <c r="CI175" s="1786"/>
      <c r="CJ175" s="1786"/>
      <c r="CK175" s="1786"/>
      <c r="CL175" s="1786"/>
      <c r="CM175" s="1786"/>
      <c r="CN175" s="1786"/>
      <c r="CO175" s="1786"/>
      <c r="CP175" s="1786"/>
      <c r="CQ175" s="1786"/>
      <c r="CR175" s="1786"/>
      <c r="CS175" s="1786"/>
      <c r="CT175" s="1786"/>
      <c r="CU175" s="1786"/>
      <c r="CV175" s="1786"/>
      <c r="CW175" s="1786"/>
      <c r="CX175" s="1786"/>
      <c r="CY175" s="1786"/>
      <c r="CZ175" s="1786"/>
      <c r="DA175" s="1786"/>
      <c r="DB175" s="1786"/>
      <c r="DC175" s="1786"/>
      <c r="DD175" s="1786"/>
      <c r="DE175" s="1786"/>
      <c r="DF175" s="1786"/>
      <c r="DG175" s="1786"/>
      <c r="DH175" s="1786"/>
      <c r="DI175" s="1786"/>
      <c r="DJ175" s="1786"/>
      <c r="DK175" s="1786"/>
      <c r="DL175" s="1786"/>
      <c r="DM175" s="1786"/>
      <c r="DN175" s="1786"/>
      <c r="DO175" s="1786"/>
      <c r="DP175" s="1786"/>
      <c r="DQ175" s="1786"/>
      <c r="DR175" s="1786"/>
      <c r="DS175" s="1786"/>
      <c r="DT175" s="1786"/>
      <c r="DU175" s="1786"/>
      <c r="DV175" s="1786"/>
      <c r="DW175" s="1786"/>
      <c r="DX175" s="1786"/>
      <c r="DY175" s="1786"/>
      <c r="DZ175" s="1786"/>
      <c r="EA175" s="1786"/>
      <c r="EB175" s="1786"/>
      <c r="EC175" s="1786"/>
      <c r="ED175" s="1786"/>
      <c r="EE175" s="1786"/>
      <c r="EF175" s="1786"/>
      <c r="EG175" s="1786"/>
      <c r="EH175" s="1786"/>
      <c r="EI175" s="1786"/>
      <c r="EJ175" s="1786"/>
      <c r="EK175" s="1786"/>
      <c r="EL175" s="1786"/>
      <c r="EM175" s="1786"/>
      <c r="EN175" s="1786"/>
      <c r="EO175" s="1786"/>
      <c r="EP175" s="1786"/>
      <c r="EQ175" s="1786"/>
      <c r="ER175" s="1786"/>
      <c r="ES175" s="1786"/>
      <c r="ET175" s="1786"/>
      <c r="EU175" s="1786"/>
      <c r="EV175" s="1786"/>
      <c r="EW175" s="1786"/>
      <c r="EX175" s="1786"/>
      <c r="EY175" s="1786"/>
      <c r="EZ175" s="1786"/>
      <c r="FA175" s="1786"/>
      <c r="FB175" s="1786"/>
      <c r="FC175" s="1786"/>
      <c r="FD175" s="1786"/>
      <c r="FE175" s="1786"/>
      <c r="FF175" s="1786"/>
      <c r="FG175" s="1786"/>
      <c r="FH175" s="1786"/>
      <c r="FI175" s="1786"/>
      <c r="FJ175" s="1786"/>
      <c r="FK175" s="1786"/>
      <c r="FL175" s="1786"/>
      <c r="FM175" s="1786"/>
      <c r="FN175" s="1786"/>
      <c r="FO175" s="1786"/>
      <c r="FP175" s="1786"/>
      <c r="FQ175" s="1786"/>
      <c r="FR175" s="1786"/>
      <c r="FS175" s="1786"/>
      <c r="FT175" s="1786"/>
      <c r="FU175" s="1786"/>
      <c r="FV175" s="1786"/>
      <c r="FW175" s="1786"/>
      <c r="FX175" s="1786"/>
      <c r="FY175" s="1786"/>
      <c r="FZ175" s="1786"/>
      <c r="GA175" s="1786"/>
      <c r="GB175" s="1786"/>
      <c r="GC175" s="1786"/>
      <c r="GD175" s="1786"/>
      <c r="GE175" s="1786"/>
      <c r="GF175" s="1786"/>
      <c r="GG175" s="1786"/>
      <c r="GH175" s="1786"/>
      <c r="GI175" s="1786"/>
      <c r="GJ175" s="1786"/>
      <c r="GK175" s="1786"/>
      <c r="GL175" s="1786"/>
      <c r="GM175" s="1786"/>
      <c r="GN175" s="1786"/>
      <c r="GO175" s="1786"/>
      <c r="GP175" s="1786"/>
      <c r="GQ175" s="1786"/>
      <c r="GR175" s="1786"/>
      <c r="GS175" s="1786"/>
      <c r="GT175" s="1786"/>
      <c r="GU175" s="1786"/>
      <c r="GV175" s="1786"/>
      <c r="GW175" s="1786"/>
      <c r="GX175" s="1786"/>
      <c r="GY175" s="1786"/>
      <c r="GZ175" s="1786"/>
      <c r="HA175" s="1786"/>
      <c r="HB175" s="1786"/>
      <c r="HC175" s="1786"/>
      <c r="HD175" s="1786"/>
      <c r="HE175" s="1786"/>
      <c r="HF175" s="1786"/>
      <c r="HG175" s="1786"/>
      <c r="HH175" s="1786"/>
      <c r="HI175" s="1786"/>
      <c r="HJ175" s="1786"/>
      <c r="HK175" s="1786"/>
      <c r="HL175" s="1786"/>
      <c r="HM175" s="1786"/>
      <c r="HN175" s="1786"/>
      <c r="HO175" s="1786"/>
      <c r="HP175" s="1786"/>
      <c r="HQ175" s="1786"/>
      <c r="HR175" s="1786"/>
      <c r="HS175" s="1786"/>
      <c r="HT175" s="1786"/>
      <c r="HU175" s="1786"/>
      <c r="HV175" s="1786"/>
      <c r="HW175" s="1786"/>
      <c r="HX175" s="1786"/>
      <c r="HY175" s="1786"/>
      <c r="HZ175" s="1786"/>
      <c r="IA175" s="1786"/>
      <c r="IB175" s="1786"/>
      <c r="IC175" s="1786"/>
      <c r="ID175" s="1786"/>
      <c r="IE175" s="1786"/>
      <c r="IF175" s="1786"/>
      <c r="IG175" s="1786"/>
      <c r="IH175" s="1786"/>
      <c r="II175" s="1786"/>
      <c r="IJ175" s="1786"/>
      <c r="IK175" s="1786"/>
      <c r="IL175" s="1786"/>
      <c r="IM175" s="1786"/>
      <c r="IN175" s="1786"/>
      <c r="IO175" s="1786"/>
      <c r="IP175" s="1786"/>
      <c r="IQ175" s="1786"/>
      <c r="IR175" s="1786"/>
      <c r="IS175" s="1786"/>
      <c r="IT175" s="1786"/>
      <c r="IU175" s="1786"/>
      <c r="IV175" s="1786"/>
    </row>
    <row r="176" spans="1:256">
      <c r="A176" s="1744" t="s">
        <v>582</v>
      </c>
      <c r="B176" s="1753"/>
      <c r="C176" s="1753" t="s">
        <v>583</v>
      </c>
      <c r="D176" s="1699">
        <v>0</v>
      </c>
      <c r="E176" s="1699"/>
      <c r="F176" s="1790">
        <f>+Dettes!F65</f>
        <v>-11238.207129999995</v>
      </c>
      <c r="G176" s="1790">
        <f>+Dettes!J65</f>
        <v>0</v>
      </c>
      <c r="H176" s="1790">
        <f>+Dettes!N65</f>
        <v>0</v>
      </c>
      <c r="I176" s="1790">
        <f>+Dettes!R65</f>
        <v>0</v>
      </c>
      <c r="J176" s="1790">
        <f>+Dettes!V65</f>
        <v>0</v>
      </c>
      <c r="K176" s="1790">
        <f>+Dettes!Z65</f>
        <v>280606.15456</v>
      </c>
      <c r="L176" s="1790">
        <f>+Dettes!AD65</f>
        <v>178059.18504800001</v>
      </c>
      <c r="M176" s="1790">
        <f>+Dettes!AG65</f>
        <v>0</v>
      </c>
      <c r="N176" s="1790">
        <f>+Dettes!AL65</f>
        <v>35019.415999999997</v>
      </c>
      <c r="O176" s="1790">
        <f>+Dettes!AP65</f>
        <v>638232.93099999998</v>
      </c>
      <c r="P176" s="1790">
        <f>+Dettes!AT65</f>
        <v>26630.924051999998</v>
      </c>
      <c r="Q176" s="1790">
        <f>+Dettes!AX65</f>
        <v>320828.85795174999</v>
      </c>
      <c r="R176" s="1692">
        <f t="shared" si="63"/>
        <v>1468139.2614817501</v>
      </c>
      <c r="S176" s="1702">
        <f t="shared" si="59"/>
        <v>-11238.207129999995</v>
      </c>
      <c r="T176" s="1702">
        <f t="shared" ref="T176:T209" si="74">SUM(F176:K176)</f>
        <v>269367.94743</v>
      </c>
      <c r="U176" s="1702">
        <f t="shared" ref="U176:U209" si="75">SUM(F176:N176)</f>
        <v>482446.54847799998</v>
      </c>
      <c r="V176" s="1702">
        <f t="shared" ref="V176:V209" si="76">R176</f>
        <v>1468139.2614817501</v>
      </c>
      <c r="W176" s="1694" t="e">
        <f t="shared" si="54"/>
        <v>#DIV/0!</v>
      </c>
      <c r="X176" s="1695"/>
    </row>
    <row r="177" spans="1:24">
      <c r="A177" s="1744"/>
      <c r="B177" s="1753"/>
      <c r="C177" s="1753"/>
      <c r="D177" s="1699"/>
      <c r="E177" s="1699"/>
      <c r="F177" s="1790"/>
      <c r="G177" s="1790"/>
      <c r="H177" s="1790"/>
      <c r="I177" s="1790"/>
      <c r="J177" s="1790"/>
      <c r="K177" s="1790"/>
      <c r="L177" s="1790"/>
      <c r="M177" s="1790"/>
      <c r="N177" s="1790"/>
      <c r="O177" s="1790"/>
      <c r="P177" s="1790"/>
      <c r="Q177" s="1790"/>
      <c r="R177" s="1692">
        <f t="shared" si="63"/>
        <v>0</v>
      </c>
      <c r="S177" s="1702"/>
      <c r="T177" s="1702"/>
      <c r="U177" s="1702"/>
      <c r="V177" s="1702"/>
      <c r="W177" s="1694" t="e">
        <f t="shared" si="54"/>
        <v>#DIV/0!</v>
      </c>
      <c r="X177" s="1695"/>
    </row>
    <row r="178" spans="1:24">
      <c r="A178" s="1744"/>
      <c r="B178" s="1753"/>
      <c r="C178" s="1753" t="s">
        <v>2853</v>
      </c>
      <c r="D178" s="1699"/>
      <c r="E178" s="1699"/>
      <c r="F178" s="1790">
        <f>+F179</f>
        <v>0</v>
      </c>
      <c r="G178" s="1790">
        <f t="shared" ref="G178:Q178" si="77">+G179</f>
        <v>0</v>
      </c>
      <c r="H178" s="1790">
        <f t="shared" si="77"/>
        <v>0</v>
      </c>
      <c r="I178" s="1790">
        <f t="shared" si="77"/>
        <v>0</v>
      </c>
      <c r="J178" s="1790">
        <f t="shared" si="77"/>
        <v>0</v>
      </c>
      <c r="K178" s="1790">
        <f t="shared" si="77"/>
        <v>0</v>
      </c>
      <c r="L178" s="1790">
        <f t="shared" si="77"/>
        <v>0</v>
      </c>
      <c r="M178" s="1790">
        <f t="shared" si="77"/>
        <v>0</v>
      </c>
      <c r="N178" s="1790">
        <f t="shared" si="77"/>
        <v>0</v>
      </c>
      <c r="O178" s="1790">
        <f t="shared" si="77"/>
        <v>0</v>
      </c>
      <c r="P178" s="1790">
        <f t="shared" si="77"/>
        <v>0</v>
      </c>
      <c r="Q178" s="1790">
        <f t="shared" si="77"/>
        <v>11937178.016000001</v>
      </c>
      <c r="R178" s="1692">
        <f t="shared" si="63"/>
        <v>11937178.016000001</v>
      </c>
      <c r="S178" s="1702"/>
      <c r="T178" s="1702"/>
      <c r="U178" s="1702"/>
      <c r="V178" s="1702"/>
      <c r="W178" s="1694" t="e">
        <f t="shared" si="54"/>
        <v>#DIV/0!</v>
      </c>
      <c r="X178" s="1695"/>
    </row>
    <row r="179" spans="1:24">
      <c r="A179" s="1698"/>
      <c r="B179" s="1753"/>
      <c r="C179" s="1753" t="s">
        <v>2854</v>
      </c>
      <c r="D179" s="1699"/>
      <c r="E179" s="1699"/>
      <c r="F179" s="1699">
        <f>ARRIERE!P6/1000</f>
        <v>0</v>
      </c>
      <c r="G179" s="1699">
        <f>ARRIERE!Q6/1000</f>
        <v>0</v>
      </c>
      <c r="H179" s="1699">
        <f>ARRIERE!R6/1000</f>
        <v>0</v>
      </c>
      <c r="I179" s="1699">
        <f>ARRIERE!S6/1000</f>
        <v>0</v>
      </c>
      <c r="J179" s="1699">
        <f>ARRIERE!T6/1000</f>
        <v>0</v>
      </c>
      <c r="K179" s="1699">
        <f>ARRIERE!U6/1000</f>
        <v>0</v>
      </c>
      <c r="L179" s="1699">
        <f>ARRIERE!V6/1000</f>
        <v>0</v>
      </c>
      <c r="M179" s="1699">
        <f>ARRIERE!W6/1000</f>
        <v>0</v>
      </c>
      <c r="N179" s="1699">
        <f>ARRIERE!X6/1000</f>
        <v>0</v>
      </c>
      <c r="O179" s="1755"/>
      <c r="P179" s="1755">
        <f>ARRIERE!Z6/1000</f>
        <v>0</v>
      </c>
      <c r="Q179" s="1755">
        <f>ARRIERE!AA6/1000</f>
        <v>11937178.016000001</v>
      </c>
      <c r="R179" s="1692">
        <f t="shared" si="63"/>
        <v>11937178.016000001</v>
      </c>
      <c r="S179" s="1702">
        <f t="shared" si="59"/>
        <v>0</v>
      </c>
      <c r="T179" s="1702">
        <f t="shared" si="74"/>
        <v>0</v>
      </c>
      <c r="U179" s="1702">
        <f t="shared" si="75"/>
        <v>0</v>
      </c>
      <c r="V179" s="1702">
        <f t="shared" si="76"/>
        <v>11937178.016000001</v>
      </c>
      <c r="W179" s="1694" t="e">
        <f t="shared" si="54"/>
        <v>#DIV/0!</v>
      </c>
      <c r="X179" s="1695"/>
    </row>
    <row r="180" spans="1:24">
      <c r="A180" s="1687" t="s">
        <v>183</v>
      </c>
      <c r="B180" s="1775"/>
      <c r="C180" s="1775" t="s">
        <v>685</v>
      </c>
      <c r="D180" s="1690">
        <f t="shared" ref="D180:N180" si="78">D153+D160</f>
        <v>0</v>
      </c>
      <c r="E180" s="1690">
        <f t="shared" si="78"/>
        <v>0</v>
      </c>
      <c r="F180" s="1690">
        <f t="shared" si="78"/>
        <v>-2803281.086149679</v>
      </c>
      <c r="G180" s="1690">
        <f t="shared" si="78"/>
        <v>-5217455.4553126488</v>
      </c>
      <c r="H180" s="1690">
        <f t="shared" si="78"/>
        <v>-9830819.7809564937</v>
      </c>
      <c r="I180" s="1690">
        <f t="shared" si="78"/>
        <v>-5531190.7281238846</v>
      </c>
      <c r="J180" s="1690">
        <f t="shared" si="78"/>
        <v>2319520.8768350007</v>
      </c>
      <c r="K180" s="1690">
        <f t="shared" si="78"/>
        <v>593807.85591557762</v>
      </c>
      <c r="L180" s="1690">
        <f t="shared" si="78"/>
        <v>2231312.4820000008</v>
      </c>
      <c r="M180" s="1690">
        <f t="shared" si="78"/>
        <v>-3946215.6249599997</v>
      </c>
      <c r="N180" s="1690">
        <f t="shared" si="78"/>
        <v>-12865997.561085101</v>
      </c>
      <c r="O180" s="1690">
        <f>O153+O160</f>
        <v>3357850.8613850009</v>
      </c>
      <c r="P180" s="1690">
        <f>P153+P160</f>
        <v>-3672106.154473199</v>
      </c>
      <c r="Q180" s="1690">
        <f>Q153+Q160</f>
        <v>9081558.5599998124</v>
      </c>
      <c r="R180" s="1692">
        <f>SUM(F180:Q180)</f>
        <v>-26283015.75492562</v>
      </c>
      <c r="S180" s="1693">
        <f t="shared" si="59"/>
        <v>-17851556.322418824</v>
      </c>
      <c r="T180" s="1693">
        <f t="shared" si="74"/>
        <v>-20469418.317792132</v>
      </c>
      <c r="U180" s="1693">
        <f t="shared" si="75"/>
        <v>-35050319.021837234</v>
      </c>
      <c r="V180" s="1693">
        <f t="shared" si="76"/>
        <v>-26283015.75492562</v>
      </c>
      <c r="W180" s="1694" t="e">
        <f>R180/E180*100</f>
        <v>#DIV/0!</v>
      </c>
      <c r="X180" s="1695">
        <f>R180/$X$1*100/1000</f>
        <v>-3.2392580331191678</v>
      </c>
    </row>
    <row r="181" spans="1:24" ht="21.75" thickBot="1">
      <c r="A181" s="1698"/>
      <c r="B181" s="1784"/>
      <c r="C181" s="1784" t="s">
        <v>686</v>
      </c>
      <c r="D181" s="1699"/>
      <c r="E181" s="1699"/>
      <c r="F181" s="1699"/>
      <c r="G181" s="1699"/>
      <c r="H181" s="1699"/>
      <c r="I181" s="1699"/>
      <c r="J181" s="1699"/>
      <c r="K181" s="1699"/>
      <c r="L181" s="1699"/>
      <c r="M181" s="1699"/>
      <c r="N181" s="1699"/>
      <c r="O181" s="1699"/>
      <c r="P181" s="1699"/>
      <c r="Q181" s="1699"/>
      <c r="R181" s="1692">
        <f t="shared" si="63"/>
        <v>0</v>
      </c>
      <c r="S181" s="1702">
        <f>+R180+R182</f>
        <v>-5102783.5888013281</v>
      </c>
      <c r="T181" s="1702">
        <f t="shared" si="74"/>
        <v>0</v>
      </c>
      <c r="U181" s="1702">
        <f t="shared" si="75"/>
        <v>0</v>
      </c>
      <c r="V181" s="1702">
        <f t="shared" si="76"/>
        <v>0</v>
      </c>
      <c r="W181" s="1694" t="e">
        <f t="shared" ref="W181:W228" si="79">R181/E181*100</f>
        <v>#DIV/0!</v>
      </c>
      <c r="X181" s="1695"/>
    </row>
    <row r="182" spans="1:24">
      <c r="A182" s="1687" t="s">
        <v>184</v>
      </c>
      <c r="B182" s="1791"/>
      <c r="C182" s="1792" t="s">
        <v>687</v>
      </c>
      <c r="D182" s="1793">
        <f t="shared" ref="D182:P182" si="80">D183+D215</f>
        <v>0</v>
      </c>
      <c r="E182" s="1793">
        <f t="shared" si="80"/>
        <v>0</v>
      </c>
      <c r="F182" s="1793">
        <f t="shared" si="80"/>
        <v>4922869.4445874849</v>
      </c>
      <c r="G182" s="1793">
        <f t="shared" si="80"/>
        <v>3646289.8808497684</v>
      </c>
      <c r="H182" s="1793">
        <f t="shared" si="80"/>
        <v>7381711.4267963907</v>
      </c>
      <c r="I182" s="1793">
        <f t="shared" si="80"/>
        <v>3981210.3672386813</v>
      </c>
      <c r="J182" s="1793">
        <f t="shared" si="80"/>
        <v>-26017966.118999999</v>
      </c>
      <c r="K182" s="1793">
        <f t="shared" si="80"/>
        <v>-519147.01132552279</v>
      </c>
      <c r="L182" s="1793">
        <f t="shared" si="80"/>
        <v>38194.672999995528</v>
      </c>
      <c r="M182" s="1793">
        <f t="shared" si="80"/>
        <v>848720.59999999637</v>
      </c>
      <c r="N182" s="1793">
        <f>N183+N215</f>
        <v>12335707.147999994</v>
      </c>
      <c r="O182" s="1793">
        <f t="shared" si="80"/>
        <v>3733889.4091474907</v>
      </c>
      <c r="P182" s="1793">
        <f t="shared" si="80"/>
        <v>2155816.8648300115</v>
      </c>
      <c r="Q182" s="1793">
        <f>Q183+Q215</f>
        <v>8672935.481999997</v>
      </c>
      <c r="R182" s="1794">
        <f>SUM(F182:Q182)</f>
        <v>21180232.166124292</v>
      </c>
      <c r="S182" s="1693">
        <f t="shared" si="59"/>
        <v>15950870.752233643</v>
      </c>
      <c r="T182" s="1693">
        <f t="shared" si="74"/>
        <v>-6605032.0108531974</v>
      </c>
      <c r="U182" s="1693">
        <f t="shared" si="75"/>
        <v>6617590.4101467896</v>
      </c>
      <c r="V182" s="1693">
        <f t="shared" si="76"/>
        <v>21180232.166124292</v>
      </c>
      <c r="W182" s="1694" t="e">
        <f t="shared" si="79"/>
        <v>#DIV/0!</v>
      </c>
      <c r="X182" s="1695">
        <f>R182/$X$1*100/1000</f>
        <v>2.6103639638304998</v>
      </c>
    </row>
    <row r="183" spans="1:24">
      <c r="A183" s="1687" t="s">
        <v>688</v>
      </c>
      <c r="B183" s="1795"/>
      <c r="C183" s="1776" t="s">
        <v>689</v>
      </c>
      <c r="D183" s="1690">
        <f t="shared" ref="D183:P183" si="81">D184+D203</f>
        <v>0</v>
      </c>
      <c r="E183" s="1690">
        <f t="shared" si="81"/>
        <v>0</v>
      </c>
      <c r="F183" s="1690">
        <f t="shared" si="81"/>
        <v>5089628.3829999845</v>
      </c>
      <c r="G183" s="1690">
        <f t="shared" si="81"/>
        <v>3807958.1450000186</v>
      </c>
      <c r="H183" s="1690">
        <f t="shared" si="81"/>
        <v>3962434.5669999905</v>
      </c>
      <c r="I183" s="1690">
        <f t="shared" si="81"/>
        <v>4322454.6480000112</v>
      </c>
      <c r="J183" s="1690">
        <f t="shared" si="81"/>
        <v>-25871231.618999999</v>
      </c>
      <c r="K183" s="1690">
        <f t="shared" si="81"/>
        <v>-2928658.274000003</v>
      </c>
      <c r="L183" s="1690">
        <f t="shared" si="81"/>
        <v>156399.5289999955</v>
      </c>
      <c r="M183" s="1690">
        <f t="shared" si="81"/>
        <v>1008599.4859999963</v>
      </c>
      <c r="N183" s="1690">
        <f>N184+N203</f>
        <v>3982504.6939999955</v>
      </c>
      <c r="O183" s="1690">
        <f>O184+O203</f>
        <v>3940141.0959999906</v>
      </c>
      <c r="P183" s="1690">
        <f t="shared" si="81"/>
        <v>2305304.6270000115</v>
      </c>
      <c r="Q183" s="1690">
        <f>Q184+Q203</f>
        <v>9529949.7819999978</v>
      </c>
      <c r="R183" s="1692">
        <f t="shared" si="63"/>
        <v>9305485.0639999881</v>
      </c>
      <c r="S183" s="1693">
        <f t="shared" si="59"/>
        <v>12860021.094999993</v>
      </c>
      <c r="T183" s="1693">
        <f t="shared" si="74"/>
        <v>-11617414.149999999</v>
      </c>
      <c r="U183" s="1693">
        <f t="shared" si="75"/>
        <v>-6469910.4410000117</v>
      </c>
      <c r="V183" s="1693">
        <f t="shared" si="76"/>
        <v>9305485.0639999881</v>
      </c>
      <c r="W183" s="1694" t="e">
        <f t="shared" si="79"/>
        <v>#DIV/0!</v>
      </c>
      <c r="X183" s="1695">
        <f>R183/$X$1*100/1000</f>
        <v>1.1468572528623704</v>
      </c>
    </row>
    <row r="184" spans="1:24">
      <c r="A184" s="1744" t="s">
        <v>690</v>
      </c>
      <c r="B184" s="1745"/>
      <c r="C184" s="1745" t="s">
        <v>691</v>
      </c>
      <c r="D184" s="1690">
        <f t="shared" ref="D184:Q184" si="82">D185+D193</f>
        <v>0</v>
      </c>
      <c r="E184" s="1690">
        <f t="shared" si="82"/>
        <v>0</v>
      </c>
      <c r="F184" s="1690">
        <f t="shared" si="82"/>
        <v>5089628.3829999845</v>
      </c>
      <c r="G184" s="1690">
        <f t="shared" si="82"/>
        <v>3807958.1450000186</v>
      </c>
      <c r="H184" s="1690">
        <f t="shared" si="82"/>
        <v>3962434.5669999905</v>
      </c>
      <c r="I184" s="1690">
        <f t="shared" si="82"/>
        <v>4322454.6480000112</v>
      </c>
      <c r="J184" s="1690">
        <f t="shared" si="82"/>
        <v>-25871231.618999999</v>
      </c>
      <c r="K184" s="1690">
        <f t="shared" si="82"/>
        <v>-2928658.274000003</v>
      </c>
      <c r="L184" s="1690">
        <f t="shared" si="82"/>
        <v>156399.5289999955</v>
      </c>
      <c r="M184" s="1690">
        <f t="shared" si="82"/>
        <v>1008599.4859999963</v>
      </c>
      <c r="N184" s="1690">
        <f>N185+N193</f>
        <v>3982504.6939999955</v>
      </c>
      <c r="O184" s="1690">
        <f>O185+O193</f>
        <v>3940141.0959999906</v>
      </c>
      <c r="P184" s="1690">
        <f t="shared" si="82"/>
        <v>2305304.6270000115</v>
      </c>
      <c r="Q184" s="1690">
        <f t="shared" si="82"/>
        <v>9529949.7819999978</v>
      </c>
      <c r="R184" s="1692">
        <f t="shared" si="63"/>
        <v>9305485.0639999881</v>
      </c>
      <c r="S184" s="1693">
        <f t="shared" si="59"/>
        <v>12860021.094999993</v>
      </c>
      <c r="T184" s="1693">
        <f t="shared" si="74"/>
        <v>-11617414.149999999</v>
      </c>
      <c r="U184" s="1693">
        <f t="shared" si="75"/>
        <v>-6469910.4410000117</v>
      </c>
      <c r="V184" s="1693">
        <f t="shared" si="76"/>
        <v>9305485.0639999881</v>
      </c>
      <c r="W184" s="1694" t="e">
        <f t="shared" si="79"/>
        <v>#DIV/0!</v>
      </c>
      <c r="X184" s="1695">
        <f>R184/$X$1*100/1000</f>
        <v>1.1468572528623704</v>
      </c>
    </row>
    <row r="185" spans="1:24">
      <c r="A185" s="1687" t="s">
        <v>285</v>
      </c>
      <c r="B185" s="1785"/>
      <c r="C185" s="1785" t="s">
        <v>692</v>
      </c>
      <c r="D185" s="1690">
        <f>D186+D189+D190+D191</f>
        <v>0</v>
      </c>
      <c r="E185" s="1690">
        <f>E186+E189+E191</f>
        <v>0</v>
      </c>
      <c r="F185" s="1690">
        <f t="shared" ref="F185:K185" si="83">F186+F189+F190+F191+F192</f>
        <v>-592415.55999999994</v>
      </c>
      <c r="G185" s="1690">
        <f t="shared" si="83"/>
        <v>49845.860000000037</v>
      </c>
      <c r="H185" s="1690">
        <f t="shared" si="83"/>
        <v>-6411390.1569999997</v>
      </c>
      <c r="I185" s="1690">
        <f t="shared" si="83"/>
        <v>-410931.82999999955</v>
      </c>
      <c r="J185" s="1690">
        <f t="shared" si="83"/>
        <v>337577.85499999917</v>
      </c>
      <c r="K185" s="1690">
        <f t="shared" si="83"/>
        <v>5156933.4170000004</v>
      </c>
      <c r="L185" s="1690">
        <f t="shared" ref="L185:Q185" si="84">L186+L189+L190+L191+L192</f>
        <v>490333.54200000007</v>
      </c>
      <c r="M185" s="1690">
        <f t="shared" si="84"/>
        <v>371043.15900000004</v>
      </c>
      <c r="N185" s="1690">
        <f t="shared" si="84"/>
        <v>-3414533.8130000001</v>
      </c>
      <c r="O185" s="1690">
        <f t="shared" si="84"/>
        <v>-2396688.6430000011</v>
      </c>
      <c r="P185" s="1690">
        <f t="shared" si="84"/>
        <v>1207190.6349999998</v>
      </c>
      <c r="Q185" s="1690">
        <f t="shared" si="84"/>
        <v>4319168.9640000006</v>
      </c>
      <c r="R185" s="1692">
        <f>SUM(F185:Q185)</f>
        <v>-1293866.5709999995</v>
      </c>
      <c r="S185" s="1693">
        <f t="shared" ref="S185:S216" si="85">SUM(F185:H185)</f>
        <v>-6953959.8569999998</v>
      </c>
      <c r="T185" s="1693">
        <f t="shared" si="74"/>
        <v>-1870380.4149999991</v>
      </c>
      <c r="U185" s="1693">
        <f t="shared" si="75"/>
        <v>-4423537.5269999988</v>
      </c>
      <c r="V185" s="1693">
        <f t="shared" si="76"/>
        <v>-1293866.5709999995</v>
      </c>
      <c r="W185" s="1694" t="e">
        <f t="shared" si="79"/>
        <v>#DIV/0!</v>
      </c>
      <c r="X185" s="1695">
        <f>R185/$X$1*100/1000</f>
        <v>-0.1594629673769703</v>
      </c>
    </row>
    <row r="186" spans="1:24">
      <c r="A186" s="1796" t="s">
        <v>693</v>
      </c>
      <c r="B186" s="1797"/>
      <c r="C186" s="1797" t="s">
        <v>694</v>
      </c>
      <c r="D186" s="1699"/>
      <c r="E186" s="1699">
        <v>0</v>
      </c>
      <c r="F186" s="1699">
        <f t="shared" ref="F186:Q186" si="86">F187-F188</f>
        <v>-369425.76499999996</v>
      </c>
      <c r="G186" s="1699">
        <f t="shared" si="86"/>
        <v>0</v>
      </c>
      <c r="H186" s="1699">
        <f t="shared" si="86"/>
        <v>0</v>
      </c>
      <c r="I186" s="1699">
        <f t="shared" si="86"/>
        <v>0</v>
      </c>
      <c r="J186" s="1699">
        <f t="shared" si="86"/>
        <v>0</v>
      </c>
      <c r="K186" s="1699">
        <f t="shared" si="86"/>
        <v>-369425.76499999996</v>
      </c>
      <c r="L186" s="1699">
        <f t="shared" si="86"/>
        <v>0</v>
      </c>
      <c r="M186" s="1699">
        <f t="shared" si="86"/>
        <v>0</v>
      </c>
      <c r="N186" s="1699">
        <f t="shared" si="86"/>
        <v>0</v>
      </c>
      <c r="O186" s="1699">
        <f t="shared" si="86"/>
        <v>0</v>
      </c>
      <c r="P186" s="1699">
        <f t="shared" si="86"/>
        <v>-177523.8700000009</v>
      </c>
      <c r="Q186" s="1699">
        <f t="shared" si="86"/>
        <v>-369425.76499999996</v>
      </c>
      <c r="R186" s="1692">
        <f t="shared" ref="R186:R216" si="87">SUM(F186:Q186)</f>
        <v>-1285801.1650000007</v>
      </c>
      <c r="S186" s="1702">
        <f t="shared" si="85"/>
        <v>-369425.76499999996</v>
      </c>
      <c r="T186" s="1702">
        <f t="shared" si="74"/>
        <v>-738851.52999999991</v>
      </c>
      <c r="U186" s="1702">
        <f t="shared" si="75"/>
        <v>-738851.52999999991</v>
      </c>
      <c r="V186" s="1702">
        <f t="shared" si="76"/>
        <v>-1285801.1650000007</v>
      </c>
      <c r="W186" s="1694" t="e">
        <f t="shared" si="79"/>
        <v>#DIV/0!</v>
      </c>
      <c r="X186" s="1695">
        <f>R186/$X$1*100/1000</f>
        <v>-0.15846894403431155</v>
      </c>
    </row>
    <row r="187" spans="1:24" ht="15.75" customHeight="1">
      <c r="A187" s="1698" t="s">
        <v>749</v>
      </c>
      <c r="B187" s="1797"/>
      <c r="C187" s="1797" t="s">
        <v>695</v>
      </c>
      <c r="D187" s="1699"/>
      <c r="E187" s="1699"/>
      <c r="F187" s="1699">
        <f>+PNT!O127*1000</f>
        <v>-369425.76499999996</v>
      </c>
      <c r="G187" s="1699">
        <f>+PNT!P127*1000</f>
        <v>0</v>
      </c>
      <c r="H187" s="1699">
        <f>+PNT!Q127*1000</f>
        <v>0</v>
      </c>
      <c r="I187" s="1699">
        <f>+PNT!R127*1000</f>
        <v>0</v>
      </c>
      <c r="J187" s="1699">
        <f>+PNT!S127*1000</f>
        <v>0</v>
      </c>
      <c r="K187" s="1699">
        <f>+PNT!T127*1000</f>
        <v>-369425.76499999996</v>
      </c>
      <c r="L187" s="1699">
        <f>+PNT!U127*1000</f>
        <v>0</v>
      </c>
      <c r="M187" s="1699">
        <f>+PNT!V127*1000</f>
        <v>0</v>
      </c>
      <c r="N187" s="1699">
        <f>+PNT!W127*1000</f>
        <v>0</v>
      </c>
      <c r="O187" s="1699"/>
      <c r="P187" s="1699">
        <f>+PNT!Y127*1000</f>
        <v>-177523.8700000009</v>
      </c>
      <c r="Q187" s="1699">
        <f>+PNT!Z127*1000</f>
        <v>-369425.76499999996</v>
      </c>
      <c r="R187" s="1692">
        <f t="shared" si="87"/>
        <v>-1285801.1650000007</v>
      </c>
      <c r="S187" s="1702">
        <f t="shared" si="85"/>
        <v>-369425.76499999996</v>
      </c>
      <c r="T187" s="1702">
        <f t="shared" si="74"/>
        <v>-738851.52999999991</v>
      </c>
      <c r="U187" s="1702">
        <f t="shared" si="75"/>
        <v>-738851.52999999991</v>
      </c>
      <c r="V187" s="1702">
        <f t="shared" si="76"/>
        <v>-1285801.1650000007</v>
      </c>
      <c r="W187" s="1694" t="e">
        <f t="shared" si="79"/>
        <v>#DIV/0!</v>
      </c>
      <c r="X187" s="1695"/>
    </row>
    <row r="188" spans="1:24" ht="15.75" customHeight="1">
      <c r="A188" s="1698" t="s">
        <v>696</v>
      </c>
      <c r="B188" s="1797"/>
      <c r="C188" s="1797" t="s">
        <v>697</v>
      </c>
      <c r="D188" s="1699"/>
      <c r="E188" s="1699"/>
      <c r="F188" s="1699">
        <v>0</v>
      </c>
      <c r="G188" s="1699">
        <v>0</v>
      </c>
      <c r="H188" s="1699">
        <v>0</v>
      </c>
      <c r="I188" s="1699">
        <v>0</v>
      </c>
      <c r="J188" s="1699">
        <v>0</v>
      </c>
      <c r="K188" s="1699">
        <v>0</v>
      </c>
      <c r="L188" s="1699">
        <v>0</v>
      </c>
      <c r="M188" s="1699">
        <v>0</v>
      </c>
      <c r="N188" s="1699">
        <v>0</v>
      </c>
      <c r="O188" s="1699">
        <v>0</v>
      </c>
      <c r="P188" s="1699">
        <v>0</v>
      </c>
      <c r="Q188" s="1699">
        <v>0</v>
      </c>
      <c r="R188" s="1692">
        <f t="shared" si="87"/>
        <v>0</v>
      </c>
      <c r="S188" s="1702">
        <f t="shared" si="85"/>
        <v>0</v>
      </c>
      <c r="T188" s="1702">
        <f t="shared" si="74"/>
        <v>0</v>
      </c>
      <c r="U188" s="1702">
        <f t="shared" si="75"/>
        <v>0</v>
      </c>
      <c r="V188" s="1702">
        <f t="shared" si="76"/>
        <v>0</v>
      </c>
      <c r="W188" s="1694" t="e">
        <f t="shared" si="79"/>
        <v>#DIV/0!</v>
      </c>
      <c r="X188" s="1695"/>
    </row>
    <row r="189" spans="1:24" ht="15.75" customHeight="1">
      <c r="A189" s="1798" t="s">
        <v>1363</v>
      </c>
      <c r="B189" s="1799"/>
      <c r="C189" s="1799" t="s">
        <v>1479</v>
      </c>
      <c r="D189" s="1699"/>
      <c r="E189" s="1699"/>
      <c r="F189" s="1699">
        <f>+PNT!O80*1000</f>
        <v>0</v>
      </c>
      <c r="G189" s="1699">
        <f>+PNT!P80*1000</f>
        <v>0</v>
      </c>
      <c r="H189" s="1699">
        <f>+PNT!Q80*1000</f>
        <v>0</v>
      </c>
      <c r="I189" s="1699">
        <f>+PNT!R80*1000</f>
        <v>0</v>
      </c>
      <c r="J189" s="1699">
        <f>+PNT!S80*1000</f>
        <v>0</v>
      </c>
      <c r="K189" s="1699">
        <f>+PNT!T80*1000</f>
        <v>0</v>
      </c>
      <c r="L189" s="1699">
        <f>+PNT!U80*1000</f>
        <v>0</v>
      </c>
      <c r="M189" s="1699">
        <f>+PNT!V80*1000</f>
        <v>0</v>
      </c>
      <c r="N189" s="1699">
        <f>+PNT!W80*1000</f>
        <v>0</v>
      </c>
      <c r="O189" s="1699"/>
      <c r="P189" s="1699">
        <f>+PNT!Y80*1000</f>
        <v>0</v>
      </c>
      <c r="Q189" s="1699">
        <f>+PNT!Z80*1000</f>
        <v>0</v>
      </c>
      <c r="R189" s="1692">
        <f t="shared" si="87"/>
        <v>0</v>
      </c>
      <c r="S189" s="1702">
        <f t="shared" si="85"/>
        <v>0</v>
      </c>
      <c r="T189" s="1702">
        <f t="shared" si="74"/>
        <v>0</v>
      </c>
      <c r="U189" s="1702">
        <f t="shared" si="75"/>
        <v>0</v>
      </c>
      <c r="V189" s="1702">
        <f t="shared" si="76"/>
        <v>0</v>
      </c>
      <c r="W189" s="1694" t="e">
        <f t="shared" si="79"/>
        <v>#DIV/0!</v>
      </c>
      <c r="X189" s="1695">
        <f>R189/$X$1*100/1000</f>
        <v>0</v>
      </c>
    </row>
    <row r="190" spans="1:24" ht="15.75" customHeight="1">
      <c r="A190" s="1798" t="s">
        <v>1364</v>
      </c>
      <c r="B190" s="1799"/>
      <c r="C190" s="1799" t="s">
        <v>698</v>
      </c>
      <c r="D190" s="1699"/>
      <c r="E190" s="1699"/>
      <c r="F190" s="1699">
        <f>+PNT!O81*1000</f>
        <v>0</v>
      </c>
      <c r="G190" s="1699">
        <f>+PNT!P81*1000</f>
        <v>0</v>
      </c>
      <c r="H190" s="1699">
        <f>+PNT!Q81*1000</f>
        <v>0</v>
      </c>
      <c r="I190" s="1699">
        <f>+PNT!R81*1000</f>
        <v>0</v>
      </c>
      <c r="J190" s="1699">
        <f>+PNT!S81*1000</f>
        <v>0</v>
      </c>
      <c r="K190" s="1699">
        <f>+PNT!T81*1000</f>
        <v>0</v>
      </c>
      <c r="L190" s="1699">
        <f>+PNT!U81*1000</f>
        <v>0</v>
      </c>
      <c r="M190" s="1699">
        <f>+PNT!V81*1000</f>
        <v>0</v>
      </c>
      <c r="N190" s="1699">
        <f>+PNT!W81*1000</f>
        <v>0</v>
      </c>
      <c r="O190" s="1699"/>
      <c r="P190" s="1699">
        <f>+PNT!Y81*1000</f>
        <v>0</v>
      </c>
      <c r="Q190" s="1699">
        <f>+PNT!Z81*1000</f>
        <v>0</v>
      </c>
      <c r="R190" s="1692">
        <f t="shared" si="87"/>
        <v>0</v>
      </c>
      <c r="S190" s="1702">
        <f t="shared" si="85"/>
        <v>0</v>
      </c>
      <c r="T190" s="1702">
        <f t="shared" si="74"/>
        <v>0</v>
      </c>
      <c r="U190" s="1702">
        <f t="shared" si="75"/>
        <v>0</v>
      </c>
      <c r="V190" s="1702">
        <f t="shared" si="76"/>
        <v>0</v>
      </c>
      <c r="W190" s="1694" t="e">
        <f t="shared" si="79"/>
        <v>#DIV/0!</v>
      </c>
      <c r="X190" s="1695">
        <f>R190/$X$1*100/1000</f>
        <v>0</v>
      </c>
    </row>
    <row r="191" spans="1:24" ht="15.75" customHeight="1">
      <c r="A191" s="1798" t="s">
        <v>1365</v>
      </c>
      <c r="B191" s="1799"/>
      <c r="C191" s="1799" t="s">
        <v>700</v>
      </c>
      <c r="D191" s="1699"/>
      <c r="E191" s="1699"/>
      <c r="F191" s="1699">
        <f>-(PNT!O4+PNT!O5)*1000</f>
        <v>-222989.79500000001</v>
      </c>
      <c r="G191" s="1699">
        <f>-(PNT!P5+PNT!P4)*1000</f>
        <v>49845.860000000037</v>
      </c>
      <c r="H191" s="1699">
        <f>-(PNT!Q5+PNT!Q4)*1000</f>
        <v>-6411390.1569999997</v>
      </c>
      <c r="I191" s="1699">
        <f>-(PNT!R5+PNT!R4)*1000</f>
        <v>-410931.82999999955</v>
      </c>
      <c r="J191" s="1699">
        <f>-(PNT!S5+PNT!S4)*1000</f>
        <v>337577.85499999917</v>
      </c>
      <c r="K191" s="1699">
        <f>-(PNT!T5+PNT!T4)*1000</f>
        <v>5526359.182</v>
      </c>
      <c r="L191" s="1699">
        <f>-(PNT!U5+PNT!U4)*1000</f>
        <v>490333.54200000007</v>
      </c>
      <c r="M191" s="1699">
        <f>-(PNT!V5+PNT!V4)*1000</f>
        <v>371043.15900000004</v>
      </c>
      <c r="N191" s="1699">
        <f>-(PNT!W5+PNT!W4)*1000</f>
        <v>-3414533.8130000001</v>
      </c>
      <c r="O191" s="1699">
        <f>-(PNT!X5+PNT!X4)*1000</f>
        <v>-2396688.6430000011</v>
      </c>
      <c r="P191" s="1699">
        <f>-(PNT!Y5+PNT!Y4)*1000</f>
        <v>1384714.5050000006</v>
      </c>
      <c r="Q191" s="1699">
        <f>-(PNT!Z5+PNT!Z4)*1000</f>
        <v>4688594.7290000003</v>
      </c>
      <c r="R191" s="1692">
        <f>SUM(F191:Q191)</f>
        <v>-8065.405999998562</v>
      </c>
      <c r="S191" s="1702">
        <f t="shared" si="85"/>
        <v>-6584534.0919999992</v>
      </c>
      <c r="T191" s="1702">
        <f t="shared" si="74"/>
        <v>-1131528.8849999988</v>
      </c>
      <c r="U191" s="1702">
        <f>SUM(F191:N191)</f>
        <v>-3684685.9969999986</v>
      </c>
      <c r="V191" s="1702">
        <f t="shared" si="76"/>
        <v>-8065.405999998562</v>
      </c>
      <c r="W191" s="1694" t="e">
        <f t="shared" si="79"/>
        <v>#DIV/0!</v>
      </c>
      <c r="X191" s="1695">
        <f>R191/$X$1*100/1000</f>
        <v>-9.9402334265871685E-4</v>
      </c>
    </row>
    <row r="192" spans="1:24" ht="15.75" customHeight="1">
      <c r="A192" s="1798" t="s">
        <v>701</v>
      </c>
      <c r="B192" s="1799"/>
      <c r="C192" s="1799" t="s">
        <v>702</v>
      </c>
      <c r="D192" s="1699"/>
      <c r="E192" s="1699"/>
      <c r="F192" s="1699"/>
      <c r="G192" s="1699"/>
      <c r="H192" s="1699"/>
      <c r="I192" s="1699"/>
      <c r="J192" s="1699"/>
      <c r="K192" s="1699"/>
      <c r="L192" s="1699"/>
      <c r="M192" s="1699"/>
      <c r="N192" s="1699"/>
      <c r="O192" s="1699"/>
      <c r="P192" s="1699"/>
      <c r="Q192" s="1699"/>
      <c r="R192" s="1692">
        <f t="shared" si="87"/>
        <v>0</v>
      </c>
      <c r="S192" s="1702">
        <f t="shared" si="85"/>
        <v>0</v>
      </c>
      <c r="T192" s="1702">
        <f t="shared" si="74"/>
        <v>0</v>
      </c>
      <c r="U192" s="1702">
        <f t="shared" si="75"/>
        <v>0</v>
      </c>
      <c r="V192" s="1702">
        <f t="shared" si="76"/>
        <v>0</v>
      </c>
      <c r="W192" s="1694" t="e">
        <f t="shared" si="79"/>
        <v>#DIV/0!</v>
      </c>
      <c r="X192" s="1695"/>
    </row>
    <row r="193" spans="1:24" ht="15.75" customHeight="1">
      <c r="A193" s="1744" t="s">
        <v>624</v>
      </c>
      <c r="B193" s="1745"/>
      <c r="C193" s="1745" t="s">
        <v>703</v>
      </c>
      <c r="D193" s="1690">
        <f>D194+D197+D198+D199+D200+D201+D202</f>
        <v>0</v>
      </c>
      <c r="E193" s="1690">
        <f>E194+E197+E198+E199+E200+E201+E202</f>
        <v>0</v>
      </c>
      <c r="F193" s="1690">
        <f>F194+F197+F198+F199+F200+F201+F202</f>
        <v>5682043.9429999841</v>
      </c>
      <c r="G193" s="1690">
        <f>G194+G197+G198+G199+G200+G201+G202</f>
        <v>3758112.2850000188</v>
      </c>
      <c r="H193" s="1690">
        <f t="shared" ref="H193:Q193" si="88">H194+H197+H198+H199</f>
        <v>10373824.72399999</v>
      </c>
      <c r="I193" s="1690">
        <f t="shared" si="88"/>
        <v>4733386.4780000104</v>
      </c>
      <c r="J193" s="1690">
        <f t="shared" si="88"/>
        <v>-26208809.473999999</v>
      </c>
      <c r="K193" s="1690">
        <f t="shared" si="88"/>
        <v>-8085591.6910000034</v>
      </c>
      <c r="L193" s="1690">
        <f t="shared" si="88"/>
        <v>-333934.01300000458</v>
      </c>
      <c r="M193" s="1690">
        <f t="shared" si="88"/>
        <v>637556.32699999621</v>
      </c>
      <c r="N193" s="1690">
        <f t="shared" si="88"/>
        <v>7397038.5069999956</v>
      </c>
      <c r="O193" s="1690">
        <f>O194+O197+O198+O199</f>
        <v>6336829.7389999917</v>
      </c>
      <c r="P193" s="1690">
        <f>P194+P197+P198+P199</f>
        <v>1098113.9920000117</v>
      </c>
      <c r="Q193" s="1690">
        <f t="shared" si="88"/>
        <v>5210780.8179999981</v>
      </c>
      <c r="R193" s="1692">
        <f t="shared" si="87"/>
        <v>10599351.63499999</v>
      </c>
      <c r="S193" s="1693">
        <f t="shared" si="85"/>
        <v>19813980.951999992</v>
      </c>
      <c r="T193" s="1693">
        <f t="shared" si="74"/>
        <v>-9747033.7349999994</v>
      </c>
      <c r="U193" s="1693">
        <f t="shared" si="75"/>
        <v>-2046372.914000012</v>
      </c>
      <c r="V193" s="1693">
        <f t="shared" si="76"/>
        <v>10599351.63499999</v>
      </c>
      <c r="W193" s="1694" t="e">
        <f t="shared" si="79"/>
        <v>#DIV/0!</v>
      </c>
      <c r="X193" s="1695">
        <f>R193/$X$1*100/1000</f>
        <v>1.3063202202393414</v>
      </c>
    </row>
    <row r="194" spans="1:24" ht="15.75" customHeight="1">
      <c r="A194" s="1800" t="s">
        <v>1360</v>
      </c>
      <c r="B194" s="1801"/>
      <c r="C194" s="1801" t="s">
        <v>1641</v>
      </c>
      <c r="D194" s="1699">
        <v>0</v>
      </c>
      <c r="E194" s="1699">
        <v>0</v>
      </c>
      <c r="F194" s="1699">
        <f t="shared" ref="F194:Q194" si="89">SUM(F195:F196)</f>
        <v>5800171.9780000001</v>
      </c>
      <c r="G194" s="1699">
        <f t="shared" si="89"/>
        <v>387773.61599999992</v>
      </c>
      <c r="H194" s="1699">
        <f t="shared" si="89"/>
        <v>642161.63000000012</v>
      </c>
      <c r="I194" s="1699">
        <f t="shared" si="89"/>
        <v>531457.60699999984</v>
      </c>
      <c r="J194" s="1699">
        <f t="shared" si="89"/>
        <v>-662132.82900000014</v>
      </c>
      <c r="K194" s="1699">
        <f t="shared" si="89"/>
        <v>-1586841.5550000002</v>
      </c>
      <c r="L194" s="1699">
        <f t="shared" si="89"/>
        <v>545402.68000000017</v>
      </c>
      <c r="M194" s="1699">
        <f t="shared" si="89"/>
        <v>1320097.1960000002</v>
      </c>
      <c r="N194" s="1699">
        <f t="shared" si="89"/>
        <v>258551.04999999993</v>
      </c>
      <c r="O194" s="1699">
        <f>SUM(O195:O196)</f>
        <v>22170.612000000117</v>
      </c>
      <c r="P194" s="1699">
        <f>SUM(P195:P196)</f>
        <v>33952.612999999925</v>
      </c>
      <c r="Q194" s="1699">
        <f t="shared" si="89"/>
        <v>-4631442.0459999982</v>
      </c>
      <c r="R194" s="1692">
        <f t="shared" si="87"/>
        <v>2661322.552000002</v>
      </c>
      <c r="S194" s="1702">
        <f t="shared" si="85"/>
        <v>6830107.2240000004</v>
      </c>
      <c r="T194" s="1702">
        <f t="shared" si="74"/>
        <v>5112590.4470000006</v>
      </c>
      <c r="U194" s="1702">
        <f t="shared" si="75"/>
        <v>7236641.3730000006</v>
      </c>
      <c r="V194" s="1702">
        <f t="shared" si="76"/>
        <v>2661322.552000002</v>
      </c>
      <c r="W194" s="1694" t="e">
        <f t="shared" si="79"/>
        <v>#DIV/0!</v>
      </c>
      <c r="X194" s="1695"/>
    </row>
    <row r="195" spans="1:24" ht="15.75" customHeight="1">
      <c r="A195" s="1798" t="s">
        <v>1359</v>
      </c>
      <c r="B195" s="1706"/>
      <c r="C195" s="1706" t="s">
        <v>1639</v>
      </c>
      <c r="D195" s="1699">
        <v>0</v>
      </c>
      <c r="E195" s="1699">
        <v>0</v>
      </c>
      <c r="F195" s="1699">
        <f>-PNT!O19*1000</f>
        <v>5800171.9780000001</v>
      </c>
      <c r="G195" s="1699">
        <f>-PNT!P19*1000</f>
        <v>387773.61599999992</v>
      </c>
      <c r="H195" s="1699">
        <f>-PNT!Q19*1000</f>
        <v>642161.63000000012</v>
      </c>
      <c r="I195" s="1699">
        <f>-PNT!R19*1000</f>
        <v>531457.60699999984</v>
      </c>
      <c r="J195" s="1699">
        <f>-PNT!S19*1000</f>
        <v>-662132.82900000014</v>
      </c>
      <c r="K195" s="1699">
        <f>-PNT!T19*1000</f>
        <v>-1586841.5550000002</v>
      </c>
      <c r="L195" s="1699">
        <f>-PNT!U19*1000</f>
        <v>545402.68000000017</v>
      </c>
      <c r="M195" s="1699">
        <f>-PNT!V19*1000</f>
        <v>1320097.1960000002</v>
      </c>
      <c r="N195" s="1699">
        <f>-PNT!W19*1000</f>
        <v>258551.04999999993</v>
      </c>
      <c r="O195" s="1699">
        <f>-PNT!X19*1000</f>
        <v>22170.612000000117</v>
      </c>
      <c r="P195" s="1699">
        <f>-PNT!Y19*1000</f>
        <v>33952.612999999925</v>
      </c>
      <c r="Q195" s="1699">
        <f>-PNT!Z19*1000</f>
        <v>-4631442.0459999982</v>
      </c>
      <c r="R195" s="1692">
        <f t="shared" si="87"/>
        <v>2661322.552000002</v>
      </c>
      <c r="S195" s="1702">
        <f t="shared" si="85"/>
        <v>6830107.2240000004</v>
      </c>
      <c r="T195" s="1702">
        <f t="shared" si="74"/>
        <v>5112590.4470000006</v>
      </c>
      <c r="U195" s="1702">
        <f t="shared" si="75"/>
        <v>7236641.3730000006</v>
      </c>
      <c r="V195" s="1702">
        <f t="shared" si="76"/>
        <v>2661322.552000002</v>
      </c>
      <c r="W195" s="1694" t="e">
        <f t="shared" si="79"/>
        <v>#DIV/0!</v>
      </c>
      <c r="X195" s="1695"/>
    </row>
    <row r="196" spans="1:24" ht="15.75" customHeight="1">
      <c r="A196" s="1798" t="s">
        <v>1361</v>
      </c>
      <c r="B196" s="1706"/>
      <c r="C196" s="1706" t="s">
        <v>1640</v>
      </c>
      <c r="D196" s="1699">
        <v>0</v>
      </c>
      <c r="E196" s="1699">
        <v>0</v>
      </c>
      <c r="F196" s="1699">
        <f>+PNT!O70*1000</f>
        <v>0</v>
      </c>
      <c r="G196" s="1699">
        <f>+PNT!P70*1000</f>
        <v>0</v>
      </c>
      <c r="H196" s="1699">
        <f>+PNT!Q70*1000</f>
        <v>0</v>
      </c>
      <c r="I196" s="1699">
        <f>+PNT!R70*1000</f>
        <v>0</v>
      </c>
      <c r="J196" s="1699">
        <f>+PNT!S70*1000</f>
        <v>0</v>
      </c>
      <c r="K196" s="1699">
        <f>+PNT!T70*1000</f>
        <v>0</v>
      </c>
      <c r="L196" s="1699">
        <f>+PNT!U70*1000</f>
        <v>0</v>
      </c>
      <c r="M196" s="1699">
        <f>+PNT!V70*1000</f>
        <v>0</v>
      </c>
      <c r="N196" s="1699">
        <f>+PNT!W70*1000</f>
        <v>0</v>
      </c>
      <c r="O196" s="1699">
        <f>+PNT!X70*1000</f>
        <v>0</v>
      </c>
      <c r="P196" s="1699">
        <f>+PNT!Y70*1000</f>
        <v>0</v>
      </c>
      <c r="Q196" s="1699">
        <f>+PNT!Z70*1000</f>
        <v>0</v>
      </c>
      <c r="R196" s="1692">
        <f t="shared" si="87"/>
        <v>0</v>
      </c>
      <c r="S196" s="1702">
        <f t="shared" si="85"/>
        <v>0</v>
      </c>
      <c r="T196" s="1702">
        <f t="shared" si="74"/>
        <v>0</v>
      </c>
      <c r="U196" s="1702">
        <f t="shared" si="75"/>
        <v>0</v>
      </c>
      <c r="V196" s="1702">
        <f t="shared" si="76"/>
        <v>0</v>
      </c>
      <c r="W196" s="1694" t="e">
        <f t="shared" si="79"/>
        <v>#DIV/0!</v>
      </c>
      <c r="X196" s="1695"/>
    </row>
    <row r="197" spans="1:24" ht="15.75" customHeight="1">
      <c r="A197" s="1800" t="s">
        <v>1362</v>
      </c>
      <c r="B197" s="1802"/>
      <c r="C197" s="1802" t="s">
        <v>704</v>
      </c>
      <c r="D197" s="1731"/>
      <c r="E197" s="1731"/>
      <c r="F197" s="1731">
        <f>-'Fin-Int'!C11</f>
        <v>0</v>
      </c>
      <c r="G197" s="1731">
        <f>-'Fin-Int'!D11</f>
        <v>0</v>
      </c>
      <c r="H197" s="1731">
        <f>-'Fin-Int'!E11</f>
        <v>0</v>
      </c>
      <c r="I197" s="1731">
        <f>-'Fin-Int'!F11</f>
        <v>0</v>
      </c>
      <c r="J197" s="1731">
        <f>-'Fin-Int'!G11</f>
        <v>0</v>
      </c>
      <c r="K197" s="1731">
        <f>-'Fin-Int'!H11</f>
        <v>0</v>
      </c>
      <c r="L197" s="1731">
        <f>-'Fin-Int'!I11</f>
        <v>0</v>
      </c>
      <c r="M197" s="1731">
        <f>-'Fin-Int'!J11</f>
        <v>0</v>
      </c>
      <c r="N197" s="1731">
        <f>-'Fin-Int'!K11</f>
        <v>0</v>
      </c>
      <c r="O197" s="1731">
        <f>-'Fin-Int'!L11</f>
        <v>0</v>
      </c>
      <c r="P197" s="1731">
        <f>-'Fin-Int'!M11</f>
        <v>0</v>
      </c>
      <c r="Q197" s="1731">
        <f>-'Fin-Int'!N11</f>
        <v>0</v>
      </c>
      <c r="R197" s="1692">
        <f t="shared" si="87"/>
        <v>0</v>
      </c>
      <c r="S197" s="1702">
        <f t="shared" si="85"/>
        <v>0</v>
      </c>
      <c r="T197" s="1702">
        <f t="shared" si="74"/>
        <v>0</v>
      </c>
      <c r="U197" s="1702">
        <f t="shared" si="75"/>
        <v>0</v>
      </c>
      <c r="V197" s="1702">
        <f t="shared" si="76"/>
        <v>0</v>
      </c>
      <c r="W197" s="1694" t="e">
        <f t="shared" si="79"/>
        <v>#DIV/0!</v>
      </c>
      <c r="X197" s="1695"/>
    </row>
    <row r="198" spans="1:24" ht="15.75" customHeight="1">
      <c r="A198" s="1798" t="s">
        <v>1366</v>
      </c>
      <c r="B198" s="1801"/>
      <c r="C198" s="1801" t="s">
        <v>1642</v>
      </c>
      <c r="D198" s="1699">
        <v>0</v>
      </c>
      <c r="E198" s="1699">
        <v>0</v>
      </c>
      <c r="F198" s="1699">
        <f>-PNT!O71*1000</f>
        <v>0</v>
      </c>
      <c r="G198" s="1699">
        <f>-PNT!P71*1000</f>
        <v>0</v>
      </c>
      <c r="H198" s="1699">
        <f>-PNT!Q71*1000</f>
        <v>0</v>
      </c>
      <c r="I198" s="1699">
        <f>-PNT!R71*1000</f>
        <v>0</v>
      </c>
      <c r="J198" s="1699">
        <f>-PNT!S71*1000</f>
        <v>0</v>
      </c>
      <c r="K198" s="1699">
        <f>-PNT!T71*1000</f>
        <v>0</v>
      </c>
      <c r="L198" s="1699">
        <f>-PNT!U71*1000</f>
        <v>0</v>
      </c>
      <c r="M198" s="1699">
        <f>-PNT!V71*1000</f>
        <v>0</v>
      </c>
      <c r="N198" s="1699">
        <f>-PNT!W71*1000</f>
        <v>0</v>
      </c>
      <c r="O198" s="1699">
        <f>-PNT!X71*1000</f>
        <v>0</v>
      </c>
      <c r="P198" s="1699">
        <f>-PNT!Y71*1000</f>
        <v>0</v>
      </c>
      <c r="Q198" s="1699">
        <f>-PNT!Z71*1000</f>
        <v>0</v>
      </c>
      <c r="R198" s="1692">
        <f t="shared" si="87"/>
        <v>0</v>
      </c>
      <c r="S198" s="1702">
        <f t="shared" si="85"/>
        <v>0</v>
      </c>
      <c r="T198" s="1702">
        <f t="shared" si="74"/>
        <v>0</v>
      </c>
      <c r="U198" s="1702">
        <f t="shared" si="75"/>
        <v>0</v>
      </c>
      <c r="V198" s="1702">
        <f t="shared" si="76"/>
        <v>0</v>
      </c>
      <c r="W198" s="1694" t="e">
        <f t="shared" si="79"/>
        <v>#DIV/0!</v>
      </c>
      <c r="X198" s="1695"/>
    </row>
    <row r="199" spans="1:24" ht="15.75" customHeight="1">
      <c r="A199" s="1698" t="s">
        <v>1367</v>
      </c>
      <c r="B199" s="1786"/>
      <c r="C199" s="1786" t="s">
        <v>1647</v>
      </c>
      <c r="D199" s="1699">
        <v>0</v>
      </c>
      <c r="E199" s="1699">
        <v>0</v>
      </c>
      <c r="F199" s="1699">
        <f>+PNT!O82*1000</f>
        <v>-118128.0350000161</v>
      </c>
      <c r="G199" s="1699">
        <f>+PNT!P82*1000</f>
        <v>3370338.6690000189</v>
      </c>
      <c r="H199" s="1699">
        <f>+PNT!Q82*1000</f>
        <v>9731663.0939999893</v>
      </c>
      <c r="I199" s="1699">
        <f>+PNT!R82*1000</f>
        <v>4201928.8710000105</v>
      </c>
      <c r="J199" s="1699">
        <f>+PNT!S82*1000</f>
        <v>-25546676.645</v>
      </c>
      <c r="K199" s="1699">
        <f>+PNT!T82*1000</f>
        <v>-6498750.1360000027</v>
      </c>
      <c r="L199" s="1699">
        <f>+PNT!U82*1000</f>
        <v>-879336.69300000474</v>
      </c>
      <c r="M199" s="1699">
        <f>+PNT!V82*1000</f>
        <v>-682540.86900000402</v>
      </c>
      <c r="N199" s="1699">
        <f>+PNT!W82*1000</f>
        <v>7138487.4569999957</v>
      </c>
      <c r="O199" s="1699">
        <f>+PNT!X82*1000</f>
        <v>6314659.1269999919</v>
      </c>
      <c r="P199" s="1699">
        <f>+PNT!Y82*1000</f>
        <v>1064161.3790000118</v>
      </c>
      <c r="Q199" s="1699">
        <f>+PNT!Z82*1000</f>
        <v>9842222.8639999963</v>
      </c>
      <c r="R199" s="1692">
        <f t="shared" si="87"/>
        <v>7938029.0829999847</v>
      </c>
      <c r="S199" s="1702">
        <f t="shared" si="85"/>
        <v>12983873.727999993</v>
      </c>
      <c r="T199" s="1702">
        <f t="shared" si="74"/>
        <v>-14859624.182</v>
      </c>
      <c r="U199" s="1702">
        <f t="shared" si="75"/>
        <v>-9283014.2870000154</v>
      </c>
      <c r="V199" s="1702">
        <f t="shared" si="76"/>
        <v>7938029.0829999847</v>
      </c>
      <c r="W199" s="1694" t="e">
        <f t="shared" si="79"/>
        <v>#DIV/0!</v>
      </c>
      <c r="X199" s="1695"/>
    </row>
    <row r="200" spans="1:24" ht="15.75" customHeight="1">
      <c r="A200" s="1798" t="s">
        <v>705</v>
      </c>
      <c r="B200" s="1786"/>
      <c r="C200" s="1786" t="s">
        <v>1648</v>
      </c>
      <c r="D200" s="1699">
        <v>0</v>
      </c>
      <c r="E200" s="1699">
        <v>0</v>
      </c>
      <c r="F200" s="1699">
        <f>-PNT!O126*1000</f>
        <v>0</v>
      </c>
      <c r="G200" s="1699">
        <f>-PNT!P126*1000</f>
        <v>0</v>
      </c>
      <c r="H200" s="1699">
        <f>-PNT!Q126*1000</f>
        <v>0</v>
      </c>
      <c r="I200" s="1699">
        <f>-PNT!R126*1000</f>
        <v>0</v>
      </c>
      <c r="J200" s="1699">
        <f>-PNT!S126*1000</f>
        <v>0</v>
      </c>
      <c r="K200" s="1699">
        <f>-PNT!T126*1000</f>
        <v>0</v>
      </c>
      <c r="L200" s="1699">
        <f>-PNT!U126*1000</f>
        <v>0</v>
      </c>
      <c r="M200" s="1699">
        <f>-PNT!V126*1000</f>
        <v>0</v>
      </c>
      <c r="N200" s="1699">
        <f>-PNT!W126*1000</f>
        <v>0</v>
      </c>
      <c r="O200" s="1699">
        <f>-PNT!X126*1000</f>
        <v>0</v>
      </c>
      <c r="P200" s="1699">
        <f>-PNT!Y126*1000</f>
        <v>0</v>
      </c>
      <c r="Q200" s="1699">
        <f>-PNT!Z126*1000</f>
        <v>0</v>
      </c>
      <c r="R200" s="1692">
        <f t="shared" si="87"/>
        <v>0</v>
      </c>
      <c r="S200" s="1702">
        <f t="shared" si="85"/>
        <v>0</v>
      </c>
      <c r="T200" s="1702">
        <f t="shared" si="74"/>
        <v>0</v>
      </c>
      <c r="U200" s="1702">
        <f t="shared" si="75"/>
        <v>0</v>
      </c>
      <c r="V200" s="1702">
        <f t="shared" si="76"/>
        <v>0</v>
      </c>
      <c r="W200" s="1694" t="e">
        <f t="shared" si="79"/>
        <v>#DIV/0!</v>
      </c>
      <c r="X200" s="1695"/>
    </row>
    <row r="201" spans="1:24" ht="15.75" customHeight="1">
      <c r="A201" s="1798" t="s">
        <v>706</v>
      </c>
      <c r="B201" s="1786"/>
      <c r="C201" s="1786" t="s">
        <v>707</v>
      </c>
      <c r="D201" s="1699">
        <v>0</v>
      </c>
      <c r="E201" s="1699">
        <v>0</v>
      </c>
      <c r="F201" s="1699">
        <f>-PNT!O129*1000</f>
        <v>0</v>
      </c>
      <c r="G201" s="1699">
        <f>-PNT!P129*1000</f>
        <v>0</v>
      </c>
      <c r="H201" s="1699">
        <f>-PNT!Q129*1000</f>
        <v>0</v>
      </c>
      <c r="I201" s="1699">
        <f>-PNT!R129*1000</f>
        <v>0</v>
      </c>
      <c r="J201" s="1699">
        <f>-PNT!S129*1000</f>
        <v>0</v>
      </c>
      <c r="K201" s="1699">
        <f>-PNT!T129*1000</f>
        <v>0</v>
      </c>
      <c r="L201" s="1699">
        <f>-PNT!U129*1000</f>
        <v>0</v>
      </c>
      <c r="M201" s="1699">
        <f>-PNT!V129*1000</f>
        <v>0</v>
      </c>
      <c r="N201" s="1699">
        <f>-PNT!W129*1000</f>
        <v>0</v>
      </c>
      <c r="O201" s="1699">
        <f>-PNT!X129*1000</f>
        <v>0</v>
      </c>
      <c r="P201" s="1699">
        <f>-PNT!Y129*1000</f>
        <v>0</v>
      </c>
      <c r="Q201" s="1699">
        <f>-PNT!Z129*1000</f>
        <v>0</v>
      </c>
      <c r="R201" s="1692">
        <f t="shared" si="87"/>
        <v>0</v>
      </c>
      <c r="S201" s="1702">
        <f t="shared" si="85"/>
        <v>0</v>
      </c>
      <c r="T201" s="1702">
        <f t="shared" si="74"/>
        <v>0</v>
      </c>
      <c r="U201" s="1702">
        <f t="shared" si="75"/>
        <v>0</v>
      </c>
      <c r="V201" s="1702">
        <f t="shared" si="76"/>
        <v>0</v>
      </c>
      <c r="W201" s="1694" t="e">
        <f t="shared" si="79"/>
        <v>#DIV/0!</v>
      </c>
      <c r="X201" s="1695"/>
    </row>
    <row r="202" spans="1:24" ht="15.75" customHeight="1">
      <c r="A202" s="1798" t="s">
        <v>708</v>
      </c>
      <c r="B202" s="1786"/>
      <c r="C202" s="1786" t="s">
        <v>1650</v>
      </c>
      <c r="D202" s="1699">
        <v>0</v>
      </c>
      <c r="E202" s="1699">
        <v>0</v>
      </c>
      <c r="F202" s="1699">
        <f>-PNT!O128*1000</f>
        <v>0</v>
      </c>
      <c r="G202" s="1699">
        <f>-PNT!P128*1000</f>
        <v>0</v>
      </c>
      <c r="H202" s="1699">
        <f>-PNT!Q128*1000</f>
        <v>0</v>
      </c>
      <c r="I202" s="1699">
        <f>-PNT!R128*1000</f>
        <v>0</v>
      </c>
      <c r="J202" s="1699">
        <f>-PNT!S128*1000</f>
        <v>0</v>
      </c>
      <c r="K202" s="1699">
        <f>-PNT!T128*1000</f>
        <v>0</v>
      </c>
      <c r="L202" s="1699">
        <f>-PNT!U128*1000</f>
        <v>0</v>
      </c>
      <c r="M202" s="1699">
        <f>-PNT!V128*1000</f>
        <v>0</v>
      </c>
      <c r="N202" s="1699">
        <f>-PNT!W128*1000</f>
        <v>0</v>
      </c>
      <c r="O202" s="1699">
        <f>-PNT!X128*1000</f>
        <v>0</v>
      </c>
      <c r="P202" s="1699">
        <f>-PNT!Y128*1000</f>
        <v>0</v>
      </c>
      <c r="Q202" s="1699">
        <f>-PNT!Z128*1000</f>
        <v>0</v>
      </c>
      <c r="R202" s="1692">
        <f t="shared" si="87"/>
        <v>0</v>
      </c>
      <c r="S202" s="1702">
        <f t="shared" si="85"/>
        <v>0</v>
      </c>
      <c r="T202" s="1702">
        <f t="shared" si="74"/>
        <v>0</v>
      </c>
      <c r="U202" s="1702">
        <f t="shared" si="75"/>
        <v>0</v>
      </c>
      <c r="V202" s="1702">
        <f t="shared" si="76"/>
        <v>0</v>
      </c>
      <c r="W202" s="1694" t="e">
        <f t="shared" si="79"/>
        <v>#DIV/0!</v>
      </c>
      <c r="X202" s="1695"/>
    </row>
    <row r="203" spans="1:24" ht="15.75" customHeight="1">
      <c r="A203" s="1687" t="s">
        <v>709</v>
      </c>
      <c r="B203" s="1785"/>
      <c r="C203" s="1785" t="s">
        <v>710</v>
      </c>
      <c r="D203" s="1690">
        <f t="shared" ref="D203:Q203" si="90">D204+D205+D206+D207+D208+D211+D212</f>
        <v>0</v>
      </c>
      <c r="E203" s="1690">
        <f t="shared" si="90"/>
        <v>0</v>
      </c>
      <c r="F203" s="1690">
        <f t="shared" si="90"/>
        <v>0</v>
      </c>
      <c r="G203" s="1690">
        <f t="shared" si="90"/>
        <v>0</v>
      </c>
      <c r="H203" s="1690">
        <f t="shared" si="90"/>
        <v>0</v>
      </c>
      <c r="I203" s="1690">
        <f t="shared" si="90"/>
        <v>0</v>
      </c>
      <c r="J203" s="1690">
        <f t="shared" si="90"/>
        <v>0</v>
      </c>
      <c r="K203" s="1690">
        <f t="shared" si="90"/>
        <v>0</v>
      </c>
      <c r="L203" s="1690">
        <f t="shared" si="90"/>
        <v>0</v>
      </c>
      <c r="M203" s="1690">
        <f t="shared" si="90"/>
        <v>0</v>
      </c>
      <c r="N203" s="1690">
        <f t="shared" si="90"/>
        <v>0</v>
      </c>
      <c r="O203" s="1690">
        <f>O204+O205+O206+O207+O208+O211+O212</f>
        <v>0</v>
      </c>
      <c r="P203" s="1690">
        <f t="shared" si="90"/>
        <v>0</v>
      </c>
      <c r="Q203" s="1690">
        <f t="shared" si="90"/>
        <v>0</v>
      </c>
      <c r="R203" s="1692">
        <f t="shared" si="87"/>
        <v>0</v>
      </c>
      <c r="S203" s="1693">
        <f t="shared" si="85"/>
        <v>0</v>
      </c>
      <c r="T203" s="1693">
        <f t="shared" si="74"/>
        <v>0</v>
      </c>
      <c r="U203" s="1693">
        <f t="shared" si="75"/>
        <v>0</v>
      </c>
      <c r="V203" s="1693">
        <f t="shared" si="76"/>
        <v>0</v>
      </c>
      <c r="W203" s="1694" t="e">
        <f t="shared" si="79"/>
        <v>#DIV/0!</v>
      </c>
      <c r="X203" s="1695">
        <f>R203/$X$1*100/1000</f>
        <v>0</v>
      </c>
    </row>
    <row r="204" spans="1:24" ht="15.75" customHeight="1">
      <c r="A204" s="1698" t="s">
        <v>711</v>
      </c>
      <c r="B204" s="1803"/>
      <c r="C204" s="1803" t="s">
        <v>714</v>
      </c>
      <c r="D204" s="1699"/>
      <c r="E204" s="1699"/>
      <c r="F204" s="1699"/>
      <c r="G204" s="1699"/>
      <c r="H204" s="1699"/>
      <c r="I204" s="1699"/>
      <c r="J204" s="1699"/>
      <c r="K204" s="1699"/>
      <c r="L204" s="1699"/>
      <c r="M204" s="1699"/>
      <c r="N204" s="1699"/>
      <c r="O204" s="1699"/>
      <c r="P204" s="1699"/>
      <c r="Q204" s="1699"/>
      <c r="R204" s="1692">
        <f t="shared" si="87"/>
        <v>0</v>
      </c>
      <c r="S204" s="1702">
        <f t="shared" si="85"/>
        <v>0</v>
      </c>
      <c r="T204" s="1702">
        <f t="shared" si="74"/>
        <v>0</v>
      </c>
      <c r="U204" s="1702">
        <f t="shared" si="75"/>
        <v>0</v>
      </c>
      <c r="V204" s="1702">
        <f t="shared" si="76"/>
        <v>0</v>
      </c>
      <c r="W204" s="1694" t="e">
        <f t="shared" si="79"/>
        <v>#DIV/0!</v>
      </c>
      <c r="X204" s="1695"/>
    </row>
    <row r="205" spans="1:24" ht="15.75" customHeight="1">
      <c r="A205" s="1698" t="s">
        <v>715</v>
      </c>
      <c r="B205" s="1803"/>
      <c r="C205" s="1803" t="s">
        <v>2269</v>
      </c>
      <c r="D205" s="1699"/>
      <c r="E205" s="1699">
        <v>0</v>
      </c>
      <c r="F205" s="1731">
        <v>0</v>
      </c>
      <c r="G205" s="1731">
        <v>0</v>
      </c>
      <c r="H205" s="1731">
        <v>0</v>
      </c>
      <c r="I205" s="1731">
        <v>0</v>
      </c>
      <c r="J205" s="1731">
        <v>0</v>
      </c>
      <c r="K205" s="1731">
        <v>0</v>
      </c>
      <c r="L205" s="1731">
        <v>0</v>
      </c>
      <c r="M205" s="1731">
        <v>0</v>
      </c>
      <c r="N205" s="1731">
        <v>0</v>
      </c>
      <c r="O205" s="1731">
        <v>0</v>
      </c>
      <c r="P205" s="1731">
        <v>0</v>
      </c>
      <c r="Q205" s="1731">
        <v>0</v>
      </c>
      <c r="R205" s="1692">
        <f t="shared" si="87"/>
        <v>0</v>
      </c>
      <c r="S205" s="1702">
        <f t="shared" si="85"/>
        <v>0</v>
      </c>
      <c r="T205" s="1702">
        <f t="shared" si="74"/>
        <v>0</v>
      </c>
      <c r="U205" s="1702">
        <f t="shared" si="75"/>
        <v>0</v>
      </c>
      <c r="V205" s="1702">
        <f t="shared" si="76"/>
        <v>0</v>
      </c>
      <c r="W205" s="1694" t="e">
        <f t="shared" si="79"/>
        <v>#DIV/0!</v>
      </c>
      <c r="X205" s="1695"/>
    </row>
    <row r="206" spans="1:24" ht="15.75" customHeight="1">
      <c r="A206" s="1698" t="s">
        <v>716</v>
      </c>
      <c r="B206" s="1797"/>
      <c r="C206" s="1797" t="s">
        <v>1654</v>
      </c>
      <c r="D206" s="1699">
        <v>0</v>
      </c>
      <c r="E206" s="1699">
        <v>0</v>
      </c>
      <c r="F206" s="1699">
        <v>0</v>
      </c>
      <c r="G206" s="1699">
        <v>0</v>
      </c>
      <c r="H206" s="1699">
        <v>0</v>
      </c>
      <c r="I206" s="1699">
        <v>0</v>
      </c>
      <c r="J206" s="1699">
        <v>0</v>
      </c>
      <c r="K206" s="1699">
        <v>0</v>
      </c>
      <c r="L206" s="1699">
        <v>0</v>
      </c>
      <c r="M206" s="1699">
        <v>0</v>
      </c>
      <c r="N206" s="1699">
        <v>0</v>
      </c>
      <c r="O206" s="1699">
        <v>0</v>
      </c>
      <c r="P206" s="1699">
        <v>0</v>
      </c>
      <c r="Q206" s="1699">
        <v>0</v>
      </c>
      <c r="R206" s="1692">
        <f t="shared" si="87"/>
        <v>0</v>
      </c>
      <c r="S206" s="1702">
        <f t="shared" si="85"/>
        <v>0</v>
      </c>
      <c r="T206" s="1702">
        <f t="shared" si="74"/>
        <v>0</v>
      </c>
      <c r="U206" s="1702">
        <f t="shared" si="75"/>
        <v>0</v>
      </c>
      <c r="V206" s="1702">
        <f t="shared" si="76"/>
        <v>0</v>
      </c>
      <c r="W206" s="1694" t="e">
        <f t="shared" si="79"/>
        <v>#DIV/0!</v>
      </c>
      <c r="X206" s="1695">
        <f>R206/$X$1*100/1000</f>
        <v>0</v>
      </c>
    </row>
    <row r="207" spans="1:24" ht="15.75" customHeight="1">
      <c r="A207" s="1698" t="s">
        <v>717</v>
      </c>
      <c r="B207" s="1797"/>
      <c r="C207" s="1797" t="s">
        <v>718</v>
      </c>
      <c r="D207" s="1699"/>
      <c r="E207" s="1699"/>
      <c r="F207" s="1699"/>
      <c r="G207" s="1699"/>
      <c r="H207" s="1699"/>
      <c r="I207" s="1699"/>
      <c r="J207" s="1699"/>
      <c r="K207" s="1699"/>
      <c r="L207" s="1699"/>
      <c r="M207" s="1699"/>
      <c r="N207" s="1699"/>
      <c r="O207" s="1699"/>
      <c r="P207" s="1699"/>
      <c r="Q207" s="1699"/>
      <c r="R207" s="1692">
        <f t="shared" si="87"/>
        <v>0</v>
      </c>
      <c r="S207" s="1702">
        <f t="shared" si="85"/>
        <v>0</v>
      </c>
      <c r="T207" s="1702">
        <f t="shared" si="74"/>
        <v>0</v>
      </c>
      <c r="U207" s="1702">
        <f t="shared" si="75"/>
        <v>0</v>
      </c>
      <c r="V207" s="1702">
        <f t="shared" si="76"/>
        <v>0</v>
      </c>
      <c r="W207" s="1694" t="e">
        <f t="shared" si="79"/>
        <v>#DIV/0!</v>
      </c>
      <c r="X207" s="1695"/>
    </row>
    <row r="208" spans="1:24" ht="15.75" customHeight="1">
      <c r="A208" s="1698" t="s">
        <v>719</v>
      </c>
      <c r="B208" s="1797"/>
      <c r="C208" s="1797" t="s">
        <v>720</v>
      </c>
      <c r="D208" s="1699"/>
      <c r="E208" s="1699"/>
      <c r="F208" s="1699">
        <f>F209+F210</f>
        <v>0</v>
      </c>
      <c r="G208" s="1699">
        <f t="shared" ref="G208:Q208" si="91">G209+G210</f>
        <v>0</v>
      </c>
      <c r="H208" s="1699">
        <f t="shared" si="91"/>
        <v>0</v>
      </c>
      <c r="I208" s="1699">
        <f t="shared" si="91"/>
        <v>0</v>
      </c>
      <c r="J208" s="1699">
        <f t="shared" si="91"/>
        <v>0</v>
      </c>
      <c r="K208" s="1699">
        <f t="shared" si="91"/>
        <v>0</v>
      </c>
      <c r="L208" s="1699">
        <f t="shared" si="91"/>
        <v>0</v>
      </c>
      <c r="M208" s="1699">
        <f t="shared" si="91"/>
        <v>0</v>
      </c>
      <c r="N208" s="1699">
        <f t="shared" si="91"/>
        <v>0</v>
      </c>
      <c r="O208" s="1699">
        <f>O209+O210</f>
        <v>0</v>
      </c>
      <c r="P208" s="1699">
        <f t="shared" si="91"/>
        <v>0</v>
      </c>
      <c r="Q208" s="1699">
        <f t="shared" si="91"/>
        <v>0</v>
      </c>
      <c r="R208" s="1692">
        <f t="shared" si="87"/>
        <v>0</v>
      </c>
      <c r="S208" s="1702">
        <f t="shared" si="85"/>
        <v>0</v>
      </c>
      <c r="T208" s="1702">
        <f t="shared" si="74"/>
        <v>0</v>
      </c>
      <c r="U208" s="1702">
        <f t="shared" si="75"/>
        <v>0</v>
      </c>
      <c r="V208" s="1702">
        <f t="shared" si="76"/>
        <v>0</v>
      </c>
      <c r="W208" s="1694" t="e">
        <f t="shared" si="79"/>
        <v>#DIV/0!</v>
      </c>
      <c r="X208" s="1695"/>
    </row>
    <row r="209" spans="1:24" ht="15.75" customHeight="1">
      <c r="A209" s="1698" t="s">
        <v>721</v>
      </c>
      <c r="B209" s="1797"/>
      <c r="C209" s="1797" t="s">
        <v>722</v>
      </c>
      <c r="D209" s="1699"/>
      <c r="E209" s="1699"/>
      <c r="F209" s="1699">
        <f>+'Fin-Int'!C21</f>
        <v>0</v>
      </c>
      <c r="G209" s="1699">
        <f>+'Fin-Int'!D21</f>
        <v>0</v>
      </c>
      <c r="H209" s="1699">
        <f>+'Fin-Int'!E21</f>
        <v>0</v>
      </c>
      <c r="I209" s="1699">
        <f>+'Fin-Int'!F21</f>
        <v>0</v>
      </c>
      <c r="J209" s="1699">
        <f>+'Fin-Int'!G21</f>
        <v>0</v>
      </c>
      <c r="K209" s="1699">
        <f>+'Fin-Int'!H21</f>
        <v>0</v>
      </c>
      <c r="L209" s="1699">
        <f>+'Fin-Int'!I21</f>
        <v>0</v>
      </c>
      <c r="M209" s="1699">
        <f>+'Fin-Int'!J21</f>
        <v>0</v>
      </c>
      <c r="N209" s="1699">
        <f>+'Fin-Int'!K21</f>
        <v>0</v>
      </c>
      <c r="O209" s="1699">
        <f>+'Fin-Int'!L21</f>
        <v>0</v>
      </c>
      <c r="P209" s="1699">
        <f>+'Fin-Int'!M21</f>
        <v>0</v>
      </c>
      <c r="Q209" s="1699">
        <f>+'Fin-Int'!N21</f>
        <v>0</v>
      </c>
      <c r="R209" s="1692">
        <f t="shared" si="87"/>
        <v>0</v>
      </c>
      <c r="S209" s="1702">
        <f t="shared" si="85"/>
        <v>0</v>
      </c>
      <c r="T209" s="1702">
        <f t="shared" si="74"/>
        <v>0</v>
      </c>
      <c r="U209" s="1702">
        <f t="shared" si="75"/>
        <v>0</v>
      </c>
      <c r="V209" s="1702">
        <f t="shared" si="76"/>
        <v>0</v>
      </c>
      <c r="W209" s="1694" t="e">
        <f t="shared" si="79"/>
        <v>#DIV/0!</v>
      </c>
      <c r="X209" s="1695"/>
    </row>
    <row r="210" spans="1:24" ht="15.75" customHeight="1">
      <c r="A210" s="1698" t="s">
        <v>723</v>
      </c>
      <c r="B210" s="1804"/>
      <c r="C210" s="1804" t="s">
        <v>724</v>
      </c>
      <c r="D210" s="1805"/>
      <c r="E210" s="1805"/>
      <c r="F210" s="1805">
        <f>-'Fin-Int'!C24</f>
        <v>0</v>
      </c>
      <c r="G210" s="1805">
        <f>-'Fin-Int'!D24</f>
        <v>0</v>
      </c>
      <c r="H210" s="1805">
        <f>-'Fin-Int'!E24</f>
        <v>0</v>
      </c>
      <c r="I210" s="1805">
        <f>-'Fin-Int'!F24</f>
        <v>0</v>
      </c>
      <c r="J210" s="1805">
        <f>-'Fin-Int'!G24</f>
        <v>0</v>
      </c>
      <c r="K210" s="1805">
        <f>-'Fin-Int'!H24</f>
        <v>0</v>
      </c>
      <c r="L210" s="1805">
        <f>-'Fin-Int'!I24</f>
        <v>0</v>
      </c>
      <c r="M210" s="1805">
        <f>-'Fin-Int'!J24</f>
        <v>0</v>
      </c>
      <c r="N210" s="1805">
        <f>-'Fin-Int'!K24</f>
        <v>0</v>
      </c>
      <c r="O210" s="1805">
        <f>-'Fin-Int'!L24</f>
        <v>0</v>
      </c>
      <c r="P210" s="1805">
        <f>-'Fin-Int'!M24</f>
        <v>0</v>
      </c>
      <c r="Q210" s="1805">
        <f>-'Fin-Int'!N24</f>
        <v>0</v>
      </c>
      <c r="R210" s="1692">
        <f t="shared" si="87"/>
        <v>0</v>
      </c>
      <c r="S210" s="1806">
        <f t="shared" si="85"/>
        <v>0</v>
      </c>
      <c r="T210" s="1702">
        <f t="shared" ref="T210:T228" si="92">SUM(F210:K210)</f>
        <v>0</v>
      </c>
      <c r="U210" s="1702">
        <f t="shared" ref="U210:U228" si="93">SUM(F210:N210)</f>
        <v>0</v>
      </c>
      <c r="V210" s="1702">
        <f t="shared" ref="V210:V229" si="94">R210</f>
        <v>0</v>
      </c>
      <c r="W210" s="1694" t="e">
        <f t="shared" si="79"/>
        <v>#DIV/0!</v>
      </c>
      <c r="X210" s="1695"/>
    </row>
    <row r="211" spans="1:24" ht="15.75" customHeight="1">
      <c r="A211" s="1698" t="s">
        <v>740</v>
      </c>
      <c r="B211" s="1797"/>
      <c r="C211" s="1797" t="s">
        <v>1672</v>
      </c>
      <c r="D211" s="1699"/>
      <c r="E211" s="1699"/>
      <c r="F211" s="1699"/>
      <c r="G211" s="1699"/>
      <c r="H211" s="1699"/>
      <c r="I211" s="1699"/>
      <c r="J211" s="1699"/>
      <c r="K211" s="1699"/>
      <c r="L211" s="1699"/>
      <c r="M211" s="1699"/>
      <c r="N211" s="1699"/>
      <c r="O211" s="1699"/>
      <c r="P211" s="1699"/>
      <c r="Q211" s="1699"/>
      <c r="R211" s="1692">
        <f t="shared" si="87"/>
        <v>0</v>
      </c>
      <c r="S211" s="1702">
        <f t="shared" si="85"/>
        <v>0</v>
      </c>
      <c r="T211" s="1702">
        <f t="shared" si="92"/>
        <v>0</v>
      </c>
      <c r="U211" s="1702">
        <f t="shared" si="93"/>
        <v>0</v>
      </c>
      <c r="V211" s="1702">
        <f t="shared" si="94"/>
        <v>0</v>
      </c>
      <c r="W211" s="1694" t="e">
        <f t="shared" si="79"/>
        <v>#DIV/0!</v>
      </c>
      <c r="X211" s="1695"/>
    </row>
    <row r="212" spans="1:24" ht="15.75" customHeight="1">
      <c r="A212" s="1698" t="s">
        <v>743</v>
      </c>
      <c r="B212" s="1797"/>
      <c r="C212" s="1797" t="s">
        <v>1574</v>
      </c>
      <c r="D212" s="1699"/>
      <c r="E212" s="1699"/>
      <c r="F212" s="1699">
        <f>+'Receitas (mensais)'!E335</f>
        <v>0</v>
      </c>
      <c r="G212" s="1699">
        <f>+'Receitas (mensais)'!F342</f>
        <v>0</v>
      </c>
      <c r="H212" s="1699">
        <f>+'Receitas (mensais)'!G335</f>
        <v>0</v>
      </c>
      <c r="I212" s="1699">
        <f>+'Receitas (mensais)'!H335</f>
        <v>0</v>
      </c>
      <c r="J212" s="1699">
        <f>+'Receitas (mensais)'!I335</f>
        <v>0</v>
      </c>
      <c r="K212" s="1699">
        <f>+'Receitas (mensais)'!J335</f>
        <v>0</v>
      </c>
      <c r="L212" s="1699">
        <f>+'Receitas (mensais)'!K335</f>
        <v>0</v>
      </c>
      <c r="M212" s="1699">
        <f>+'Receitas (mensais)'!L335</f>
        <v>0</v>
      </c>
      <c r="N212" s="1699">
        <f>+'Receitas (mensais)'!M335</f>
        <v>0</v>
      </c>
      <c r="O212" s="1699">
        <f>+'Receitas (mensais)'!N335</f>
        <v>0</v>
      </c>
      <c r="P212" s="1699">
        <f>+'Receitas (mensais)'!O335</f>
        <v>0</v>
      </c>
      <c r="Q212" s="1699">
        <f>+'Receitas (mensais)'!P335</f>
        <v>0</v>
      </c>
      <c r="R212" s="1692">
        <f t="shared" si="87"/>
        <v>0</v>
      </c>
      <c r="S212" s="1702">
        <f t="shared" si="85"/>
        <v>0</v>
      </c>
      <c r="T212" s="1702">
        <f t="shared" si="92"/>
        <v>0</v>
      </c>
      <c r="U212" s="1702">
        <f t="shared" si="93"/>
        <v>0</v>
      </c>
      <c r="V212" s="1702">
        <f t="shared" si="94"/>
        <v>0</v>
      </c>
      <c r="W212" s="1694" t="e">
        <f t="shared" si="79"/>
        <v>#DIV/0!</v>
      </c>
      <c r="X212" s="1695"/>
    </row>
    <row r="213" spans="1:24" ht="15.75" customHeight="1">
      <c r="A213" s="1698"/>
      <c r="B213" s="1797"/>
      <c r="C213" s="1797"/>
      <c r="D213" s="1699"/>
      <c r="E213" s="1699"/>
      <c r="F213" s="1699"/>
      <c r="G213" s="1699"/>
      <c r="H213" s="1699"/>
      <c r="I213" s="1699"/>
      <c r="J213" s="1699"/>
      <c r="K213" s="1699"/>
      <c r="L213" s="1699"/>
      <c r="M213" s="1699"/>
      <c r="N213" s="1699"/>
      <c r="O213" s="1699"/>
      <c r="P213" s="1699"/>
      <c r="Q213" s="1699"/>
      <c r="R213" s="1692">
        <f t="shared" si="87"/>
        <v>0</v>
      </c>
      <c r="S213" s="1702">
        <f t="shared" si="85"/>
        <v>0</v>
      </c>
      <c r="T213" s="1702">
        <f t="shared" si="92"/>
        <v>0</v>
      </c>
      <c r="U213" s="1702">
        <f t="shared" si="93"/>
        <v>0</v>
      </c>
      <c r="V213" s="1702">
        <f t="shared" si="94"/>
        <v>0</v>
      </c>
      <c r="W213" s="1694" t="e">
        <f t="shared" si="79"/>
        <v>#DIV/0!</v>
      </c>
      <c r="X213" s="1695"/>
    </row>
    <row r="214" spans="1:24" ht="15.75" customHeight="1">
      <c r="A214" s="1698"/>
      <c r="B214" s="1797"/>
      <c r="C214" s="1797"/>
      <c r="D214" s="1699"/>
      <c r="E214" s="1699"/>
      <c r="F214" s="1699"/>
      <c r="G214" s="1699"/>
      <c r="H214" s="1699"/>
      <c r="I214" s="1699"/>
      <c r="J214" s="1699"/>
      <c r="K214" s="1699"/>
      <c r="L214" s="1699"/>
      <c r="M214" s="1699"/>
      <c r="N214" s="1699"/>
      <c r="O214" s="1699"/>
      <c r="P214" s="1699"/>
      <c r="Q214" s="1699"/>
      <c r="R214" s="1692">
        <f t="shared" si="87"/>
        <v>0</v>
      </c>
      <c r="S214" s="1702">
        <f t="shared" si="85"/>
        <v>0</v>
      </c>
      <c r="T214" s="1702">
        <f t="shared" si="92"/>
        <v>0</v>
      </c>
      <c r="U214" s="1702">
        <f t="shared" si="93"/>
        <v>0</v>
      </c>
      <c r="V214" s="1702">
        <f t="shared" si="94"/>
        <v>0</v>
      </c>
      <c r="W214" s="1694" t="e">
        <f t="shared" si="79"/>
        <v>#DIV/0!</v>
      </c>
      <c r="X214" s="1695"/>
    </row>
    <row r="215" spans="1:24" ht="15.75" customHeight="1">
      <c r="A215" s="1807" t="s">
        <v>725</v>
      </c>
      <c r="B215" s="1690"/>
      <c r="C215" s="1808" t="s">
        <v>3154</v>
      </c>
      <c r="D215" s="1690">
        <f>D216+D220+D221+D222+D225</f>
        <v>0</v>
      </c>
      <c r="E215" s="1690">
        <f>E216+E220+E221+E222+E225</f>
        <v>0</v>
      </c>
      <c r="F215" s="1690">
        <f>F216+F220+F221+F222</f>
        <v>-166758.93841249999</v>
      </c>
      <c r="G215" s="1690">
        <f t="shared" ref="G215:Q215" si="95">G216+G220+G221+G222</f>
        <v>-161668.26415025</v>
      </c>
      <c r="H215" s="1690">
        <f t="shared" si="95"/>
        <v>3419276.8597964002</v>
      </c>
      <c r="I215" s="1690">
        <f t="shared" si="95"/>
        <v>-341244.28076133004</v>
      </c>
      <c r="J215" s="1690">
        <f t="shared" si="95"/>
        <v>-146734.5</v>
      </c>
      <c r="K215" s="1690">
        <f t="shared" si="95"/>
        <v>2409511.2626744802</v>
      </c>
      <c r="L215" s="1690">
        <f t="shared" si="95"/>
        <v>-118204.85599999997</v>
      </c>
      <c r="M215" s="1690">
        <f t="shared" si="95"/>
        <v>-159878.886</v>
      </c>
      <c r="N215" s="1690">
        <f t="shared" si="95"/>
        <v>8353202.453999999</v>
      </c>
      <c r="O215" s="1690">
        <f>O216+O220+O221+O222</f>
        <v>-206251.68685250002</v>
      </c>
      <c r="P215" s="1690">
        <f>P216+P220+P221+P222</f>
        <v>-149487.76217</v>
      </c>
      <c r="Q215" s="1690">
        <f t="shared" si="95"/>
        <v>-857014.3</v>
      </c>
      <c r="R215" s="1692">
        <f t="shared" si="87"/>
        <v>11874747.1021243</v>
      </c>
      <c r="S215" s="1693">
        <f t="shared" si="85"/>
        <v>3090849.6572336503</v>
      </c>
      <c r="T215" s="1693">
        <f t="shared" si="92"/>
        <v>5012382.1391468011</v>
      </c>
      <c r="U215" s="1693">
        <f t="shared" si="93"/>
        <v>13087500.8511468</v>
      </c>
      <c r="V215" s="1693">
        <f t="shared" si="94"/>
        <v>11874747.1021243</v>
      </c>
      <c r="W215" s="1694" t="e">
        <f t="shared" si="79"/>
        <v>#DIV/0!</v>
      </c>
      <c r="X215" s="1695">
        <f>R215/$X$1*100/1000</f>
        <v>1.4635067109681288</v>
      </c>
    </row>
    <row r="216" spans="1:24" ht="15.75" customHeight="1">
      <c r="A216" s="1698" t="s">
        <v>749</v>
      </c>
      <c r="B216" s="1784"/>
      <c r="C216" s="1784" t="s">
        <v>750</v>
      </c>
      <c r="D216" s="1699">
        <f t="shared" ref="D216:Q216" si="96">SUM(D217:D219)</f>
        <v>0</v>
      </c>
      <c r="E216" s="1699">
        <f t="shared" si="96"/>
        <v>0</v>
      </c>
      <c r="F216" s="1699">
        <f t="shared" si="96"/>
        <v>0</v>
      </c>
      <c r="G216" s="1699">
        <f t="shared" si="96"/>
        <v>0</v>
      </c>
      <c r="H216" s="1699">
        <f t="shared" si="96"/>
        <v>3549161.0410000002</v>
      </c>
      <c r="I216" s="1699">
        <f t="shared" si="96"/>
        <v>0</v>
      </c>
      <c r="J216" s="1699">
        <f t="shared" si="96"/>
        <v>0</v>
      </c>
      <c r="K216" s="1699">
        <f t="shared" si="96"/>
        <v>2620536.50856</v>
      </c>
      <c r="L216" s="1699">
        <f t="shared" si="96"/>
        <v>0</v>
      </c>
      <c r="M216" s="1699">
        <f t="shared" si="96"/>
        <v>0</v>
      </c>
      <c r="N216" s="1699">
        <f t="shared" si="96"/>
        <v>8422775.3149999995</v>
      </c>
      <c r="O216" s="1699">
        <f>SUM(O217:O219)</f>
        <v>0</v>
      </c>
      <c r="P216" s="1699">
        <f>SUM(P217:P219)</f>
        <v>0</v>
      </c>
      <c r="Q216" s="1699">
        <f t="shared" si="96"/>
        <v>165.7</v>
      </c>
      <c r="R216" s="1692">
        <f t="shared" si="87"/>
        <v>14592638.56456</v>
      </c>
      <c r="S216" s="1702">
        <f t="shared" si="85"/>
        <v>3549161.0410000002</v>
      </c>
      <c r="T216" s="1702">
        <f t="shared" si="92"/>
        <v>6169697.5495600002</v>
      </c>
      <c r="U216" s="1702">
        <f t="shared" si="93"/>
        <v>14592472.864560001</v>
      </c>
      <c r="V216" s="1702">
        <f t="shared" si="94"/>
        <v>14592638.56456</v>
      </c>
      <c r="W216" s="1694" t="e">
        <f t="shared" si="79"/>
        <v>#DIV/0!</v>
      </c>
      <c r="X216" s="1695">
        <f>R216/$X$1*100/1000</f>
        <v>1.7984740463353011</v>
      </c>
    </row>
    <row r="217" spans="1:24" ht="15.75" customHeight="1">
      <c r="A217" s="1698" t="s">
        <v>752</v>
      </c>
      <c r="B217" s="1797"/>
      <c r="C217" s="1797" t="s">
        <v>753</v>
      </c>
      <c r="D217" s="1699">
        <v>0</v>
      </c>
      <c r="E217" s="1699"/>
      <c r="F217" s="1699">
        <f>+'Ordon-Dep'!E46</f>
        <v>0</v>
      </c>
      <c r="G217" s="1699">
        <f>+'Ordon-Dep'!F46</f>
        <v>0</v>
      </c>
      <c r="H217" s="1699">
        <f>+'Ordon-Dep'!G46</f>
        <v>3549161.0410000002</v>
      </c>
      <c r="I217" s="1699">
        <f>+'Ordon-Dep'!H46</f>
        <v>0</v>
      </c>
      <c r="J217" s="1699">
        <f>+'Ordon-Dep'!I46</f>
        <v>0</v>
      </c>
      <c r="K217" s="1699">
        <f>+'Ordon-Dep'!J46</f>
        <v>2620536.50856</v>
      </c>
      <c r="L217" s="1699">
        <f>+'Ordon-Dep'!K46</f>
        <v>0</v>
      </c>
      <c r="M217" s="1699">
        <f>+'Ordon-Dep'!L46</f>
        <v>0</v>
      </c>
      <c r="N217" s="1699">
        <f>+'Ordon-Dep'!M46</f>
        <v>8422775.3149999995</v>
      </c>
      <c r="O217" s="1699">
        <f>+'Ordon-Dep'!N46</f>
        <v>0</v>
      </c>
      <c r="P217" s="1699">
        <f>+'Ordon-Dep'!O46</f>
        <v>0</v>
      </c>
      <c r="Q217" s="1699">
        <f>+'Ordon-Dep'!P46</f>
        <v>165.7</v>
      </c>
      <c r="R217" s="1692">
        <f t="shared" ref="R217:R226" si="97">SUM(F217:Q217)</f>
        <v>14592638.56456</v>
      </c>
      <c r="S217" s="1702">
        <f t="shared" ref="S217:S228" si="98">SUM(F217:H217)</f>
        <v>3549161.0410000002</v>
      </c>
      <c r="T217" s="1702">
        <f t="shared" si="92"/>
        <v>6169697.5495600002</v>
      </c>
      <c r="U217" s="1702">
        <f t="shared" si="93"/>
        <v>14592472.864560001</v>
      </c>
      <c r="V217" s="1702">
        <f t="shared" si="94"/>
        <v>14592638.56456</v>
      </c>
      <c r="W217" s="1694" t="e">
        <f t="shared" si="79"/>
        <v>#DIV/0!</v>
      </c>
      <c r="X217" s="1695">
        <f>R217/$X$1*100/1000</f>
        <v>1.7984740463353011</v>
      </c>
    </row>
    <row r="218" spans="1:24" ht="15.75" customHeight="1">
      <c r="A218" s="1698" t="s">
        <v>755</v>
      </c>
      <c r="B218" s="1797"/>
      <c r="C218" s="1797" t="s">
        <v>756</v>
      </c>
      <c r="D218" s="1699">
        <f>+'Appui-Bud'!E19</f>
        <v>0</v>
      </c>
      <c r="E218" s="1699">
        <f>+'Appui-Bud'!F19</f>
        <v>0</v>
      </c>
      <c r="F218" s="1699">
        <f>+'Appui-Bud'!G19</f>
        <v>0</v>
      </c>
      <c r="G218" s="1699">
        <f>+'Appui-Bud'!H19</f>
        <v>0</v>
      </c>
      <c r="H218" s="1699">
        <f>+'Appui-Bud'!I19</f>
        <v>0</v>
      </c>
      <c r="I218" s="1699">
        <f>+'Appui-Bud'!J19</f>
        <v>0</v>
      </c>
      <c r="J218" s="1699">
        <f>+'Appui-Bud'!K19</f>
        <v>0</v>
      </c>
      <c r="K218" s="1699">
        <f>+'Appui-Bud'!L19</f>
        <v>0</v>
      </c>
      <c r="L218" s="1699">
        <f>+'Appui-Bud'!M19</f>
        <v>0</v>
      </c>
      <c r="M218" s="1699">
        <f>+'Appui-Bud'!N19</f>
        <v>0</v>
      </c>
      <c r="N218" s="1699">
        <f>+'Appui-Bud'!O19</f>
        <v>0</v>
      </c>
      <c r="O218" s="1699">
        <f>+'Appui-Bud'!P19</f>
        <v>0</v>
      </c>
      <c r="P218" s="1699">
        <f>+'Appui-Bud'!Q19</f>
        <v>0</v>
      </c>
      <c r="Q218" s="1699">
        <f>+'Appui-Bud'!R19</f>
        <v>0</v>
      </c>
      <c r="R218" s="1692">
        <f t="shared" si="97"/>
        <v>0</v>
      </c>
      <c r="S218" s="1702">
        <f t="shared" si="98"/>
        <v>0</v>
      </c>
      <c r="T218" s="1702">
        <f t="shared" si="92"/>
        <v>0</v>
      </c>
      <c r="U218" s="1702">
        <f t="shared" si="93"/>
        <v>0</v>
      </c>
      <c r="V218" s="1702">
        <f t="shared" si="94"/>
        <v>0</v>
      </c>
      <c r="W218" s="1694" t="e">
        <f t="shared" si="79"/>
        <v>#DIV/0!</v>
      </c>
      <c r="X218" s="1695">
        <f>R218/$X$1*100/1000</f>
        <v>0</v>
      </c>
    </row>
    <row r="219" spans="1:24" ht="15.75" customHeight="1">
      <c r="A219" s="1698" t="s">
        <v>761</v>
      </c>
      <c r="B219" s="1797"/>
      <c r="C219" s="1797" t="s">
        <v>762</v>
      </c>
      <c r="D219" s="1699"/>
      <c r="E219" s="1699"/>
      <c r="F219" s="1699"/>
      <c r="G219" s="1699"/>
      <c r="H219" s="1699"/>
      <c r="I219" s="1699"/>
      <c r="J219" s="1699"/>
      <c r="K219" s="1699"/>
      <c r="L219" s="1699"/>
      <c r="M219" s="1699"/>
      <c r="N219" s="1699"/>
      <c r="O219" s="1699"/>
      <c r="P219" s="1699"/>
      <c r="Q219" s="1699"/>
      <c r="R219" s="1692">
        <f t="shared" si="97"/>
        <v>0</v>
      </c>
      <c r="S219" s="1702">
        <f t="shared" si="98"/>
        <v>0</v>
      </c>
      <c r="T219" s="1702">
        <f t="shared" si="92"/>
        <v>0</v>
      </c>
      <c r="U219" s="1702">
        <f t="shared" si="93"/>
        <v>0</v>
      </c>
      <c r="V219" s="1702">
        <f t="shared" si="94"/>
        <v>0</v>
      </c>
      <c r="W219" s="1694" t="e">
        <f t="shared" si="79"/>
        <v>#DIV/0!</v>
      </c>
      <c r="X219" s="1695"/>
    </row>
    <row r="220" spans="1:24" ht="15.75" customHeight="1">
      <c r="A220" s="1698" t="s">
        <v>767</v>
      </c>
      <c r="B220" s="1797"/>
      <c r="C220" s="1797" t="s">
        <v>768</v>
      </c>
      <c r="D220" s="1699"/>
      <c r="E220" s="1699"/>
      <c r="F220" s="1699">
        <f>-'Ordon-Dep'!E36</f>
        <v>-166758.93841249999</v>
      </c>
      <c r="G220" s="1699">
        <f>-'Ordon-Dep'!F36</f>
        <v>-161668.26415025</v>
      </c>
      <c r="H220" s="1699">
        <f>-'Ordon-Dep'!G36</f>
        <v>-208992.39620359999</v>
      </c>
      <c r="I220" s="1699">
        <f>-'Ordon-Dep'!H36</f>
        <v>-341244.28076133004</v>
      </c>
      <c r="J220" s="1699">
        <f>-'Ordon-Dep'!I36</f>
        <v>-146734.5</v>
      </c>
      <c r="K220" s="1699">
        <f>-'Ordon-Dep'!J36</f>
        <v>-211025.24588551998</v>
      </c>
      <c r="L220" s="1699">
        <f>-'Ordon-Dep'!K36</f>
        <v>-446954.85599999997</v>
      </c>
      <c r="M220" s="1699">
        <f>-'Ordon-Dep'!L36</f>
        <v>-159878.886</v>
      </c>
      <c r="N220" s="1699">
        <f>-'Ordon-Dep'!M36</f>
        <v>-273286.26199999999</v>
      </c>
      <c r="O220" s="1699">
        <f>-'Ordon-Dep'!N36</f>
        <v>-509501.68685250002</v>
      </c>
      <c r="P220" s="1699">
        <f>-'Ordon-Dep'!O36</f>
        <v>-149487.76217</v>
      </c>
      <c r="Q220" s="1699">
        <f>-'Ordon-Dep'!P36</f>
        <v>-922841.45</v>
      </c>
      <c r="R220" s="1692">
        <f>SUM(F220:Q220)</f>
        <v>-3698374.5284356996</v>
      </c>
      <c r="S220" s="1702">
        <f t="shared" si="98"/>
        <v>-537419.59876634995</v>
      </c>
      <c r="T220" s="1702">
        <f t="shared" si="92"/>
        <v>-1236423.6254131999</v>
      </c>
      <c r="U220" s="1702">
        <f t="shared" si="93"/>
        <v>-2116543.6294131996</v>
      </c>
      <c r="V220" s="1702">
        <f t="shared" si="94"/>
        <v>-3698374.5284356996</v>
      </c>
      <c r="W220" s="1694" t="e">
        <f t="shared" si="79"/>
        <v>#DIV/0!</v>
      </c>
      <c r="X220" s="1695">
        <f>R220/$X$1*100/1000</f>
        <v>-0.45580726018754236</v>
      </c>
    </row>
    <row r="221" spans="1:24" ht="15.75" customHeight="1">
      <c r="A221" s="1698" t="s">
        <v>770</v>
      </c>
      <c r="B221" s="1797"/>
      <c r="C221" s="1797" t="s">
        <v>771</v>
      </c>
      <c r="D221" s="1699"/>
      <c r="E221" s="1699"/>
      <c r="F221" s="1699">
        <f>+Dettes!C131</f>
        <v>0</v>
      </c>
      <c r="G221" s="1699">
        <f>+Dettes!D131</f>
        <v>0</v>
      </c>
      <c r="H221" s="1699">
        <f>+Dettes!E131</f>
        <v>0</v>
      </c>
      <c r="I221" s="1699">
        <f>+Dettes!F131</f>
        <v>0</v>
      </c>
      <c r="J221" s="1699">
        <f>+Dettes!G131</f>
        <v>0</v>
      </c>
      <c r="K221" s="1699">
        <f>+Dettes!H131</f>
        <v>0</v>
      </c>
      <c r="L221" s="1699">
        <f>+Dettes!I131</f>
        <v>0</v>
      </c>
      <c r="M221" s="1699">
        <f>+Dettes!J131</f>
        <v>0</v>
      </c>
      <c r="N221" s="1699">
        <f>+Dettes!K131</f>
        <v>0</v>
      </c>
      <c r="O221" s="1699">
        <f>+Dettes!L131</f>
        <v>0</v>
      </c>
      <c r="P221" s="1699">
        <f>+Dettes!M131</f>
        <v>0</v>
      </c>
      <c r="Q221" s="1699">
        <f>+Dettes!N131</f>
        <v>0</v>
      </c>
      <c r="R221" s="1692">
        <f t="shared" si="97"/>
        <v>0</v>
      </c>
      <c r="S221" s="1702">
        <f t="shared" si="98"/>
        <v>0</v>
      </c>
      <c r="T221" s="1702">
        <f t="shared" si="92"/>
        <v>0</v>
      </c>
      <c r="U221" s="1702">
        <f t="shared" si="93"/>
        <v>0</v>
      </c>
      <c r="V221" s="1702">
        <f t="shared" si="94"/>
        <v>0</v>
      </c>
      <c r="W221" s="1694" t="e">
        <f t="shared" si="79"/>
        <v>#DIV/0!</v>
      </c>
      <c r="X221" s="1695"/>
    </row>
    <row r="222" spans="1:24" ht="15.75" customHeight="1">
      <c r="A222" s="1698" t="s">
        <v>1653</v>
      </c>
      <c r="B222" s="1797"/>
      <c r="C222" s="1797" t="s">
        <v>1654</v>
      </c>
      <c r="D222" s="1699"/>
      <c r="E222" s="1699">
        <v>0</v>
      </c>
      <c r="F222" s="1699">
        <f>+F223+F224</f>
        <v>0</v>
      </c>
      <c r="G222" s="1699">
        <f t="shared" ref="G222:Q222" si="99">+G223+G224</f>
        <v>0</v>
      </c>
      <c r="H222" s="1699">
        <f t="shared" si="99"/>
        <v>79108.214999999997</v>
      </c>
      <c r="I222" s="1699">
        <f t="shared" si="99"/>
        <v>0</v>
      </c>
      <c r="J222" s="1699">
        <f t="shared" si="99"/>
        <v>0</v>
      </c>
      <c r="K222" s="1699">
        <f t="shared" si="99"/>
        <v>0</v>
      </c>
      <c r="L222" s="1699">
        <f t="shared" si="99"/>
        <v>328750</v>
      </c>
      <c r="M222" s="1699">
        <f t="shared" si="99"/>
        <v>0</v>
      </c>
      <c r="N222" s="1699">
        <f t="shared" si="99"/>
        <v>203713.40100000001</v>
      </c>
      <c r="O222" s="1699">
        <f t="shared" si="99"/>
        <v>303250</v>
      </c>
      <c r="P222" s="1699">
        <f>+P223+P224</f>
        <v>0</v>
      </c>
      <c r="Q222" s="1699">
        <f t="shared" si="99"/>
        <v>65661.45</v>
      </c>
      <c r="R222" s="1692">
        <f t="shared" si="97"/>
        <v>980483.06599999988</v>
      </c>
      <c r="S222" s="1702">
        <f t="shared" si="98"/>
        <v>79108.214999999997</v>
      </c>
      <c r="T222" s="1702">
        <f t="shared" si="92"/>
        <v>79108.214999999997</v>
      </c>
      <c r="U222" s="1702">
        <f t="shared" si="93"/>
        <v>611571.61599999992</v>
      </c>
      <c r="V222" s="1702">
        <f t="shared" si="94"/>
        <v>980483.06599999988</v>
      </c>
      <c r="W222" s="1694" t="e">
        <f t="shared" si="79"/>
        <v>#DIV/0!</v>
      </c>
      <c r="X222" s="1695"/>
    </row>
    <row r="223" spans="1:24" ht="15.75" customHeight="1">
      <c r="A223" s="1698" t="s">
        <v>1659</v>
      </c>
      <c r="B223" s="1797"/>
      <c r="C223" s="1797" t="s">
        <v>1660</v>
      </c>
      <c r="D223" s="1699"/>
      <c r="E223" s="1699"/>
      <c r="F223" s="1699">
        <f>+Dettes!F6</f>
        <v>0</v>
      </c>
      <c r="G223" s="1699">
        <f>+Dettes!J6</f>
        <v>0</v>
      </c>
      <c r="H223" s="1699">
        <f>+Dettes!N6</f>
        <v>79108.214999999997</v>
      </c>
      <c r="I223" s="1699">
        <f>+Dettes!R6</f>
        <v>0</v>
      </c>
      <c r="J223" s="1699">
        <f>+Dettes!V6</f>
        <v>0</v>
      </c>
      <c r="K223" s="1699">
        <f>+Dettes!Z6</f>
        <v>0</v>
      </c>
      <c r="L223" s="1699">
        <f>+Dettes!AD6</f>
        <v>328750</v>
      </c>
      <c r="M223" s="1699">
        <f>+Dettes!AH6</f>
        <v>0</v>
      </c>
      <c r="N223" s="1699">
        <f>+Dettes!AL6</f>
        <v>203713.40100000001</v>
      </c>
      <c r="O223" s="1699">
        <f>+Dettes!AP6</f>
        <v>303250</v>
      </c>
      <c r="P223" s="1699">
        <f>+Dettes!AT6</f>
        <v>0</v>
      </c>
      <c r="Q223" s="1699">
        <f>+Dettes!AX6</f>
        <v>65661.45</v>
      </c>
      <c r="R223" s="1692">
        <f t="shared" si="97"/>
        <v>980483.06599999988</v>
      </c>
      <c r="S223" s="1702">
        <f t="shared" si="98"/>
        <v>79108.214999999997</v>
      </c>
      <c r="T223" s="1702">
        <f t="shared" si="92"/>
        <v>79108.214999999997</v>
      </c>
      <c r="U223" s="1702">
        <f t="shared" si="93"/>
        <v>611571.61599999992</v>
      </c>
      <c r="V223" s="1702">
        <f t="shared" si="94"/>
        <v>980483.06599999988</v>
      </c>
      <c r="W223" s="1694" t="e">
        <f t="shared" si="79"/>
        <v>#DIV/0!</v>
      </c>
      <c r="X223" s="1695"/>
    </row>
    <row r="224" spans="1:24" ht="15.75" customHeight="1">
      <c r="A224" s="1698" t="s">
        <v>726</v>
      </c>
      <c r="B224" s="1797"/>
      <c r="C224" s="1797" t="s">
        <v>1663</v>
      </c>
      <c r="D224" s="1699"/>
      <c r="E224" s="1699"/>
      <c r="F224" s="1699"/>
      <c r="G224" s="1699"/>
      <c r="H224" s="1699"/>
      <c r="I224" s="1699"/>
      <c r="J224" s="1699"/>
      <c r="K224" s="1699"/>
      <c r="L224" s="1699"/>
      <c r="M224" s="1699"/>
      <c r="N224" s="1699"/>
      <c r="O224" s="1699"/>
      <c r="P224" s="1699"/>
      <c r="Q224" s="1699"/>
      <c r="R224" s="1692">
        <f t="shared" si="97"/>
        <v>0</v>
      </c>
      <c r="S224" s="1702">
        <f t="shared" si="98"/>
        <v>0</v>
      </c>
      <c r="T224" s="1702">
        <f t="shared" si="92"/>
        <v>0</v>
      </c>
      <c r="U224" s="1702">
        <f t="shared" si="93"/>
        <v>0</v>
      </c>
      <c r="V224" s="1702">
        <f t="shared" si="94"/>
        <v>0</v>
      </c>
      <c r="W224" s="1694" t="e">
        <f t="shared" si="79"/>
        <v>#DIV/0!</v>
      </c>
      <c r="X224" s="1695"/>
    </row>
    <row r="225" spans="1:24" ht="15.75" customHeight="1">
      <c r="A225" s="1698"/>
      <c r="B225" s="1797"/>
      <c r="C225" s="1797" t="s">
        <v>1673</v>
      </c>
      <c r="D225" s="1699">
        <v>0</v>
      </c>
      <c r="E225" s="1699"/>
      <c r="F225" s="1699"/>
      <c r="G225" s="1699"/>
      <c r="H225" s="1699"/>
      <c r="I225" s="1699"/>
      <c r="J225" s="1699"/>
      <c r="K225" s="1699"/>
      <c r="L225" s="1699"/>
      <c r="M225" s="1699"/>
      <c r="N225" s="1699"/>
      <c r="O225" s="1699"/>
      <c r="P225" s="1699"/>
      <c r="Q225" s="1699"/>
      <c r="R225" s="1692">
        <f t="shared" si="97"/>
        <v>0</v>
      </c>
      <c r="S225" s="1702">
        <f t="shared" si="98"/>
        <v>0</v>
      </c>
      <c r="T225" s="1702">
        <f t="shared" si="92"/>
        <v>0</v>
      </c>
      <c r="U225" s="1702">
        <f t="shared" si="93"/>
        <v>0</v>
      </c>
      <c r="V225" s="1702">
        <f t="shared" si="94"/>
        <v>0</v>
      </c>
      <c r="W225" s="1694" t="e">
        <f t="shared" si="79"/>
        <v>#DIV/0!</v>
      </c>
      <c r="X225" s="1695"/>
    </row>
    <row r="226" spans="1:24" ht="15.75" customHeight="1">
      <c r="A226" s="1698"/>
      <c r="B226" s="1797"/>
      <c r="C226" s="1797"/>
      <c r="D226" s="1699"/>
      <c r="E226" s="1699"/>
      <c r="F226" s="1699"/>
      <c r="G226" s="1699"/>
      <c r="H226" s="1699"/>
      <c r="I226" s="1699"/>
      <c r="J226" s="1699"/>
      <c r="K226" s="1699"/>
      <c r="L226" s="1699"/>
      <c r="M226" s="1699"/>
      <c r="N226" s="1699"/>
      <c r="O226" s="1699"/>
      <c r="P226" s="1699"/>
      <c r="Q226" s="1699"/>
      <c r="R226" s="1692">
        <f t="shared" si="97"/>
        <v>0</v>
      </c>
      <c r="S226" s="1702">
        <f t="shared" si="98"/>
        <v>0</v>
      </c>
      <c r="T226" s="1702">
        <f t="shared" si="92"/>
        <v>0</v>
      </c>
      <c r="U226" s="1702">
        <f t="shared" si="93"/>
        <v>0</v>
      </c>
      <c r="V226" s="1702">
        <f t="shared" si="94"/>
        <v>0</v>
      </c>
      <c r="W226" s="1694" t="e">
        <f t="shared" si="79"/>
        <v>#DIV/0!</v>
      </c>
      <c r="X226" s="1695"/>
    </row>
    <row r="227" spans="1:24">
      <c r="A227" s="1698" t="s">
        <v>727</v>
      </c>
      <c r="B227" s="1797"/>
      <c r="C227" s="1797" t="s">
        <v>728</v>
      </c>
      <c r="D227" s="1699"/>
      <c r="E227" s="1699"/>
      <c r="F227" s="1699">
        <f>F180+F182</f>
        <v>2119588.3584378059</v>
      </c>
      <c r="G227" s="1699">
        <f>G180+G182</f>
        <v>-1571165.5744628804</v>
      </c>
      <c r="H227" s="1699">
        <f t="shared" ref="H227:Q227" si="100">H180+H182</f>
        <v>-2449108.354160103</v>
      </c>
      <c r="I227" s="1699">
        <f t="shared" si="100"/>
        <v>-1549980.3608852034</v>
      </c>
      <c r="J227" s="1699">
        <f t="shared" si="100"/>
        <v>-23698445.242164999</v>
      </c>
      <c r="K227" s="1699">
        <f t="shared" si="100"/>
        <v>74660.844590054825</v>
      </c>
      <c r="L227" s="1699">
        <f t="shared" si="100"/>
        <v>2269507.1549999965</v>
      </c>
      <c r="M227" s="1699">
        <f t="shared" si="100"/>
        <v>-3097495.0249600033</v>
      </c>
      <c r="N227" s="1699">
        <f t="shared" si="100"/>
        <v>-530290.41308510676</v>
      </c>
      <c r="O227" s="1699">
        <f t="shared" si="100"/>
        <v>7091740.2705324916</v>
      </c>
      <c r="P227" s="1699">
        <f t="shared" si="100"/>
        <v>-1516289.2896431875</v>
      </c>
      <c r="Q227" s="1699">
        <f t="shared" si="100"/>
        <v>17754494.041999809</v>
      </c>
      <c r="R227" s="1692">
        <f>SUM(F227:Q227)</f>
        <v>-5102783.5888013244</v>
      </c>
      <c r="S227" s="1702">
        <f t="shared" si="98"/>
        <v>-1900685.5701851775</v>
      </c>
      <c r="T227" s="1702">
        <f t="shared" si="92"/>
        <v>-27074450.328645326</v>
      </c>
      <c r="U227" s="1702">
        <f t="shared" si="93"/>
        <v>-28432728.611690439</v>
      </c>
      <c r="V227" s="1702">
        <f t="shared" si="94"/>
        <v>-5102783.5888013244</v>
      </c>
      <c r="W227" s="1694" t="e">
        <f t="shared" si="79"/>
        <v>#DIV/0!</v>
      </c>
      <c r="X227" s="1695"/>
    </row>
    <row r="228" spans="1:24" ht="21.75" thickBot="1">
      <c r="A228" s="1809" t="s">
        <v>730</v>
      </c>
      <c r="B228" s="1810"/>
      <c r="C228" s="1810" t="s">
        <v>731</v>
      </c>
      <c r="D228" s="1767">
        <f t="shared" ref="D228:P228" si="101">D180+D182-D227</f>
        <v>0</v>
      </c>
      <c r="E228" s="1767">
        <f t="shared" si="101"/>
        <v>0</v>
      </c>
      <c r="F228" s="1767">
        <f t="shared" si="101"/>
        <v>0</v>
      </c>
      <c r="G228" s="1767">
        <f t="shared" si="101"/>
        <v>0</v>
      </c>
      <c r="H228" s="1767">
        <f t="shared" si="101"/>
        <v>0</v>
      </c>
      <c r="I228" s="1767">
        <f t="shared" si="101"/>
        <v>0</v>
      </c>
      <c r="J228" s="1767">
        <f t="shared" si="101"/>
        <v>0</v>
      </c>
      <c r="K228" s="1767">
        <f t="shared" si="101"/>
        <v>0</v>
      </c>
      <c r="L228" s="1767">
        <f t="shared" si="101"/>
        <v>0</v>
      </c>
      <c r="M228" s="1767">
        <f t="shared" si="101"/>
        <v>0</v>
      </c>
      <c r="N228" s="1767">
        <f t="shared" si="101"/>
        <v>0</v>
      </c>
      <c r="O228" s="1767">
        <f t="shared" si="101"/>
        <v>0</v>
      </c>
      <c r="P228" s="1767">
        <f t="shared" si="101"/>
        <v>0</v>
      </c>
      <c r="Q228" s="1767">
        <f>Q180+Q182-Q227</f>
        <v>0</v>
      </c>
      <c r="R228" s="1692">
        <f>SUM(F228:Q228)</f>
        <v>0</v>
      </c>
      <c r="S228" s="1767">
        <f t="shared" si="98"/>
        <v>0</v>
      </c>
      <c r="T228" s="1811">
        <f t="shared" si="92"/>
        <v>0</v>
      </c>
      <c r="U228" s="1811">
        <f t="shared" si="93"/>
        <v>0</v>
      </c>
      <c r="V228" s="1811">
        <f t="shared" si="94"/>
        <v>0</v>
      </c>
      <c r="W228" s="1812" t="e">
        <f t="shared" si="79"/>
        <v>#DIV/0!</v>
      </c>
      <c r="X228" s="1813">
        <f>R228/$X$1*100/1000</f>
        <v>0</v>
      </c>
    </row>
    <row r="229" spans="1:24">
      <c r="A229" s="1814"/>
      <c r="B229" s="1815"/>
      <c r="C229" s="2002">
        <f>+R227-R178</f>
        <v>-17039961.604801327</v>
      </c>
      <c r="D229" s="1816"/>
      <c r="E229" s="1816"/>
      <c r="F229" s="1816"/>
      <c r="G229" s="1816"/>
      <c r="H229" s="1816"/>
      <c r="I229" s="1816"/>
      <c r="J229" s="1816"/>
      <c r="K229" s="1816"/>
      <c r="L229" s="1816"/>
      <c r="M229" s="1816"/>
      <c r="N229" s="1816"/>
      <c r="O229" s="1816"/>
      <c r="P229" s="1816"/>
      <c r="Q229" s="1816"/>
      <c r="R229" s="1817">
        <f>19038986.4-R182</f>
        <v>-2141245.7661242932</v>
      </c>
      <c r="S229" s="1665"/>
      <c r="T229" s="1665"/>
      <c r="U229" s="1665"/>
      <c r="V229" s="1665">
        <f t="shared" si="94"/>
        <v>-2141245.7661242932</v>
      </c>
      <c r="W229" s="1665"/>
    </row>
    <row r="230" spans="1:24">
      <c r="A230" s="1814"/>
      <c r="B230" s="1818"/>
      <c r="C230" s="1818"/>
      <c r="D230" s="1819"/>
      <c r="E230" s="1816" t="s">
        <v>2864</v>
      </c>
      <c r="F230" s="1831">
        <f>TofeVI!G386</f>
        <v>2119588.358437804</v>
      </c>
      <c r="G230" s="1816">
        <f>TofeVI!H386</f>
        <v>-1571165.5744628804</v>
      </c>
      <c r="H230" s="1816">
        <f>TofeVI!I386</f>
        <v>-2449108.354160103</v>
      </c>
      <c r="I230" s="1816">
        <f>TofeVI!J386</f>
        <v>-1549980.3608852034</v>
      </c>
      <c r="J230" s="1816">
        <f>TofeVI!K386</f>
        <v>-23698445.242164999</v>
      </c>
      <c r="K230" s="1816">
        <f>TofeVI!L386</f>
        <v>74660.844590054825</v>
      </c>
      <c r="L230" s="1816">
        <f>TofeVI!M386</f>
        <v>2269507.1549999965</v>
      </c>
      <c r="M230" s="1816">
        <f>TofeVI!N386</f>
        <v>-3097495.0249600024</v>
      </c>
      <c r="N230" s="1816">
        <f>TofeVI!O386</f>
        <v>-530290.41308509931</v>
      </c>
      <c r="O230" s="1816">
        <f>TofeVI!P386</f>
        <v>7091740.2705324907</v>
      </c>
      <c r="P230" s="1816">
        <f>TofeVI!Q386</f>
        <v>-1516289.2896431875</v>
      </c>
      <c r="Q230" s="1816">
        <f>TofeVI!R386</f>
        <v>17754494.041999809</v>
      </c>
      <c r="R230" s="1816">
        <f>TofeVI!S386</f>
        <v>-5102783.5888013206</v>
      </c>
      <c r="S230" s="1665"/>
      <c r="T230" s="1665"/>
      <c r="U230" s="1665"/>
      <c r="V230" s="1665"/>
      <c r="W230" s="1665"/>
    </row>
    <row r="231" spans="1:24">
      <c r="A231" s="1814"/>
      <c r="B231" s="1822"/>
      <c r="C231" s="1822"/>
      <c r="D231" s="1819"/>
      <c r="E231" s="1816"/>
      <c r="F231" s="1816">
        <f>IF(F227=F230,0,1)</f>
        <v>1</v>
      </c>
      <c r="G231" s="1816">
        <f t="shared" ref="G231:R231" si="102">IF(G227=G230,0,1)</f>
        <v>0</v>
      </c>
      <c r="H231" s="1816">
        <f t="shared" si="102"/>
        <v>0</v>
      </c>
      <c r="I231" s="1816">
        <f t="shared" si="102"/>
        <v>0</v>
      </c>
      <c r="J231" s="1816">
        <f t="shared" si="102"/>
        <v>0</v>
      </c>
      <c r="K231" s="1816">
        <f t="shared" si="102"/>
        <v>0</v>
      </c>
      <c r="L231" s="1816">
        <f t="shared" si="102"/>
        <v>0</v>
      </c>
      <c r="M231" s="1816">
        <f t="shared" si="102"/>
        <v>0</v>
      </c>
      <c r="N231" s="1816">
        <f t="shared" si="102"/>
        <v>1</v>
      </c>
      <c r="O231" s="1816">
        <f t="shared" si="102"/>
        <v>0</v>
      </c>
      <c r="P231" s="1816">
        <f t="shared" si="102"/>
        <v>0</v>
      </c>
      <c r="Q231" s="1816">
        <f t="shared" si="102"/>
        <v>0</v>
      </c>
      <c r="R231" s="1816">
        <f t="shared" si="102"/>
        <v>0</v>
      </c>
      <c r="S231" s="1665"/>
      <c r="T231" s="1665"/>
      <c r="U231" s="1665"/>
      <c r="V231" s="1665"/>
      <c r="W231" s="1665"/>
    </row>
    <row r="232" spans="1:24">
      <c r="A232" s="1814"/>
      <c r="B232" s="1822"/>
      <c r="C232" s="1822"/>
      <c r="D232" s="1819"/>
      <c r="E232" s="1823" t="s">
        <v>1734</v>
      </c>
      <c r="F232" s="1816"/>
      <c r="G232" s="1816"/>
      <c r="H232" s="1816"/>
      <c r="I232" s="1816"/>
      <c r="J232" s="1816"/>
      <c r="K232" s="1816"/>
      <c r="L232" s="1816"/>
      <c r="M232" s="1816"/>
      <c r="N232" s="1816">
        <f>N230-N227</f>
        <v>7.4505805969238281E-9</v>
      </c>
      <c r="O232" s="1816"/>
      <c r="P232" s="1816"/>
      <c r="Q232" s="1816"/>
      <c r="R232" s="1824">
        <f>R230-R227</f>
        <v>0</v>
      </c>
      <c r="S232" s="1665"/>
      <c r="T232" s="1665"/>
      <c r="U232" s="1665"/>
      <c r="V232" s="1665"/>
      <c r="W232" s="1665"/>
    </row>
    <row r="233" spans="1:24">
      <c r="A233" s="1814"/>
      <c r="B233" s="1822"/>
      <c r="C233" s="1822"/>
      <c r="D233" s="1819"/>
      <c r="E233" s="1820" t="s">
        <v>1726</v>
      </c>
      <c r="F233" s="1820">
        <f>+'Receitas (mensais)'!E384</f>
        <v>2450862.7989999996</v>
      </c>
      <c r="G233" s="1820">
        <f>+'Receitas (mensais)'!F384</f>
        <v>2735687.6799999997</v>
      </c>
      <c r="H233" s="1820">
        <f>+'Receitas (mensais)'!G384</f>
        <v>3151825.7559999996</v>
      </c>
      <c r="I233" s="1820">
        <f>+'Receitas (mensais)'!H384</f>
        <v>2689911.5830000001</v>
      </c>
      <c r="J233" s="1820">
        <f>+'Receitas (mensais)'!I384</f>
        <v>3678053.0559999999</v>
      </c>
      <c r="K233" s="1820">
        <f>+'Receitas (mensais)'!J384</f>
        <v>7853235.7119999984</v>
      </c>
      <c r="L233" s="1820">
        <f>+'Receitas (mensais)'!K384</f>
        <v>5933700.7090000017</v>
      </c>
      <c r="M233" s="1820">
        <f>+'Receitas (mensais)'!L384</f>
        <v>3366366.6220400003</v>
      </c>
      <c r="N233" s="1820">
        <f>+'Receitas (mensais)'!M384</f>
        <v>2844148.2389999996</v>
      </c>
      <c r="O233" s="1820">
        <f>+'Receitas (mensais)'!N384</f>
        <v>2998443.591</v>
      </c>
      <c r="P233" s="1820">
        <f>+'Receitas (mensais)'!O384</f>
        <v>2366802.0269999998</v>
      </c>
      <c r="Q233" s="1820">
        <f>+'Receitas (mensais)'!P384</f>
        <v>2826555.861</v>
      </c>
      <c r="R233" s="1820">
        <f t="shared" ref="R233:R242" si="103">SUM(F233:Q233)</f>
        <v>42895593.63504</v>
      </c>
      <c r="S233" s="1665"/>
      <c r="T233" s="1665"/>
      <c r="U233" s="1665"/>
      <c r="V233" s="1665"/>
      <c r="W233" s="1665"/>
    </row>
    <row r="234" spans="1:24">
      <c r="A234" s="1786"/>
      <c r="B234" s="1822"/>
      <c r="C234" s="1822"/>
      <c r="D234" s="1819"/>
      <c r="E234" s="1820" t="s">
        <v>1727</v>
      </c>
      <c r="F234" s="1820">
        <f>+'Receitas (mensais)'!E385</f>
        <v>2560982.9130000002</v>
      </c>
      <c r="G234" s="1820">
        <f>+'Receitas (mensais)'!F385</f>
        <v>3040300.2949999999</v>
      </c>
      <c r="H234" s="1820">
        <f>+'Receitas (mensais)'!G385</f>
        <v>2967542.5</v>
      </c>
      <c r="I234" s="1820">
        <f>+'Receitas (mensais)'!H385</f>
        <v>2488066.574</v>
      </c>
      <c r="J234" s="1820">
        <f>+'Receitas (mensais)'!I385</f>
        <v>4449690.2850000001</v>
      </c>
      <c r="K234" s="1820">
        <f>+'Receitas (mensais)'!J385</f>
        <v>5783786.46</v>
      </c>
      <c r="L234" s="1820">
        <f>+'Receitas (mensais)'!K385</f>
        <v>5338171.3909999998</v>
      </c>
      <c r="M234" s="1820">
        <f>+'Receitas (mensais)'!L385</f>
        <v>3629186.835</v>
      </c>
      <c r="N234" s="1820">
        <f>+'Receitas (mensais)'!M385</f>
        <v>3058297.7829999998</v>
      </c>
      <c r="O234" s="1820">
        <f>+'Receitas (mensais)'!N385</f>
        <v>3299627.145</v>
      </c>
      <c r="P234" s="1820">
        <f>+'Receitas (mensais)'!O385</f>
        <v>2198254.4929999998</v>
      </c>
      <c r="Q234" s="1820">
        <f>+'Receitas (mensais)'!P385</f>
        <v>2846963.6359999999</v>
      </c>
      <c r="R234" s="1820">
        <f t="shared" si="103"/>
        <v>41660870.310000002</v>
      </c>
      <c r="S234" s="1665"/>
      <c r="T234" s="1665"/>
      <c r="U234" s="1665"/>
      <c r="V234" s="1665"/>
      <c r="W234" s="1665"/>
    </row>
    <row r="235" spans="1:24">
      <c r="A235" s="1786"/>
      <c r="B235" s="1822"/>
      <c r="C235" s="1822"/>
      <c r="D235" s="1816"/>
      <c r="E235" s="1820" t="s">
        <v>1728</v>
      </c>
      <c r="F235" s="1820">
        <f>+'LICENCA PESCA'!D5/1000</f>
        <v>578775.67099999997</v>
      </c>
      <c r="G235" s="1820">
        <f>+'LICENCA PESCA'!E5/1000</f>
        <v>298772.94099999999</v>
      </c>
      <c r="H235" s="1820">
        <f>+'LICENCA PESCA'!F5/1000</f>
        <v>100326.673</v>
      </c>
      <c r="I235" s="1820">
        <f>+'LICENCA PESCA'!G5/1000</f>
        <v>249786.87</v>
      </c>
      <c r="J235" s="1820">
        <f>+'LICENCA PESCA'!H5/1000</f>
        <v>223228.288</v>
      </c>
      <c r="K235" s="1820">
        <f>+'LICENCA PESCA'!I5/1000</f>
        <v>744371.52</v>
      </c>
      <c r="L235" s="1820">
        <f>+'LICENCA PESCA'!J5/1000</f>
        <v>873402.69299999997</v>
      </c>
      <c r="M235" s="1820">
        <f>+'LICENCA PESCA'!K5/1000</f>
        <v>372133.14299999998</v>
      </c>
      <c r="N235" s="1820">
        <f>+'LICENCA PESCA'!L5/1000</f>
        <v>326352.16200000001</v>
      </c>
      <c r="O235" s="1820">
        <f>+'LICENCA PESCA'!M5/1000</f>
        <v>7715456.1310000001</v>
      </c>
      <c r="P235" s="1820">
        <f>+'LICENCA PESCA'!N5/1000</f>
        <v>1939700.3740000001</v>
      </c>
      <c r="Q235" s="1820">
        <f>'LICENCA PESCA'!O5/1000</f>
        <v>1978699.3729999999</v>
      </c>
      <c r="R235" s="1820">
        <f t="shared" si="103"/>
        <v>15401005.839</v>
      </c>
      <c r="S235" s="1825"/>
      <c r="T235" s="1665"/>
      <c r="U235" s="1665"/>
      <c r="V235" s="1665"/>
      <c r="W235" s="1665"/>
    </row>
    <row r="236" spans="1:24">
      <c r="A236" s="1786"/>
      <c r="B236" s="1822"/>
      <c r="C236" s="1822"/>
      <c r="D236" s="1816"/>
      <c r="E236" s="1826" t="s">
        <v>322</v>
      </c>
      <c r="F236" s="1826">
        <f>+F233+F234+F235+F237+F238+F240</f>
        <v>5590621.3829999994</v>
      </c>
      <c r="G236" s="1826">
        <f t="shared" ref="G236:Q236" si="104">+G233+G234+G235+G237+G238+G240</f>
        <v>6074760.9159999993</v>
      </c>
      <c r="H236" s="1826">
        <f t="shared" si="104"/>
        <v>11858807.958999999</v>
      </c>
      <c r="I236" s="1826">
        <f t="shared" si="104"/>
        <v>5427765.0269999998</v>
      </c>
      <c r="J236" s="1826">
        <f t="shared" si="104"/>
        <v>8350971.6289999997</v>
      </c>
      <c r="K236" s="1826">
        <f t="shared" si="104"/>
        <v>14481393.691999998</v>
      </c>
      <c r="L236" s="1826">
        <f t="shared" si="104"/>
        <v>12145274.793000001</v>
      </c>
      <c r="M236" s="1826">
        <f t="shared" si="104"/>
        <v>7367686.6000400009</v>
      </c>
      <c r="N236" s="1826">
        <f t="shared" si="104"/>
        <v>6228798.1840000004</v>
      </c>
      <c r="O236" s="1826">
        <f t="shared" si="104"/>
        <v>14013526.866999999</v>
      </c>
      <c r="P236" s="1826">
        <f t="shared" si="104"/>
        <v>6504756.8939999994</v>
      </c>
      <c r="Q236" s="1826">
        <f t="shared" si="104"/>
        <v>7652218.8699999992</v>
      </c>
      <c r="R236" s="1826">
        <f t="shared" si="103"/>
        <v>105696582.81403999</v>
      </c>
      <c r="S236" s="1827">
        <f>+R236-R7</f>
        <v>99899.999999985099</v>
      </c>
      <c r="T236" s="1827" t="s">
        <v>2908</v>
      </c>
      <c r="U236" s="1665"/>
      <c r="V236" s="1665"/>
      <c r="W236" s="1665"/>
    </row>
    <row r="237" spans="1:24">
      <c r="A237" s="1786"/>
      <c r="B237" s="1822"/>
      <c r="C237" s="1822"/>
      <c r="D237" s="1816"/>
      <c r="E237" s="1820" t="s">
        <v>2993</v>
      </c>
      <c r="F237" s="1820">
        <f>+'DGCI '!C100</f>
        <v>0</v>
      </c>
      <c r="G237" s="1820">
        <f>+'DGCI '!D100</f>
        <v>0</v>
      </c>
      <c r="H237" s="1820">
        <f>+'DGCI '!E100</f>
        <v>0</v>
      </c>
      <c r="I237" s="1820">
        <f>+'DGCI '!F100</f>
        <v>0</v>
      </c>
      <c r="J237" s="1820">
        <f>+'DGCI '!G100</f>
        <v>0</v>
      </c>
      <c r="K237" s="1820">
        <f>+'DGCI '!H100</f>
        <v>100000</v>
      </c>
      <c r="L237" s="1820">
        <f>+'DGCI '!J100</f>
        <v>0</v>
      </c>
      <c r="M237" s="1820">
        <f>+'DGCI '!K100</f>
        <v>0</v>
      </c>
      <c r="N237" s="1820">
        <f>+'DGCI '!L100</f>
        <v>0</v>
      </c>
      <c r="O237" s="1820">
        <f>+'DGCI '!M100</f>
        <v>0</v>
      </c>
      <c r="P237" s="1820">
        <f>+'DGCI '!N100</f>
        <v>0</v>
      </c>
      <c r="Q237" s="1820">
        <f>+'DGCI '!O100</f>
        <v>0</v>
      </c>
      <c r="R237" s="1826">
        <f t="shared" si="103"/>
        <v>100000</v>
      </c>
      <c r="S237" s="1827"/>
      <c r="T237" s="1827"/>
      <c r="U237" s="1665"/>
      <c r="V237" s="1665"/>
      <c r="W237" s="1665"/>
    </row>
    <row r="238" spans="1:24">
      <c r="A238" s="1786"/>
      <c r="B238" s="1822"/>
      <c r="C238" s="1822"/>
      <c r="D238" s="1816"/>
      <c r="E238" s="1820" t="s">
        <v>2994</v>
      </c>
      <c r="F238" s="1820">
        <f>+Dividendos!C6/1000+'Rend Diversos -Juros S P BCEAO'!C7/1000</f>
        <v>0</v>
      </c>
      <c r="G238" s="1820">
        <f>+Dividendos!D6/1000+'Rend Diversos -Juros S P BCEAO'!D7/1000</f>
        <v>0</v>
      </c>
      <c r="H238" s="1820">
        <f>+Dividendos!E6/1000+'Rend Diversos -Juros S P BCEAO'!E7/1000</f>
        <v>5639113.0300000003</v>
      </c>
      <c r="I238" s="1820">
        <f>+Dividendos!F6/1000+'Rend Diversos -Juros S P BCEAO'!F7/1000</f>
        <v>0</v>
      </c>
      <c r="J238" s="1820">
        <f>+Dividendos!G6/1000+'Rend Diversos -Juros S P BCEAO'!G7/1000</f>
        <v>0</v>
      </c>
      <c r="K238" s="1820">
        <f>+Dividendos!H6/1000+'Rend Diversos -Juros S P BCEAO'!H7/1000</f>
        <v>0</v>
      </c>
      <c r="L238" s="1820">
        <f>+Dividendos!I6/1000+'Rend Diversos -Juros S P BCEAO'!I7/1000</f>
        <v>0</v>
      </c>
      <c r="M238" s="1820">
        <f>+Dividendos!J6/1000+'Rend Diversos -Juros S P BCEAO'!J7/1000</f>
        <v>0</v>
      </c>
      <c r="N238" s="1820">
        <f>+Dividendos!K6/1000+'Rend Diversos -Juros S P BCEAO'!K7/1000</f>
        <v>0</v>
      </c>
      <c r="O238" s="1820">
        <f>+Dividendos!L6/1000+'Rend Diversos -Juros S P BCEAO'!L7/1000</f>
        <v>0</v>
      </c>
      <c r="P238" s="1820">
        <f>+Dividendos!M6/1000+'Rend Diversos -Juros S P BCEAO'!M7/1000</f>
        <v>0</v>
      </c>
      <c r="Q238" s="1820">
        <f>+Dividendos!N6/1000+'Rend Diversos -Juros S P BCEAO'!N7/1000</f>
        <v>0</v>
      </c>
      <c r="R238" s="1826">
        <f t="shared" si="103"/>
        <v>5639113.0300000003</v>
      </c>
      <c r="S238" s="1827"/>
      <c r="T238" s="1827"/>
      <c r="U238" s="1665"/>
      <c r="V238" s="1665"/>
      <c r="W238" s="1665"/>
    </row>
    <row r="239" spans="1:24">
      <c r="A239" s="1786"/>
      <c r="B239" s="1822"/>
      <c r="C239" s="1822"/>
      <c r="D239" s="1816"/>
      <c r="E239" s="1820" t="s">
        <v>3044</v>
      </c>
      <c r="F239" s="1820">
        <f>+'Appui-Bud'!G48</f>
        <v>0</v>
      </c>
      <c r="G239" s="1820">
        <f>+'Appui-Bud'!H48</f>
        <v>1708986.6359999999</v>
      </c>
      <c r="H239" s="1820">
        <f>+'Appui-Bud'!I48</f>
        <v>0</v>
      </c>
      <c r="I239" s="1820">
        <f>+'Appui-Bud'!J48</f>
        <v>0</v>
      </c>
      <c r="J239" s="1820">
        <f>+'Appui-Bud'!K48</f>
        <v>0</v>
      </c>
      <c r="K239" s="1820">
        <f>+'Appui-Bud'!L48</f>
        <v>0</v>
      </c>
      <c r="L239" s="1820">
        <f>+'Appui-Bud'!M48</f>
        <v>0</v>
      </c>
      <c r="M239" s="1820">
        <f>+'Appui-Bud'!N48</f>
        <v>0</v>
      </c>
      <c r="N239" s="1820">
        <f>+'Appui-Bud'!O48</f>
        <v>0</v>
      </c>
      <c r="O239" s="1820">
        <f>+'Appui-Bud'!P48</f>
        <v>0</v>
      </c>
      <c r="P239" s="1820">
        <f>+'Appui-Bud'!Q48</f>
        <v>165000</v>
      </c>
      <c r="Q239" s="1820">
        <f>+'Appui-Bud'!R48</f>
        <v>0</v>
      </c>
      <c r="R239" s="1826">
        <f t="shared" si="103"/>
        <v>1873986.6359999999</v>
      </c>
      <c r="S239" s="1827"/>
      <c r="T239" s="1827"/>
      <c r="U239" s="1665"/>
      <c r="V239" s="1665"/>
      <c r="W239" s="1665"/>
    </row>
    <row r="240" spans="1:24">
      <c r="A240" s="1786"/>
      <c r="B240" s="1828"/>
      <c r="C240" s="1828"/>
      <c r="D240" s="1816"/>
      <c r="E240" s="1820" t="s">
        <v>2995</v>
      </c>
      <c r="F240" s="1820">
        <f>+'LICENCAS TELEM. e OUTRAS '!C5</f>
        <v>0</v>
      </c>
      <c r="G240" s="1816">
        <f>+'LICENCAS TELEM. e OUTRAS '!D5</f>
        <v>0</v>
      </c>
      <c r="H240" s="1816">
        <f>+'LICENCAS TELEM. e OUTRAS '!E5</f>
        <v>0</v>
      </c>
      <c r="I240" s="1816">
        <f>+'LICENCAS TELEM. e OUTRAS '!F5</f>
        <v>0</v>
      </c>
      <c r="J240" s="1816">
        <f>+'LICENCAS TELEM. e OUTRAS '!G5</f>
        <v>0</v>
      </c>
      <c r="K240" s="1816">
        <f>+'LICENCAS TELEM. e OUTRAS '!H5</f>
        <v>0</v>
      </c>
      <c r="L240" s="1816">
        <f>+'LICENCAS TELEM. e OUTRAS '!I5</f>
        <v>0</v>
      </c>
      <c r="M240" s="1816">
        <f>+'LICENCAS TELEM. e OUTRAS '!J5</f>
        <v>0</v>
      </c>
      <c r="N240" s="1816">
        <f>+'LICENCAS TELEM. e OUTRAS '!K5</f>
        <v>0</v>
      </c>
      <c r="O240" s="1816">
        <f>+'LICENCAS TELEM. e OUTRAS '!L5</f>
        <v>0</v>
      </c>
      <c r="P240" s="1816">
        <f>+'LICENCAS TELEM. e OUTRAS '!M5</f>
        <v>0</v>
      </c>
      <c r="Q240" s="1816">
        <f>+'LICENCAS TELEM. e OUTRAS '!N5</f>
        <v>0</v>
      </c>
      <c r="R240" s="1826">
        <f t="shared" si="103"/>
        <v>0</v>
      </c>
      <c r="S240" s="1665"/>
      <c r="T240" s="1665"/>
      <c r="U240" s="1665"/>
      <c r="V240" s="1665"/>
      <c r="W240" s="1665"/>
    </row>
    <row r="241" spans="1:21">
      <c r="A241" s="1786"/>
      <c r="B241" s="1829"/>
      <c r="C241" s="1829"/>
      <c r="D241" s="1786"/>
      <c r="E241" s="1830" t="s">
        <v>2725</v>
      </c>
      <c r="F241" s="1831">
        <f>(DGA!C28+DGA!C29+DGA!C31+DGA!C32+DGA!C33+DGA!C34+DGA!C35+DGA!C36+DGA!C37)/1000</f>
        <v>140096.891</v>
      </c>
      <c r="G241" s="1831">
        <f>(DGA!D28+DGA!D29+DGA!D31+DGA!D32+DGA!D33+DGA!D34+DGA!D35+DGA!D36+DGA!D37)/1000</f>
        <v>162660.467</v>
      </c>
      <c r="H241" s="1831">
        <f>(DGA!E28+DGA!E29+DGA!E31+DGA!E32+DGA!E33+DGA!E34+DGA!E35+DGA!E36+DGA!E37)/1000</f>
        <v>189220.908</v>
      </c>
      <c r="I241" s="1831">
        <f>(DGA!F28+DGA!F29+DGA!F31+DGA!F32+DGA!F33+DGA!F34+DGA!F35+DGA!F36+DGA!F37)/1000</f>
        <v>121556.462</v>
      </c>
      <c r="J241" s="1831">
        <f>(DGA!G28+DGA!G29+DGA!G31+DGA!G32+DGA!G33+DGA!G34+DGA!G35+DGA!G36+DGA!G37)/1000</f>
        <v>343268.571</v>
      </c>
      <c r="K241" s="1831">
        <f>(DGA!H28+DGA!H29+DGA!H31+DGA!H32+DGA!H33+DGA!H34+DGA!H35+DGA!H36+DGA!H37)/1000</f>
        <v>604658.41700000002</v>
      </c>
      <c r="L241" s="1831">
        <f>(DGA!I28+DGA!I29+DGA!I31+DGA!I32+DGA!I33+DGA!I34+DGA!I35+DGA!I36+DGA!I37)/1000</f>
        <v>498176.83500000002</v>
      </c>
      <c r="M241" s="1831">
        <f>(DGA!J28+DGA!J29+DGA!J31+DGA!J32+DGA!J33+DGA!J34+DGA!J35+DGA!J36+DGA!J37)/1000</f>
        <v>288953.81300000002</v>
      </c>
      <c r="N241" s="1831">
        <f>(DGA!K28+DGA!K29+DGA!K31+DGA!K32+DGA!K33+DGA!K34+DGA!K35+DGA!K36+DGA!K37)/1000</f>
        <v>224807.005</v>
      </c>
      <c r="O241" s="1831">
        <f>(DGA!L28+DGA!L29+DGA!L31+DGA!L32+DGA!L33+DGA!L34+DGA!L35+DGA!L36+DGA!L37)/1000</f>
        <v>174130.024</v>
      </c>
      <c r="P241" s="1831">
        <f>(DGA!M28+DGA!M29+DGA!M31+DGA!M32+DGA!M33+DGA!M34+DGA!M35+DGA!M36+DGA!M37)/1000</f>
        <v>109611.098</v>
      </c>
      <c r="Q241" s="1831">
        <f>(DGA!N28+DGA!N29+DGA!N31+DGA!N32+DGA!N33+DGA!N34+DGA!N35+DGA!N36+DGA!N37)/1000</f>
        <v>152869.74299999999</v>
      </c>
      <c r="R241" s="1816">
        <f t="shared" si="103"/>
        <v>3010010.2340000002</v>
      </c>
      <c r="S241" s="1761"/>
    </row>
    <row r="242" spans="1:21">
      <c r="A242" s="1786"/>
      <c r="B242" s="1832"/>
      <c r="C242" s="1832"/>
      <c r="D242" s="1786"/>
      <c r="E242" s="1830" t="s">
        <v>2726</v>
      </c>
      <c r="F242" s="1831">
        <f>F234-F241</f>
        <v>2420886.0220000003</v>
      </c>
      <c r="G242" s="1831">
        <f t="shared" ref="G242:Q242" si="105">G234-G241</f>
        <v>2877639.8279999997</v>
      </c>
      <c r="H242" s="1831">
        <f t="shared" si="105"/>
        <v>2778321.5920000002</v>
      </c>
      <c r="I242" s="1831">
        <f t="shared" si="105"/>
        <v>2366510.1120000002</v>
      </c>
      <c r="J242" s="1831">
        <f t="shared" si="105"/>
        <v>4106421.7140000002</v>
      </c>
      <c r="K242" s="1831">
        <f t="shared" si="105"/>
        <v>5179128.0429999996</v>
      </c>
      <c r="L242" s="1831">
        <f t="shared" si="105"/>
        <v>4839994.5559999999</v>
      </c>
      <c r="M242" s="1831">
        <f t="shared" si="105"/>
        <v>3340233.0219999999</v>
      </c>
      <c r="N242" s="1831">
        <f t="shared" si="105"/>
        <v>2833490.7779999999</v>
      </c>
      <c r="O242" s="1831">
        <f t="shared" si="105"/>
        <v>3125497.1209999998</v>
      </c>
      <c r="P242" s="1831">
        <f t="shared" si="105"/>
        <v>2088643.3949999998</v>
      </c>
      <c r="Q242" s="1831">
        <f t="shared" si="105"/>
        <v>2694093.8930000002</v>
      </c>
      <c r="R242" s="1816">
        <f t="shared" si="103"/>
        <v>38650860.076000005</v>
      </c>
      <c r="S242" s="1833"/>
    </row>
    <row r="243" spans="1:21">
      <c r="A243" s="1786"/>
      <c r="B243" s="1834"/>
      <c r="C243" s="1834"/>
      <c r="D243" s="1786"/>
      <c r="E243" s="1786"/>
      <c r="F243" s="1816"/>
      <c r="G243" s="1816"/>
      <c r="H243" s="1816"/>
      <c r="I243" s="1816"/>
      <c r="J243" s="1816"/>
      <c r="K243" s="1816"/>
      <c r="L243" s="1816"/>
      <c r="M243" s="1816"/>
      <c r="N243" s="1816"/>
      <c r="O243" s="1816"/>
      <c r="P243" s="1816"/>
      <c r="Q243" s="1816"/>
      <c r="R243" s="1816"/>
      <c r="S243" s="1761"/>
      <c r="T243" s="1665"/>
    </row>
    <row r="244" spans="1:21">
      <c r="A244" s="1786"/>
      <c r="B244" s="1835"/>
      <c r="C244" s="1835"/>
      <c r="D244" s="1786"/>
      <c r="E244" s="1786"/>
      <c r="F244" s="1816"/>
      <c r="G244" s="1816"/>
      <c r="H244" s="1816"/>
      <c r="I244" s="1816"/>
      <c r="J244" s="1816"/>
      <c r="K244" s="1816"/>
      <c r="L244" s="1816"/>
      <c r="M244" s="1816"/>
      <c r="N244" s="1816"/>
      <c r="O244" s="1819"/>
      <c r="P244" s="1816"/>
      <c r="Q244" s="1819"/>
      <c r="R244" s="1816"/>
      <c r="S244" s="1833"/>
      <c r="U244" s="1708"/>
    </row>
    <row r="245" spans="1:21">
      <c r="E245" s="1668" t="s">
        <v>2755</v>
      </c>
      <c r="F245" s="1816">
        <f>+F233</f>
        <v>2450862.7989999996</v>
      </c>
      <c r="G245" s="1816">
        <f t="shared" ref="G245:Q245" si="106">+G233</f>
        <v>2735687.6799999997</v>
      </c>
      <c r="H245" s="1816">
        <f t="shared" si="106"/>
        <v>3151825.7559999996</v>
      </c>
      <c r="I245" s="1816">
        <f t="shared" si="106"/>
        <v>2689911.5830000001</v>
      </c>
      <c r="J245" s="1816">
        <f t="shared" si="106"/>
        <v>3678053.0559999999</v>
      </c>
      <c r="K245" s="1816">
        <f t="shared" si="106"/>
        <v>7853235.7119999984</v>
      </c>
      <c r="L245" s="1816">
        <f t="shared" si="106"/>
        <v>5933700.7090000017</v>
      </c>
      <c r="M245" s="1816">
        <f t="shared" si="106"/>
        <v>3366366.6220400003</v>
      </c>
      <c r="N245" s="1816">
        <f t="shared" si="106"/>
        <v>2844148.2389999996</v>
      </c>
      <c r="O245" s="1816">
        <f t="shared" si="106"/>
        <v>2998443.591</v>
      </c>
      <c r="P245" s="1816">
        <f t="shared" si="106"/>
        <v>2366802.0269999998</v>
      </c>
      <c r="Q245" s="1816">
        <f t="shared" si="106"/>
        <v>2826555.861</v>
      </c>
      <c r="R245" s="1816">
        <f>SUM(F245:Q245)</f>
        <v>42895593.63504</v>
      </c>
      <c r="U245" s="1708"/>
    </row>
    <row r="246" spans="1:21">
      <c r="E246" s="1668" t="s">
        <v>1727</v>
      </c>
      <c r="F246" s="1816">
        <f>+F234</f>
        <v>2560982.9130000002</v>
      </c>
      <c r="G246" s="1816">
        <f t="shared" ref="G246:Q246" si="107">+G234</f>
        <v>3040300.2949999999</v>
      </c>
      <c r="H246" s="1816">
        <f t="shared" si="107"/>
        <v>2967542.5</v>
      </c>
      <c r="I246" s="1816">
        <f t="shared" si="107"/>
        <v>2488066.574</v>
      </c>
      <c r="J246" s="1816">
        <f t="shared" si="107"/>
        <v>4449690.2850000001</v>
      </c>
      <c r="K246" s="1816">
        <f t="shared" si="107"/>
        <v>5783786.46</v>
      </c>
      <c r="L246" s="1816">
        <f t="shared" si="107"/>
        <v>5338171.3909999998</v>
      </c>
      <c r="M246" s="1816">
        <f t="shared" si="107"/>
        <v>3629186.835</v>
      </c>
      <c r="N246" s="1816">
        <f t="shared" si="107"/>
        <v>3058297.7829999998</v>
      </c>
      <c r="O246" s="1816">
        <f t="shared" si="107"/>
        <v>3299627.145</v>
      </c>
      <c r="P246" s="1816">
        <f t="shared" si="107"/>
        <v>2198254.4929999998</v>
      </c>
      <c r="Q246" s="1816">
        <f t="shared" si="107"/>
        <v>2846963.6359999999</v>
      </c>
      <c r="R246" s="1816">
        <f>SUM(F246:Q246)</f>
        <v>41660870.310000002</v>
      </c>
      <c r="U246" s="1696"/>
    </row>
    <row r="247" spans="1:21">
      <c r="E247" s="1668" t="s">
        <v>1728</v>
      </c>
      <c r="F247" s="1816">
        <f>+F235</f>
        <v>578775.67099999997</v>
      </c>
      <c r="G247" s="1816">
        <f t="shared" ref="G247:Q247" si="108">+G235</f>
        <v>298772.94099999999</v>
      </c>
      <c r="H247" s="1816">
        <f t="shared" si="108"/>
        <v>100326.673</v>
      </c>
      <c r="I247" s="1816">
        <f t="shared" si="108"/>
        <v>249786.87</v>
      </c>
      <c r="J247" s="1816">
        <f t="shared" si="108"/>
        <v>223228.288</v>
      </c>
      <c r="K247" s="1816">
        <f t="shared" si="108"/>
        <v>744371.52</v>
      </c>
      <c r="L247" s="1816">
        <f t="shared" si="108"/>
        <v>873402.69299999997</v>
      </c>
      <c r="M247" s="1816">
        <f t="shared" si="108"/>
        <v>372133.14299999998</v>
      </c>
      <c r="N247" s="1816">
        <f t="shared" si="108"/>
        <v>326352.16200000001</v>
      </c>
      <c r="O247" s="1816">
        <f t="shared" si="108"/>
        <v>7715456.1310000001</v>
      </c>
      <c r="P247" s="1816">
        <f t="shared" si="108"/>
        <v>1939700.3740000001</v>
      </c>
      <c r="Q247" s="1816">
        <f t="shared" si="108"/>
        <v>1978699.3729999999</v>
      </c>
      <c r="R247" s="1816">
        <f>SUM(F247:Q247)</f>
        <v>15401005.839</v>
      </c>
      <c r="S247" s="1665"/>
    </row>
    <row r="248" spans="1:21">
      <c r="E248" s="1836" t="s">
        <v>2735</v>
      </c>
      <c r="F248" s="1823">
        <f>SUM(F245:F247)</f>
        <v>5590621.3829999994</v>
      </c>
      <c r="G248" s="1823">
        <f t="shared" ref="G248:Q248" si="109">SUM(G245:G247)</f>
        <v>6074760.9159999993</v>
      </c>
      <c r="H248" s="1823">
        <f t="shared" si="109"/>
        <v>6219694.9289999995</v>
      </c>
      <c r="I248" s="1823">
        <f t="shared" si="109"/>
        <v>5427765.0269999998</v>
      </c>
      <c r="J248" s="1823">
        <f t="shared" si="109"/>
        <v>8350971.6289999997</v>
      </c>
      <c r="K248" s="1823">
        <f t="shared" si="109"/>
        <v>14381393.691999998</v>
      </c>
      <c r="L248" s="1823">
        <f t="shared" si="109"/>
        <v>12145274.793000001</v>
      </c>
      <c r="M248" s="1823">
        <f t="shared" si="109"/>
        <v>7367686.6000400009</v>
      </c>
      <c r="N248" s="1823">
        <f t="shared" si="109"/>
        <v>6228798.1840000004</v>
      </c>
      <c r="O248" s="1823">
        <f t="shared" si="109"/>
        <v>14013526.866999999</v>
      </c>
      <c r="P248" s="1823">
        <f t="shared" si="109"/>
        <v>6504756.8939999994</v>
      </c>
      <c r="Q248" s="1823">
        <f t="shared" si="109"/>
        <v>7652218.8699999992</v>
      </c>
      <c r="R248" s="1823">
        <f>SUM(R245:R247)</f>
        <v>99957469.784040004</v>
      </c>
      <c r="U248" s="1696"/>
    </row>
    <row r="249" spans="1:21">
      <c r="F249" s="1708"/>
      <c r="G249" s="1708"/>
      <c r="H249" s="1708"/>
      <c r="I249" s="1708"/>
      <c r="J249" s="1708"/>
      <c r="K249" s="1708"/>
      <c r="L249" s="1708"/>
      <c r="M249" s="1708"/>
      <c r="N249" s="1708"/>
      <c r="O249" s="1708"/>
      <c r="P249" s="1708"/>
      <c r="Q249" s="1708"/>
      <c r="R249" s="1816"/>
      <c r="U249" s="1696"/>
    </row>
    <row r="250" spans="1:21">
      <c r="E250" s="1668" t="s">
        <v>2730</v>
      </c>
      <c r="F250" s="1665">
        <f>+DGA!C34/1000</f>
        <v>31423.424999999999</v>
      </c>
      <c r="G250" s="1665">
        <f>+DGA!D34/1000</f>
        <v>37130.091999999997</v>
      </c>
      <c r="H250" s="1665">
        <f>+DGA!E34/1000</f>
        <v>43108.432000000001</v>
      </c>
      <c r="I250" s="1665">
        <f>+DGA!F34/1000</f>
        <v>27926.261999999999</v>
      </c>
      <c r="J250" s="1665">
        <f>+DGA!G34/1000</f>
        <v>90608.092000000004</v>
      </c>
      <c r="K250" s="1665">
        <f>+DGA!H34/1000</f>
        <v>181431.93700000001</v>
      </c>
      <c r="L250" s="1665">
        <f>+DGA!I34/1000</f>
        <v>147390.804</v>
      </c>
      <c r="M250" s="1665">
        <f>+DGA!J34/1000</f>
        <v>81221.873999999996</v>
      </c>
      <c r="N250" s="1665">
        <f>+DGA!K34/1000</f>
        <v>56465.131000000001</v>
      </c>
      <c r="O250" s="1665">
        <f>+DGA!L34/1000</f>
        <v>41375.849000000002</v>
      </c>
      <c r="P250" s="1665">
        <f>+DGA!M34/1000</f>
        <v>25270.702000000001</v>
      </c>
      <c r="Q250" s="1665">
        <f>+DGA!N34/1000</f>
        <v>35808.629999999997</v>
      </c>
      <c r="R250" s="1816">
        <f>SUM(F250:Q250)</f>
        <v>799161.2300000001</v>
      </c>
      <c r="U250" s="1696"/>
    </row>
    <row r="251" spans="1:21">
      <c r="E251" s="1668" t="s">
        <v>2731</v>
      </c>
      <c r="F251" s="1665">
        <f>+DGA!C35/1000</f>
        <v>106071.769</v>
      </c>
      <c r="G251" s="1665">
        <f>+DGA!D35/1000</f>
        <v>122668.42600000001</v>
      </c>
      <c r="H251" s="1665">
        <f>+DGA!E35/1000</f>
        <v>144978.14600000001</v>
      </c>
      <c r="I251" s="1665">
        <f>+DGA!F35/1000</f>
        <v>92239.952999999994</v>
      </c>
      <c r="J251" s="1665">
        <f>+DGA!G35/1000</f>
        <v>249780.93799999999</v>
      </c>
      <c r="K251" s="1665">
        <f>+DGA!H35/1000</f>
        <v>421203.364</v>
      </c>
      <c r="L251" s="1665">
        <f>+DGA!I35/1000</f>
        <v>348131.52299999999</v>
      </c>
      <c r="M251" s="1665">
        <f>+DGA!J35/1000</f>
        <v>206555.68900000001</v>
      </c>
      <c r="N251" s="1665">
        <f>+DGA!K35/1000</f>
        <v>166937.94500000001</v>
      </c>
      <c r="O251" s="1665">
        <f>+DGA!L35/1000</f>
        <v>131104.99100000001</v>
      </c>
      <c r="P251" s="1665">
        <f>+DGA!M35/1000</f>
        <v>83662.054999999993</v>
      </c>
      <c r="Q251" s="1665">
        <f>+DGA!N35/1000</f>
        <v>116353.455</v>
      </c>
      <c r="R251" s="1816">
        <f>SUM(F251:Q251)</f>
        <v>2189688.2539999997</v>
      </c>
    </row>
    <row r="252" spans="1:21">
      <c r="E252" s="1668" t="s">
        <v>2733</v>
      </c>
      <c r="F252" s="1819">
        <f>+DGA!C47/1000</f>
        <v>53311.127999999997</v>
      </c>
      <c r="G252" s="1819">
        <f>+DGA!D47/1000</f>
        <v>79942.725999999995</v>
      </c>
      <c r="H252" s="1819">
        <f>+DGA!E47/1000</f>
        <v>79912.448000000004</v>
      </c>
      <c r="I252" s="1819">
        <f>+DGA!F47/1000</f>
        <v>51608.436999999998</v>
      </c>
      <c r="J252" s="1819">
        <f>+DGA!G47/1000</f>
        <v>85085.702999999994</v>
      </c>
      <c r="K252" s="1819">
        <f>+DGA!H47/1000</f>
        <v>59147.451000000001</v>
      </c>
      <c r="L252" s="1819">
        <f>+DGA!I47/1000</f>
        <v>66730.91</v>
      </c>
      <c r="M252" s="1819">
        <f>+DGA!J47/1000</f>
        <v>48810.796999999999</v>
      </c>
      <c r="N252" s="1819">
        <f>+DGA!K47/1000</f>
        <v>67996.126999999993</v>
      </c>
      <c r="O252" s="1819">
        <f>+DGA!L47/1000</f>
        <v>70945.623999999996</v>
      </c>
      <c r="P252" s="1819">
        <f>+DGA!M47/1000</f>
        <v>37876.623</v>
      </c>
      <c r="Q252" s="1819">
        <f>+DGA!N47/1000</f>
        <v>59155.161</v>
      </c>
      <c r="R252" s="1816">
        <f>SUM(F252:Q252)</f>
        <v>760523.13499999989</v>
      </c>
      <c r="S252" s="1819"/>
      <c r="U252" s="1696"/>
    </row>
    <row r="253" spans="1:21">
      <c r="E253" s="1668" t="s">
        <v>2732</v>
      </c>
      <c r="F253" s="1819">
        <f>+DGA!C48/1000</f>
        <v>41812.332000000002</v>
      </c>
      <c r="G253" s="1819">
        <f>+DGA!D48/1000</f>
        <v>63043.622000000003</v>
      </c>
      <c r="H253" s="1819">
        <f>+DGA!E48/1000</f>
        <v>62540.23</v>
      </c>
      <c r="I253" s="1819">
        <f>+DGA!F48/1000</f>
        <v>39813.137000000002</v>
      </c>
      <c r="J253" s="1819">
        <f>+DGA!G48/1000</f>
        <v>65799.686000000002</v>
      </c>
      <c r="K253" s="1819">
        <f>+DGA!H48/1000</f>
        <v>45400.546000000002</v>
      </c>
      <c r="L253" s="1819">
        <f>+DGA!I48/1000</f>
        <v>52182.546000000002</v>
      </c>
      <c r="M253" s="1819">
        <f>+DGA!J48/1000</f>
        <v>38478.807000000001</v>
      </c>
      <c r="N253" s="1819">
        <f>+DGA!K48/1000</f>
        <v>53721.669000000002</v>
      </c>
      <c r="O253" s="1819">
        <f>+DGA!L48/1000</f>
        <v>56361.576999999997</v>
      </c>
      <c r="P253" s="1819">
        <f>+DGA!M48/1000</f>
        <v>30033.223000000002</v>
      </c>
      <c r="Q253" s="1819">
        <f>+DGA!N48/1000</f>
        <v>47016.337</v>
      </c>
      <c r="R253" s="1816">
        <f>SUM(F253:Q253)</f>
        <v>596203.71200000006</v>
      </c>
      <c r="S253" s="1816"/>
      <c r="U253" s="1696"/>
    </row>
    <row r="254" spans="1:21">
      <c r="E254" s="1668" t="s">
        <v>2734</v>
      </c>
      <c r="F254" s="1819">
        <f>+DGA!C49/1000</f>
        <v>32275.169000000002</v>
      </c>
      <c r="G254" s="1819">
        <f>+DGA!D49/1000</f>
        <v>44265.701999999997</v>
      </c>
      <c r="H254" s="1819">
        <f>+DGA!E49/1000</f>
        <v>44173.055999999997</v>
      </c>
      <c r="I254" s="1819">
        <f>+DGA!F49/1000</f>
        <v>30596.878000000001</v>
      </c>
      <c r="J254" s="1819">
        <f>+DGA!G49/1000</f>
        <v>49540.457000000002</v>
      </c>
      <c r="K254" s="1819">
        <f>+DGA!H49/1000</f>
        <v>35021.502999999997</v>
      </c>
      <c r="L254" s="1819">
        <f>+DGA!I49/1000</f>
        <v>41092.695</v>
      </c>
      <c r="M254" s="1819">
        <f>+DGA!J49/1000</f>
        <v>29538.784</v>
      </c>
      <c r="N254" s="1819">
        <f>+DGA!K49/1000</f>
        <v>41165.949000000001</v>
      </c>
      <c r="O254" s="1819">
        <f>+DGA!L49/1000</f>
        <v>40549.262999999999</v>
      </c>
      <c r="P254" s="1819">
        <f>+DGA!M49/1000</f>
        <v>24076.828000000001</v>
      </c>
      <c r="Q254" s="1819">
        <f>+DGA!N49/1000</f>
        <v>34592.050000000003</v>
      </c>
      <c r="R254" s="1816">
        <f>SUM(F254:Q254)</f>
        <v>446888.33399999992</v>
      </c>
      <c r="S254" s="1819"/>
    </row>
    <row r="255" spans="1:21">
      <c r="E255" s="1751" t="s">
        <v>2736</v>
      </c>
      <c r="F255" s="1823">
        <f>SUM(F250:F254)</f>
        <v>264893.82299999997</v>
      </c>
      <c r="G255" s="1823">
        <f t="shared" ref="G255:Q255" si="110">SUM(G250:G254)</f>
        <v>347050.56800000003</v>
      </c>
      <c r="H255" s="1823">
        <f t="shared" si="110"/>
        <v>374712.31199999998</v>
      </c>
      <c r="I255" s="1823">
        <f t="shared" si="110"/>
        <v>242184.66699999999</v>
      </c>
      <c r="J255" s="1823">
        <f t="shared" si="110"/>
        <v>540814.87600000005</v>
      </c>
      <c r="K255" s="1823">
        <f t="shared" si="110"/>
        <v>742204.80099999998</v>
      </c>
      <c r="L255" s="1823">
        <f t="shared" si="110"/>
        <v>655528.47799999989</v>
      </c>
      <c r="M255" s="1823">
        <f t="shared" si="110"/>
        <v>404605.951</v>
      </c>
      <c r="N255" s="1823">
        <f t="shared" si="110"/>
        <v>386286.821</v>
      </c>
      <c r="O255" s="1823">
        <f t="shared" si="110"/>
        <v>340337.304</v>
      </c>
      <c r="P255" s="1823">
        <f t="shared" si="110"/>
        <v>200919.43100000001</v>
      </c>
      <c r="Q255" s="1823">
        <f t="shared" si="110"/>
        <v>292925.63299999997</v>
      </c>
      <c r="R255" s="1823">
        <f>SUM(R250:R254)</f>
        <v>4792464.6649999991</v>
      </c>
      <c r="S255" s="1816"/>
      <c r="U255" s="1696"/>
    </row>
    <row r="256" spans="1:21">
      <c r="E256" s="1668" t="s">
        <v>2775</v>
      </c>
      <c r="F256" s="1823"/>
      <c r="G256" s="1823"/>
      <c r="H256" s="1823"/>
      <c r="I256" s="1823"/>
      <c r="J256" s="1823"/>
      <c r="K256" s="1823"/>
      <c r="L256" s="1823"/>
      <c r="M256" s="1816"/>
      <c r="N256" s="1816"/>
      <c r="O256" s="1816"/>
      <c r="P256" s="1816"/>
      <c r="Q256" s="1816"/>
      <c r="R256" s="1816">
        <f>'LICENCA PESCA'!R28/1000</f>
        <v>9865349.2592500001</v>
      </c>
      <c r="S256" s="1816"/>
      <c r="U256" s="1696"/>
    </row>
    <row r="257" spans="5:19">
      <c r="E257" s="1837" t="s">
        <v>2737</v>
      </c>
      <c r="F257" s="1838">
        <f>+F248-F255</f>
        <v>5325727.5599999996</v>
      </c>
      <c r="G257" s="1838">
        <f>+G248-G255</f>
        <v>5727710.3479999993</v>
      </c>
      <c r="H257" s="1838">
        <f>+H248-H255</f>
        <v>5844982.6169999996</v>
      </c>
      <c r="I257" s="1838">
        <f t="shared" ref="I257:Q257" si="111">+I248-I255</f>
        <v>5185580.3599999994</v>
      </c>
      <c r="J257" s="1838">
        <f t="shared" si="111"/>
        <v>7810156.7529999996</v>
      </c>
      <c r="K257" s="1838">
        <f t="shared" si="111"/>
        <v>13639188.890999999</v>
      </c>
      <c r="L257" s="1838">
        <f t="shared" si="111"/>
        <v>11489746.315000001</v>
      </c>
      <c r="M257" s="1838">
        <f t="shared" si="111"/>
        <v>6963080.6490400005</v>
      </c>
      <c r="N257" s="1838">
        <f t="shared" si="111"/>
        <v>5842511.3629999999</v>
      </c>
      <c r="O257" s="1838">
        <f t="shared" si="111"/>
        <v>13673189.562999999</v>
      </c>
      <c r="P257" s="1838">
        <f t="shared" si="111"/>
        <v>6303837.4629999995</v>
      </c>
      <c r="Q257" s="1838">
        <f t="shared" si="111"/>
        <v>7359293.2369999988</v>
      </c>
      <c r="R257" s="1838">
        <f>+R248-R255-R256</f>
        <v>85299655.859790012</v>
      </c>
      <c r="S257" s="1819"/>
    </row>
    <row r="258" spans="5:19">
      <c r="F258" s="1816"/>
      <c r="G258" s="1816"/>
      <c r="H258" s="1816"/>
      <c r="I258" s="1816"/>
      <c r="J258" s="1816"/>
      <c r="K258" s="1816"/>
      <c r="L258" s="1816"/>
      <c r="M258" s="1816"/>
      <c r="N258" s="1816"/>
      <c r="O258" s="1816"/>
      <c r="P258" s="1816"/>
      <c r="Q258" s="1816"/>
      <c r="R258" s="1816"/>
      <c r="S258" s="1816"/>
    </row>
    <row r="259" spans="5:19">
      <c r="F259" s="1819"/>
      <c r="G259" s="1819"/>
      <c r="H259" s="1816"/>
      <c r="I259" s="1819"/>
      <c r="J259" s="1819"/>
      <c r="K259" s="1816"/>
      <c r="L259" s="1819"/>
      <c r="M259" s="1819"/>
      <c r="N259" s="1819"/>
      <c r="O259" s="1816"/>
      <c r="P259" s="1819"/>
      <c r="Q259" s="1819"/>
      <c r="R259" s="1816"/>
      <c r="S259" s="1819"/>
    </row>
    <row r="260" spans="5:19">
      <c r="F260" s="1816"/>
      <c r="G260" s="1816"/>
      <c r="H260" s="1816"/>
      <c r="I260" s="1816"/>
      <c r="J260" s="1816"/>
      <c r="K260" s="1816"/>
      <c r="L260" s="1816"/>
      <c r="M260" s="1816"/>
      <c r="N260" s="1816"/>
      <c r="O260" s="1816"/>
      <c r="P260" s="1816"/>
      <c r="Q260" s="1816"/>
      <c r="R260" s="1816"/>
      <c r="S260" s="1816"/>
    </row>
    <row r="261" spans="5:19">
      <c r="F261" s="1819"/>
      <c r="G261" s="1819"/>
      <c r="H261" s="1816"/>
      <c r="I261" s="1819"/>
      <c r="J261" s="1819"/>
      <c r="K261" s="1816"/>
      <c r="L261" s="1839"/>
      <c r="M261" s="1819"/>
      <c r="N261" s="1819"/>
      <c r="O261" s="1816"/>
      <c r="P261" s="1819"/>
      <c r="Q261" s="1819"/>
      <c r="R261" s="1816"/>
      <c r="S261" s="1819"/>
    </row>
    <row r="262" spans="5:19">
      <c r="F262" s="1816"/>
      <c r="G262" s="1816"/>
      <c r="H262" s="1816"/>
      <c r="I262" s="1816"/>
      <c r="J262" s="1816"/>
      <c r="K262" s="1816"/>
      <c r="L262" s="1840"/>
      <c r="M262" s="1816"/>
      <c r="N262" s="1816"/>
      <c r="O262" s="1816"/>
      <c r="P262" s="1816"/>
      <c r="Q262" s="1816"/>
      <c r="R262" s="1823"/>
      <c r="S262" s="1823"/>
    </row>
    <row r="263" spans="5:19">
      <c r="F263" s="1819"/>
      <c r="G263" s="1819"/>
      <c r="H263" s="1816"/>
      <c r="I263" s="1819"/>
      <c r="J263" s="1819"/>
      <c r="K263" s="1816"/>
      <c r="L263" s="1839"/>
      <c r="M263" s="1819"/>
      <c r="N263" s="1819"/>
      <c r="O263" s="1816"/>
      <c r="P263" s="1819"/>
      <c r="Q263" s="1819"/>
      <c r="R263" s="1816"/>
      <c r="S263" s="1819"/>
    </row>
    <row r="264" spans="5:19">
      <c r="F264" s="1816"/>
      <c r="G264" s="1816"/>
      <c r="H264" s="1816"/>
      <c r="I264" s="1816"/>
      <c r="J264" s="1816"/>
      <c r="K264" s="1816"/>
      <c r="L264" s="1840"/>
      <c r="M264" s="1816"/>
      <c r="N264" s="1816"/>
      <c r="O264" s="1816"/>
      <c r="P264" s="1816"/>
      <c r="Q264" s="1816"/>
      <c r="R264" s="1816"/>
      <c r="S264" s="1816"/>
    </row>
    <row r="265" spans="5:19">
      <c r="L265" s="1841"/>
      <c r="O265" s="1708"/>
      <c r="P265" s="1819"/>
    </row>
    <row r="266" spans="5:19">
      <c r="L266" s="1841"/>
      <c r="O266" s="1708"/>
      <c r="P266" s="1819"/>
    </row>
    <row r="267" spans="5:19">
      <c r="L267" s="1841"/>
      <c r="O267" s="1708"/>
      <c r="P267" s="1819"/>
    </row>
    <row r="268" spans="5:19">
      <c r="L268" s="1841"/>
      <c r="O268" s="1708"/>
      <c r="P268" s="1819"/>
    </row>
    <row r="269" spans="5:19">
      <c r="L269" s="1841"/>
      <c r="O269" s="1708"/>
      <c r="P269" s="1665"/>
    </row>
    <row r="270" spans="5:19">
      <c r="L270" s="1841"/>
      <c r="O270" s="1842"/>
    </row>
    <row r="271" spans="5:19">
      <c r="L271" s="1841"/>
    </row>
    <row r="272" spans="5:19">
      <c r="L272" s="1841"/>
    </row>
    <row r="273" spans="12:12">
      <c r="L273" s="1841"/>
    </row>
    <row r="274" spans="12:12">
      <c r="L274" s="1841"/>
    </row>
    <row r="275" spans="12:12">
      <c r="L275" s="1841"/>
    </row>
    <row r="276" spans="12:12">
      <c r="L276" s="1841"/>
    </row>
    <row r="277" spans="12:12">
      <c r="L277" s="1841"/>
    </row>
    <row r="278" spans="12:12">
      <c r="L278" s="1841"/>
    </row>
    <row r="279" spans="12:12">
      <c r="L279" s="1841"/>
    </row>
    <row r="280" spans="12:12">
      <c r="L280" s="1841"/>
    </row>
  </sheetData>
  <mergeCells count="1">
    <mergeCell ref="E4:E5"/>
  </mergeCells>
  <phoneticPr fontId="0" type="noConversion"/>
  <printOptions horizontalCentered="1"/>
  <pageMargins left="0.15748031496062992" right="0.15748031496062992" top="0.43307086614173229" bottom="0.15748031496062992" header="0.15748031496062992" footer="0.19685039370078741"/>
  <pageSetup paperSize="9" scale="22" orientation="portrait" r:id="rId1"/>
  <headerFooter alignWithMargins="0">
    <oddHeader>&amp;L&amp;14Guiné-Bissau, T. O. F. E. - 2019</oddHeader>
  </headerFooter>
  <rowBreaks count="1" manualBreakCount="1">
    <brk id="181" min="1" max="17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IN439"/>
  <sheetViews>
    <sheetView showGridLines="0" view="pageBreakPreview" topLeftCell="B1" zoomScale="60" zoomScaleNormal="80" workbookViewId="0">
      <pane xSplit="3" ySplit="3" topLeftCell="E4" activePane="bottomRight" state="frozen"/>
      <selection activeCell="B1" sqref="B1"/>
      <selection pane="topRight" activeCell="E1" sqref="E1"/>
      <selection pane="bottomLeft" activeCell="B4" sqref="B4"/>
      <selection pane="bottomRight" activeCell="B1" sqref="B1"/>
    </sheetView>
  </sheetViews>
  <sheetFormatPr defaultColWidth="9.140625" defaultRowHeight="21" outlineLevelRow="2"/>
  <cols>
    <col min="1" max="1" width="74.42578125" style="1668" hidden="1" customWidth="1"/>
    <col min="2" max="2" width="26.140625" style="1668" bestFit="1" customWidth="1"/>
    <col min="3" max="3" width="111.85546875" style="1668" customWidth="1"/>
    <col min="4" max="4" width="0.28515625" style="1668" customWidth="1"/>
    <col min="5" max="5" width="32.5703125" style="1668" customWidth="1"/>
    <col min="6" max="6" width="36.28515625" style="1668" customWidth="1"/>
    <col min="7" max="8" width="32.28515625" style="1668" customWidth="1"/>
    <col min="9" max="9" width="35.28515625" style="1668" customWidth="1"/>
    <col min="10" max="12" width="32.28515625" style="1668" customWidth="1"/>
    <col min="13" max="13" width="23.7109375" style="1668" customWidth="1"/>
    <col min="14" max="14" width="32.28515625" style="1668" customWidth="1"/>
    <col min="15" max="15" width="23.7109375" style="1668" customWidth="1"/>
    <col min="16" max="18" width="32.28515625" style="1668" customWidth="1"/>
    <col min="19" max="19" width="38.28515625" style="1668" customWidth="1"/>
    <col min="20" max="20" width="23" style="1668" hidden="1" customWidth="1"/>
    <col min="21" max="21" width="5.28515625" style="1668" hidden="1" customWidth="1"/>
    <col min="22" max="22" width="3.28515625" style="1668" hidden="1" customWidth="1"/>
    <col min="23" max="23" width="0.140625" style="1668" customWidth="1"/>
    <col min="24" max="24" width="21.5703125" style="1668" customWidth="1"/>
    <col min="25" max="25" width="20.140625" style="1668" hidden="1" customWidth="1"/>
    <col min="26" max="26" width="14.42578125" style="1668" bestFit="1" customWidth="1"/>
    <col min="27" max="27" width="20.140625" style="1668" bestFit="1" customWidth="1"/>
    <col min="28" max="28" width="17.85546875" style="1668" bestFit="1" customWidth="1"/>
    <col min="29" max="16384" width="9.140625" style="1668"/>
  </cols>
  <sheetData>
    <row r="1" spans="1:29" ht="21.75" thickBot="1">
      <c r="A1" s="1654"/>
      <c r="B1" s="1655"/>
      <c r="C1" s="1851" t="s">
        <v>3020</v>
      </c>
      <c r="D1" s="1851"/>
      <c r="E1" s="1898"/>
      <c r="F1" s="2018">
        <f>+F96-6672671.13</f>
        <v>45391.675999999978</v>
      </c>
      <c r="G1" s="2019"/>
      <c r="H1" s="2019"/>
      <c r="I1" s="2019"/>
      <c r="J1" s="2019"/>
      <c r="K1" s="2019"/>
      <c r="L1" s="2019"/>
      <c r="M1" s="2019"/>
      <c r="N1" s="2019"/>
      <c r="O1" s="2019"/>
      <c r="P1" s="2019"/>
      <c r="Q1" s="2019"/>
      <c r="R1" s="2019"/>
      <c r="S1" s="2018"/>
      <c r="T1" s="1665"/>
      <c r="U1" s="1667"/>
      <c r="V1" s="1668" t="s">
        <v>2873</v>
      </c>
      <c r="X1" s="1669">
        <v>808410</v>
      </c>
      <c r="Y1" s="2004">
        <v>831900000</v>
      </c>
      <c r="Z1" s="1668" t="s">
        <v>3237</v>
      </c>
    </row>
    <row r="2" spans="1:29" ht="21.75" thickBot="1">
      <c r="A2" s="1654"/>
      <c r="B2" s="1655"/>
      <c r="C2" s="1851"/>
      <c r="D2" s="1851"/>
      <c r="E2" s="1898"/>
      <c r="F2" s="2018"/>
      <c r="G2" s="2019"/>
      <c r="H2" s="2019"/>
      <c r="I2" s="2019"/>
      <c r="J2" s="2019"/>
      <c r="K2" s="2019"/>
      <c r="L2" s="2019"/>
      <c r="M2" s="2019"/>
      <c r="N2" s="2018"/>
      <c r="O2" s="2019"/>
      <c r="P2" s="2019"/>
      <c r="Q2" s="2019"/>
      <c r="R2" s="2019"/>
      <c r="S2" s="2018">
        <f>+S283-17232202</f>
        <v>155215.6640000008</v>
      </c>
      <c r="T2" s="1665"/>
      <c r="U2" s="1667"/>
      <c r="X2" s="1670"/>
    </row>
    <row r="3" spans="1:29" ht="45" customHeight="1" thickBot="1">
      <c r="A3" s="1881"/>
      <c r="B3" s="1972" t="s">
        <v>3049</v>
      </c>
      <c r="C3" s="1973" t="s">
        <v>294</v>
      </c>
      <c r="D3" s="1899" t="s">
        <v>3019</v>
      </c>
      <c r="E3" s="1899" t="s">
        <v>3226</v>
      </c>
      <c r="F3" s="1899" t="s">
        <v>3228</v>
      </c>
      <c r="G3" s="1900">
        <v>2019</v>
      </c>
      <c r="H3" s="1900">
        <v>2019</v>
      </c>
      <c r="I3" s="1900">
        <v>2019</v>
      </c>
      <c r="J3" s="1900">
        <v>2019</v>
      </c>
      <c r="K3" s="1900">
        <v>2019</v>
      </c>
      <c r="L3" s="1900">
        <v>2019</v>
      </c>
      <c r="M3" s="1900">
        <v>2019</v>
      </c>
      <c r="N3" s="1900">
        <v>2019</v>
      </c>
      <c r="O3" s="1900">
        <v>2019</v>
      </c>
      <c r="P3" s="1900">
        <v>2019</v>
      </c>
      <c r="Q3" s="1900">
        <v>2019</v>
      </c>
      <c r="R3" s="1900">
        <v>2019</v>
      </c>
      <c r="S3" s="1974" t="s">
        <v>3227</v>
      </c>
      <c r="T3" s="1684" t="s">
        <v>238</v>
      </c>
      <c r="U3" s="1684" t="s">
        <v>239</v>
      </c>
      <c r="V3" s="1684" t="s">
        <v>240</v>
      </c>
      <c r="W3" s="1685" t="s">
        <v>661</v>
      </c>
      <c r="X3" s="1978" t="s">
        <v>3235</v>
      </c>
      <c r="Y3" s="1978" t="s">
        <v>3236</v>
      </c>
      <c r="AA3" s="2009" t="s">
        <v>2836</v>
      </c>
      <c r="AB3" s="1668" t="s">
        <v>3238</v>
      </c>
    </row>
    <row r="4" spans="1:29" s="1870" customFormat="1" ht="30.75" customHeight="1" thickTop="1">
      <c r="A4" s="1891" t="s">
        <v>186</v>
      </c>
      <c r="B4" s="1968">
        <v>1</v>
      </c>
      <c r="C4" s="1969" t="s">
        <v>3207</v>
      </c>
      <c r="D4" s="1970" t="e">
        <f>D5+D271</f>
        <v>#REF!</v>
      </c>
      <c r="E4" s="1971">
        <f t="shared" ref="E4:R4" si="0">+E5+E271</f>
        <v>128597543.356856</v>
      </c>
      <c r="F4" s="1971">
        <f t="shared" si="0"/>
        <v>274205722.65700001</v>
      </c>
      <c r="G4" s="1971">
        <f t="shared" si="0"/>
        <v>5590621.3829999994</v>
      </c>
      <c r="H4" s="1971">
        <f t="shared" si="0"/>
        <v>7783747.5520000001</v>
      </c>
      <c r="I4" s="1971">
        <f t="shared" si="0"/>
        <v>18210475.593999997</v>
      </c>
      <c r="J4" s="1971">
        <f t="shared" si="0"/>
        <v>5427765.0270000007</v>
      </c>
      <c r="K4" s="1971">
        <f t="shared" si="0"/>
        <v>8350971.6290000007</v>
      </c>
      <c r="L4" s="1971">
        <f t="shared" si="0"/>
        <v>20498476.410999998</v>
      </c>
      <c r="M4" s="1971">
        <f t="shared" si="0"/>
        <v>12145274.793000001</v>
      </c>
      <c r="N4" s="1971">
        <f t="shared" si="0"/>
        <v>7367686.6000400009</v>
      </c>
      <c r="O4" s="1971">
        <f t="shared" si="0"/>
        <v>12061412.563999999</v>
      </c>
      <c r="P4" s="1971">
        <f t="shared" si="0"/>
        <v>14013526.866999999</v>
      </c>
      <c r="Q4" s="1971">
        <f t="shared" si="0"/>
        <v>6669756.8940000003</v>
      </c>
      <c r="R4" s="1971">
        <f t="shared" si="0"/>
        <v>11841544.390000001</v>
      </c>
      <c r="S4" s="1979">
        <f>SUM(G4:R4)</f>
        <v>129961259.70403999</v>
      </c>
      <c r="T4" s="1867">
        <f>SUM(G4:L4)</f>
        <v>65862057.595999993</v>
      </c>
      <c r="U4" s="1867">
        <f>SUM(G4:O4)</f>
        <v>97436431.553039998</v>
      </c>
      <c r="V4" s="1867">
        <f>S4</f>
        <v>129961259.70403999</v>
      </c>
      <c r="W4" s="1868">
        <f>S4/F4*100</f>
        <v>47.395531517264018</v>
      </c>
      <c r="X4" s="1869">
        <f>S4/$X$1*100/1000</f>
        <v>16.076156863972489</v>
      </c>
      <c r="Y4" s="2003">
        <f>+S4/$Y$1*100</f>
        <v>15.62222138526746</v>
      </c>
      <c r="AA4" s="2008">
        <f>S4/1000</f>
        <v>129961.25970403999</v>
      </c>
    </row>
    <row r="5" spans="1:29" s="1855" customFormat="1" ht="26.25">
      <c r="A5" s="1882" t="s">
        <v>663</v>
      </c>
      <c r="B5" s="1904" t="s">
        <v>404</v>
      </c>
      <c r="C5" s="1905" t="s">
        <v>3205</v>
      </c>
      <c r="D5" s="1906" t="e">
        <f>D6+D86</f>
        <v>#REF!</v>
      </c>
      <c r="E5" s="1907">
        <f>+E6+E94</f>
        <v>98295828.567000002</v>
      </c>
      <c r="F5" s="2145">
        <f>+F6+F94</f>
        <v>226014214.33100003</v>
      </c>
      <c r="G5" s="1907">
        <f>+G6+G94</f>
        <v>5590621.3829999994</v>
      </c>
      <c r="H5" s="1907">
        <f t="shared" ref="H5:R5" si="1">+H6+H94</f>
        <v>6074760.9160000002</v>
      </c>
      <c r="I5" s="1907">
        <f t="shared" si="1"/>
        <v>11858807.958999999</v>
      </c>
      <c r="J5" s="1907">
        <f t="shared" si="1"/>
        <v>5427765.0270000007</v>
      </c>
      <c r="K5" s="1907">
        <f t="shared" si="1"/>
        <v>8350971.6290000007</v>
      </c>
      <c r="L5" s="1907">
        <f t="shared" si="1"/>
        <v>14381493.692</v>
      </c>
      <c r="M5" s="1907">
        <f t="shared" si="1"/>
        <v>12145274.793000001</v>
      </c>
      <c r="N5" s="1907">
        <f t="shared" si="1"/>
        <v>7367686.6000400009</v>
      </c>
      <c r="O5" s="1907">
        <f t="shared" si="1"/>
        <v>6228798.1839999994</v>
      </c>
      <c r="P5" s="1907">
        <f t="shared" si="1"/>
        <v>14013526.866999999</v>
      </c>
      <c r="Q5" s="1907">
        <f t="shared" si="1"/>
        <v>6504756.8940000003</v>
      </c>
      <c r="R5" s="1907">
        <f t="shared" si="1"/>
        <v>7652218.8700000001</v>
      </c>
      <c r="S5" s="1980">
        <f>SUM(G5:R5)</f>
        <v>105596682.81404001</v>
      </c>
      <c r="T5" s="1852">
        <f>SUM(G5:L5)</f>
        <v>51684420.605999999</v>
      </c>
      <c r="U5" s="1852">
        <f>SUM(G5:O5)</f>
        <v>77426180.183040008</v>
      </c>
      <c r="V5" s="1852">
        <f>S5</f>
        <v>105596682.81404001</v>
      </c>
      <c r="W5" s="1853">
        <f>S5/F5*100</f>
        <v>46.721257389321821</v>
      </c>
      <c r="X5" s="1854">
        <f>S5/$X$1*100/1000</f>
        <v>13.062268256706375</v>
      </c>
      <c r="Y5" s="2003">
        <f t="shared" ref="Y5:Y33" si="2">+S5/$Y$1*100</f>
        <v>12.693434645274673</v>
      </c>
      <c r="AA5" s="2008">
        <f t="shared" ref="AA5:AA68" si="3">S5/1000</f>
        <v>105596.68281404</v>
      </c>
      <c r="AB5" s="2010">
        <f>'[27]QUADRO 19 (2019)'!$AD$6</f>
        <v>51129.019161000004</v>
      </c>
    </row>
    <row r="6" spans="1:29" s="2098" customFormat="1" ht="26.25">
      <c r="A6" s="2125" t="s">
        <v>664</v>
      </c>
      <c r="B6" s="2088" t="s">
        <v>407</v>
      </c>
      <c r="C6" s="2143" t="s">
        <v>3204</v>
      </c>
      <c r="D6" s="2090">
        <f>SUM(D7:D62)</f>
        <v>0</v>
      </c>
      <c r="E6" s="2091">
        <f>+E7+E34</f>
        <v>77587692.355000004</v>
      </c>
      <c r="F6" s="2128">
        <f>+F7+F34</f>
        <v>95377028.981000006</v>
      </c>
      <c r="G6" s="2091">
        <f>+G7+G34</f>
        <v>4703236.5889999997</v>
      </c>
      <c r="H6" s="2091">
        <f t="shared" ref="H6:R6" si="4">+H7+H34</f>
        <v>5310034.0120000001</v>
      </c>
      <c r="I6" s="2091">
        <f t="shared" si="4"/>
        <v>5789015.3989999993</v>
      </c>
      <c r="J6" s="2091">
        <f t="shared" si="4"/>
        <v>4886952.5250000004</v>
      </c>
      <c r="K6" s="2091">
        <f t="shared" si="4"/>
        <v>7444374.3550000004</v>
      </c>
      <c r="L6" s="2091">
        <f t="shared" si="4"/>
        <v>12840067.868999999</v>
      </c>
      <c r="M6" s="2091">
        <f t="shared" si="4"/>
        <v>10528724.684</v>
      </c>
      <c r="N6" s="2091">
        <f t="shared" si="4"/>
        <v>6543415.2880400009</v>
      </c>
      <c r="O6" s="2091">
        <f t="shared" si="4"/>
        <v>5516094.5749999993</v>
      </c>
      <c r="P6" s="2091">
        <f t="shared" si="4"/>
        <v>5919596.7799999993</v>
      </c>
      <c r="Q6" s="2091">
        <f t="shared" si="4"/>
        <v>4299482.4110000003</v>
      </c>
      <c r="R6" s="2091">
        <f t="shared" si="4"/>
        <v>5335644.8870000001</v>
      </c>
      <c r="S6" s="2132">
        <f>SUM(G6:R6)</f>
        <v>79116639.374039993</v>
      </c>
      <c r="T6" s="2093">
        <f>SUM(G6:L6)</f>
        <v>40973680.748999998</v>
      </c>
      <c r="U6" s="2093">
        <f>SUM(G6:O6)</f>
        <v>63561915.296039999</v>
      </c>
      <c r="V6" s="2093">
        <f>S6</f>
        <v>79116639.374039993</v>
      </c>
      <c r="W6" s="2094">
        <f>S6/F6*100</f>
        <v>82.951461394127477</v>
      </c>
      <c r="X6" s="2095">
        <f>S6/$X$1*100/1000</f>
        <v>9.7866972667384129</v>
      </c>
      <c r="Y6" s="2096">
        <f t="shared" si="2"/>
        <v>9.5103545346844562</v>
      </c>
      <c r="Z6" s="2097"/>
      <c r="AA6" s="2098">
        <f t="shared" si="3"/>
        <v>79116.639374039994</v>
      </c>
      <c r="AB6" s="2099">
        <f>'[27]QUADRO 19 (2019)'!$AD$7</f>
        <v>40852.140519</v>
      </c>
      <c r="AC6" s="2144"/>
    </row>
    <row r="7" spans="1:29" s="2098" customFormat="1" ht="26.25">
      <c r="A7" s="2087" t="s">
        <v>665</v>
      </c>
      <c r="B7" s="2088" t="s">
        <v>410</v>
      </c>
      <c r="C7" s="2112" t="s">
        <v>3244</v>
      </c>
      <c r="D7" s="2090"/>
      <c r="E7" s="2091">
        <f>+'[28]Receitas (mensais)'!$Q$14</f>
        <v>23555385.500999998</v>
      </c>
      <c r="F7" s="2128">
        <f>F8+F22</f>
        <v>27398177.287999999</v>
      </c>
      <c r="G7" s="2091">
        <f>G8+G22</f>
        <v>1426632.5120000001</v>
      </c>
      <c r="H7" s="2091">
        <f t="shared" ref="H7:R7" si="5">H8+H22</f>
        <v>1379315.297</v>
      </c>
      <c r="I7" s="2091">
        <f t="shared" si="5"/>
        <v>2105885.1399999997</v>
      </c>
      <c r="J7" s="2091">
        <f t="shared" si="5"/>
        <v>1545907.1129999999</v>
      </c>
      <c r="K7" s="2091">
        <f t="shared" si="5"/>
        <v>2499018.0440000002</v>
      </c>
      <c r="L7" s="2091">
        <f t="shared" si="5"/>
        <v>6396011.5299999993</v>
      </c>
      <c r="M7" s="2091">
        <f t="shared" si="5"/>
        <v>4424851.4700000007</v>
      </c>
      <c r="N7" s="2091">
        <f t="shared" si="5"/>
        <v>2139800.9928000001</v>
      </c>
      <c r="O7" s="2091">
        <f t="shared" si="5"/>
        <v>1635256.273</v>
      </c>
      <c r="P7" s="2091">
        <f t="shared" si="5"/>
        <v>1681222.7880000002</v>
      </c>
      <c r="Q7" s="2091">
        <f t="shared" si="5"/>
        <v>1145776.179</v>
      </c>
      <c r="R7" s="2091">
        <f t="shared" si="5"/>
        <v>1696676.584</v>
      </c>
      <c r="S7" s="2132">
        <f>SUM(G7:R7)</f>
        <v>28076353.922799997</v>
      </c>
      <c r="T7" s="2093">
        <f>SUM(G7:L7)</f>
        <v>15352769.636</v>
      </c>
      <c r="U7" s="2093">
        <f>SUM(G7:O7)</f>
        <v>23552678.371799998</v>
      </c>
      <c r="V7" s="2093">
        <f>S7</f>
        <v>28076353.922799997</v>
      </c>
      <c r="W7" s="2094">
        <f>S7/F7*100</f>
        <v>102.47526186750034</v>
      </c>
      <c r="X7" s="2095">
        <f>S7/$X$1*100/1000</f>
        <v>3.4730339707326721</v>
      </c>
      <c r="Y7" s="2096">
        <f t="shared" si="2"/>
        <v>3.374967414689265</v>
      </c>
      <c r="Z7" s="2097"/>
      <c r="AA7" s="2098">
        <f t="shared" si="3"/>
        <v>28076.353922799997</v>
      </c>
      <c r="AB7" s="2099"/>
    </row>
    <row r="8" spans="1:29" s="2098" customFormat="1" ht="26.1" hidden="1" customHeight="1" outlineLevel="1">
      <c r="A8" s="2087"/>
      <c r="B8" s="2088" t="s">
        <v>3050</v>
      </c>
      <c r="C8" s="2089" t="s">
        <v>780</v>
      </c>
      <c r="D8" s="2090"/>
      <c r="E8" s="2091"/>
      <c r="F8" s="2128">
        <f>+F9+F10+F13+F16+F17</f>
        <v>26361202.888</v>
      </c>
      <c r="G8" s="2091">
        <f>+G9+G10+G13+G16+G17</f>
        <v>1344267.8020000001</v>
      </c>
      <c r="H8" s="2091">
        <f t="shared" ref="H8:R8" si="6">+H9+H10+H13+H16+H17</f>
        <v>1313791.6869999999</v>
      </c>
      <c r="I8" s="2091">
        <f t="shared" si="6"/>
        <v>2070155.1599999997</v>
      </c>
      <c r="J8" s="2091">
        <f t="shared" si="6"/>
        <v>1503870.2999999998</v>
      </c>
      <c r="K8" s="2091">
        <f t="shared" si="6"/>
        <v>2468355.4010000001</v>
      </c>
      <c r="L8" s="2091">
        <f t="shared" si="6"/>
        <v>6267048.8959999997</v>
      </c>
      <c r="M8" s="2091">
        <f t="shared" si="6"/>
        <v>4359957.3830000004</v>
      </c>
      <c r="N8" s="2091">
        <f t="shared" si="6"/>
        <v>2119342.1708</v>
      </c>
      <c r="O8" s="2091">
        <f t="shared" si="6"/>
        <v>1623095.189</v>
      </c>
      <c r="P8" s="2091">
        <f t="shared" si="6"/>
        <v>1512994.6400000001</v>
      </c>
      <c r="Q8" s="2091">
        <f t="shared" si="6"/>
        <v>1128114.8319999999</v>
      </c>
      <c r="R8" s="2091">
        <f t="shared" si="6"/>
        <v>1671288.828</v>
      </c>
      <c r="S8" s="2092">
        <f t="shared" ref="S8:S21" si="7">SUM(G8:R8)</f>
        <v>27382282.288800001</v>
      </c>
      <c r="T8" s="2093"/>
      <c r="U8" s="2093"/>
      <c r="V8" s="2093"/>
      <c r="W8" s="2094"/>
      <c r="X8" s="2095"/>
      <c r="Y8" s="2096">
        <f t="shared" si="2"/>
        <v>3.2915353153984852</v>
      </c>
      <c r="Z8" s="2097"/>
      <c r="AA8" s="2098">
        <f t="shared" si="3"/>
        <v>27382.282288800001</v>
      </c>
      <c r="AB8" s="2099"/>
    </row>
    <row r="9" spans="1:29" s="2098" customFormat="1" ht="26.1" hidden="1" customHeight="1" outlineLevel="1">
      <c r="A9" s="2087"/>
      <c r="B9" s="2088" t="s">
        <v>3156</v>
      </c>
      <c r="C9" s="2100" t="s">
        <v>782</v>
      </c>
      <c r="D9" s="2090"/>
      <c r="E9" s="2091"/>
      <c r="F9" s="2128">
        <v>16708824.488</v>
      </c>
      <c r="G9" s="2091">
        <f>'Receitas (mensais)'!E16</f>
        <v>464452.783</v>
      </c>
      <c r="H9" s="2091">
        <f>'Receitas (mensais)'!F16</f>
        <v>362818.91000000003</v>
      </c>
      <c r="I9" s="2091">
        <f>'Receitas (mensais)'!G16</f>
        <v>1405719.2029999997</v>
      </c>
      <c r="J9" s="2091">
        <f>'Receitas (mensais)'!H16</f>
        <v>676775.44499999995</v>
      </c>
      <c r="K9" s="2091">
        <f>'Receitas (mensais)'!I16</f>
        <v>1369320.4680000001</v>
      </c>
      <c r="L9" s="2091">
        <f>'Receitas (mensais)'!J16</f>
        <v>3362646.9739999999</v>
      </c>
      <c r="M9" s="2091">
        <f>'Receitas (mensais)'!K16</f>
        <v>2014838.6740000001</v>
      </c>
      <c r="N9" s="2091">
        <f>'Receitas (mensais)'!L16</f>
        <v>863820.38100000005</v>
      </c>
      <c r="O9" s="2091">
        <f>'Receitas (mensais)'!M16</f>
        <v>648798.25800000003</v>
      </c>
      <c r="P9" s="2091">
        <f>'Receitas (mensais)'!N16</f>
        <v>550359.94200000004</v>
      </c>
      <c r="Q9" s="2091">
        <f>'Receitas (mensais)'!O16</f>
        <v>395014.022</v>
      </c>
      <c r="R9" s="2091">
        <f>'Receitas (mensais)'!P16</f>
        <v>1066782.058</v>
      </c>
      <c r="S9" s="2092">
        <f t="shared" si="7"/>
        <v>13181347.117999999</v>
      </c>
      <c r="T9" s="2093"/>
      <c r="U9" s="2093"/>
      <c r="V9" s="2093"/>
      <c r="W9" s="2094"/>
      <c r="X9" s="2095"/>
      <c r="Y9" s="2096">
        <f t="shared" si="2"/>
        <v>1.5844869717514123</v>
      </c>
      <c r="Z9" s="2097"/>
      <c r="AA9" s="2098">
        <f t="shared" si="3"/>
        <v>13181.347118</v>
      </c>
      <c r="AB9" s="2099"/>
    </row>
    <row r="10" spans="1:29" s="2098" customFormat="1" ht="26.1" hidden="1" customHeight="1" outlineLevel="1">
      <c r="A10" s="2087"/>
      <c r="B10" s="2088" t="s">
        <v>3054</v>
      </c>
      <c r="C10" s="2100" t="s">
        <v>783</v>
      </c>
      <c r="D10" s="2090"/>
      <c r="E10" s="2091"/>
      <c r="F10" s="2128">
        <f>F11+F12</f>
        <v>4140951.36</v>
      </c>
      <c r="G10" s="2091">
        <f>G11+G12</f>
        <v>67646.114000000001</v>
      </c>
      <c r="H10" s="2091">
        <f t="shared" ref="H10:R10" si="8">H11+H12</f>
        <v>43992.152000000002</v>
      </c>
      <c r="I10" s="2091">
        <f t="shared" si="8"/>
        <v>66550.675000000003</v>
      </c>
      <c r="J10" s="2091">
        <f t="shared" si="8"/>
        <v>29433.440999999999</v>
      </c>
      <c r="K10" s="2091">
        <f t="shared" si="8"/>
        <v>604751.90800000005</v>
      </c>
      <c r="L10" s="2091">
        <f t="shared" si="8"/>
        <v>2306376.2250000001</v>
      </c>
      <c r="M10" s="2091">
        <f t="shared" si="8"/>
        <v>1557500.129</v>
      </c>
      <c r="N10" s="2091">
        <f t="shared" si="8"/>
        <v>553939.02</v>
      </c>
      <c r="O10" s="2091">
        <f t="shared" si="8"/>
        <v>311298.745</v>
      </c>
      <c r="P10" s="2091">
        <f t="shared" si="8"/>
        <v>15636.597</v>
      </c>
      <c r="Q10" s="2091">
        <f t="shared" si="8"/>
        <v>8554.1130000000012</v>
      </c>
      <c r="R10" s="2091">
        <f t="shared" si="8"/>
        <v>5317.4940000000006</v>
      </c>
      <c r="S10" s="2092">
        <f t="shared" si="7"/>
        <v>5570996.6130000008</v>
      </c>
      <c r="T10" s="2093"/>
      <c r="U10" s="2093"/>
      <c r="V10" s="2093"/>
      <c r="W10" s="2094"/>
      <c r="X10" s="2095"/>
      <c r="Y10" s="2096">
        <f t="shared" si="2"/>
        <v>0.6696714284168771</v>
      </c>
      <c r="Z10" s="2097"/>
      <c r="AA10" s="2098">
        <f t="shared" si="3"/>
        <v>5570.9966130000012</v>
      </c>
      <c r="AB10" s="2099"/>
    </row>
    <row r="11" spans="1:29" s="2098" customFormat="1" ht="26.1" hidden="1" customHeight="1" outlineLevel="1">
      <c r="A11" s="2087"/>
      <c r="B11" s="2088" t="s">
        <v>3157</v>
      </c>
      <c r="C11" s="2101" t="str">
        <f>'Receitas (mensais)'!D18</f>
        <v xml:space="preserve">               Urbana</v>
      </c>
      <c r="D11" s="2090"/>
      <c r="E11" s="2091"/>
      <c r="F11" s="2128">
        <v>560759.36</v>
      </c>
      <c r="G11" s="2091">
        <f>'Receitas (mensais)'!E18</f>
        <v>61067.111000000004</v>
      </c>
      <c r="H11" s="2091">
        <f>'Receitas (mensais)'!F18</f>
        <v>37897.698000000004</v>
      </c>
      <c r="I11" s="2091">
        <f>'Receitas (mensais)'!G18</f>
        <v>64327.925000000003</v>
      </c>
      <c r="J11" s="2091">
        <f>'Receitas (mensais)'!H18</f>
        <v>22433.175999999999</v>
      </c>
      <c r="K11" s="2091">
        <f>'Receitas (mensais)'!I18</f>
        <v>7368.6530000000002</v>
      </c>
      <c r="L11" s="2091">
        <f>'Receitas (mensais)'!J18</f>
        <v>19832.599999999999</v>
      </c>
      <c r="M11" s="2091">
        <f>'Receitas (mensais)'!K18</f>
        <v>41616.379000000001</v>
      </c>
      <c r="N11" s="2091">
        <f>'Receitas (mensais)'!L18</f>
        <v>13829.02</v>
      </c>
      <c r="O11" s="2091">
        <f>'Receitas (mensais)'!M18</f>
        <v>58098.229999999989</v>
      </c>
      <c r="P11" s="2091">
        <f>'Receitas (mensais)'!N18</f>
        <v>3812.9369999999999</v>
      </c>
      <c r="Q11" s="2091">
        <f>'Receitas (mensais)'!O18</f>
        <v>8398.6130000000012</v>
      </c>
      <c r="R11" s="2091">
        <f>'Receitas (mensais)'!P18</f>
        <v>5317.4940000000006</v>
      </c>
      <c r="S11" s="2092">
        <f t="shared" si="7"/>
        <v>343999.83600000001</v>
      </c>
      <c r="T11" s="2093"/>
      <c r="U11" s="2093"/>
      <c r="V11" s="2093"/>
      <c r="W11" s="2094"/>
      <c r="X11" s="2096"/>
      <c r="Y11" s="2097">
        <f t="shared" si="2"/>
        <v>4.1351104219257126E-2</v>
      </c>
      <c r="AA11" s="2099">
        <f t="shared" si="3"/>
        <v>343.99983600000002</v>
      </c>
    </row>
    <row r="12" spans="1:29" s="2098" customFormat="1" ht="26.1" hidden="1" customHeight="1" outlineLevel="1">
      <c r="A12" s="2087"/>
      <c r="B12" s="2088" t="s">
        <v>3158</v>
      </c>
      <c r="C12" s="2101" t="str">
        <f>'Receitas (mensais)'!D19</f>
        <v xml:space="preserve">               Rustica</v>
      </c>
      <c r="D12" s="2090"/>
      <c r="E12" s="2091"/>
      <c r="F12" s="2128">
        <v>3580192</v>
      </c>
      <c r="G12" s="2091">
        <f>'Receitas (mensais)'!E19</f>
        <v>6579.0029999999997</v>
      </c>
      <c r="H12" s="2091">
        <f>'Receitas (mensais)'!F19</f>
        <v>6094.4539999999997</v>
      </c>
      <c r="I12" s="2091">
        <f>'Receitas (mensais)'!G19</f>
        <v>2222.75</v>
      </c>
      <c r="J12" s="2091">
        <f>'Receitas (mensais)'!H19</f>
        <v>7000.2649999999994</v>
      </c>
      <c r="K12" s="2091">
        <f>'Receitas (mensais)'!I19</f>
        <v>597383.255</v>
      </c>
      <c r="L12" s="2091">
        <f>'Receitas (mensais)'!J19</f>
        <v>2286543.625</v>
      </c>
      <c r="M12" s="2091">
        <f>'Receitas (mensais)'!K19</f>
        <v>1515883.75</v>
      </c>
      <c r="N12" s="2091">
        <f>'Receitas (mensais)'!L19</f>
        <v>540110</v>
      </c>
      <c r="O12" s="2091">
        <f>'Receitas (mensais)'!M19</f>
        <v>253200.51500000001</v>
      </c>
      <c r="P12" s="2091">
        <f>'Receitas (mensais)'!N19</f>
        <v>11823.66</v>
      </c>
      <c r="Q12" s="2091">
        <f>'Receitas (mensais)'!O19</f>
        <v>155.5</v>
      </c>
      <c r="R12" s="2091">
        <f>'Receitas (mensais)'!P19</f>
        <v>0</v>
      </c>
      <c r="S12" s="2092">
        <f t="shared" si="7"/>
        <v>5226996.7769999998</v>
      </c>
      <c r="T12" s="2093"/>
      <c r="U12" s="2093"/>
      <c r="V12" s="2093"/>
      <c r="W12" s="2094"/>
      <c r="X12" s="2096"/>
      <c r="Y12" s="2097">
        <f t="shared" si="2"/>
        <v>0.62832032419761985</v>
      </c>
      <c r="AA12" s="2099">
        <f t="shared" si="3"/>
        <v>5226.9967769999994</v>
      </c>
    </row>
    <row r="13" spans="1:29" s="2098" customFormat="1" ht="26.1" hidden="1" customHeight="1" outlineLevel="1">
      <c r="A13" s="2087"/>
      <c r="B13" s="2088" t="s">
        <v>3159</v>
      </c>
      <c r="C13" s="2100" t="str">
        <f>'Receitas (mensais)'!D20</f>
        <v>Imposto profissional</v>
      </c>
      <c r="D13" s="2090"/>
      <c r="E13" s="2091"/>
      <c r="F13" s="2128">
        <f>+F14+F15</f>
        <v>5484339.8399999999</v>
      </c>
      <c r="G13" s="2091">
        <f>+G14+G15</f>
        <v>812073.90500000003</v>
      </c>
      <c r="H13" s="2091">
        <f t="shared" ref="H13:R13" si="9">+H14+H15</f>
        <v>906980.625</v>
      </c>
      <c r="I13" s="2091">
        <f t="shared" si="9"/>
        <v>597885.28200000001</v>
      </c>
      <c r="J13" s="2091">
        <f t="shared" si="9"/>
        <v>797661.41399999999</v>
      </c>
      <c r="K13" s="2091">
        <f t="shared" si="9"/>
        <v>494283.02499999991</v>
      </c>
      <c r="L13" s="2091">
        <f t="shared" si="9"/>
        <v>598025.69700000004</v>
      </c>
      <c r="M13" s="2091">
        <f t="shared" si="9"/>
        <v>787618.57999999984</v>
      </c>
      <c r="N13" s="2091">
        <f t="shared" si="9"/>
        <v>701582.76980000001</v>
      </c>
      <c r="O13" s="2091">
        <f t="shared" si="9"/>
        <v>662998.18599999999</v>
      </c>
      <c r="P13" s="2091">
        <f t="shared" si="9"/>
        <v>938066.00099999993</v>
      </c>
      <c r="Q13" s="2091">
        <f t="shared" si="9"/>
        <v>718050.99699999997</v>
      </c>
      <c r="R13" s="2091">
        <f t="shared" si="9"/>
        <v>597660.80599999998</v>
      </c>
      <c r="S13" s="2092">
        <f t="shared" si="7"/>
        <v>8612887.2877999991</v>
      </c>
      <c r="T13" s="2093"/>
      <c r="U13" s="2093"/>
      <c r="V13" s="2093"/>
      <c r="W13" s="2094"/>
      <c r="X13" s="2095"/>
      <c r="Y13" s="2096">
        <f t="shared" si="2"/>
        <v>1.0353272373843008</v>
      </c>
      <c r="Z13" s="2097"/>
      <c r="AA13" s="2098">
        <f t="shared" si="3"/>
        <v>8612.8872877999984</v>
      </c>
      <c r="AB13" s="2099"/>
    </row>
    <row r="14" spans="1:29" s="2098" customFormat="1" ht="26.1" hidden="1" customHeight="1" outlineLevel="1">
      <c r="A14" s="2087"/>
      <c r="B14" s="2088" t="s">
        <v>3161</v>
      </c>
      <c r="C14" s="2101" t="str">
        <f>'Receitas (mensais)'!D21</f>
        <v xml:space="preserve">               Funçao Publica</v>
      </c>
      <c r="D14" s="2090"/>
      <c r="E14" s="2091"/>
      <c r="F14" s="2128">
        <v>3037118.56</v>
      </c>
      <c r="G14" s="2091">
        <f>+'Receitas (mensais)'!E21</f>
        <v>345185.69099999999</v>
      </c>
      <c r="H14" s="2091">
        <f>+'Receitas (mensais)'!F21</f>
        <v>386003.64199999999</v>
      </c>
      <c r="I14" s="2091">
        <f>+'Receitas (mensais)'!G21</f>
        <v>335544.73800000001</v>
      </c>
      <c r="J14" s="2091">
        <f>+'Receitas (mensais)'!H21</f>
        <v>579787.12399999995</v>
      </c>
      <c r="K14" s="2091">
        <f>+'Receitas (mensais)'!I21</f>
        <v>57213.502999999997</v>
      </c>
      <c r="L14" s="2091">
        <f>+'Receitas (mensais)'!J21</f>
        <v>386384.00400000002</v>
      </c>
      <c r="M14" s="2091">
        <f>+'Receitas (mensais)'!K21</f>
        <v>385489.18199999997</v>
      </c>
      <c r="N14" s="2091">
        <f>+'Receitas (mensais)'!L21</f>
        <v>487659.43900000001</v>
      </c>
      <c r="O14" s="2091">
        <f>+'Receitas (mensais)'!M21</f>
        <v>466170.62300000002</v>
      </c>
      <c r="P14" s="2091">
        <f>+'Receitas (mensais)'!N21</f>
        <v>394464.37199999997</v>
      </c>
      <c r="Q14" s="2091">
        <f>+'Receitas (mensais)'!O21</f>
        <v>354945.64600000001</v>
      </c>
      <c r="R14" s="2091">
        <f>+'Receitas (mensais)'!P21</f>
        <v>381148.821</v>
      </c>
      <c r="S14" s="2092">
        <f t="shared" si="7"/>
        <v>4559996.7850000001</v>
      </c>
      <c r="T14" s="2093"/>
      <c r="U14" s="2093"/>
      <c r="V14" s="2093"/>
      <c r="W14" s="2094"/>
      <c r="X14" s="2096"/>
      <c r="Y14" s="2097">
        <f t="shared" si="2"/>
        <v>0.54814241916095685</v>
      </c>
      <c r="AA14" s="2099">
        <f t="shared" si="3"/>
        <v>4559.9967850000003</v>
      </c>
    </row>
    <row r="15" spans="1:29" s="2098" customFormat="1" ht="26.1" hidden="1" customHeight="1" outlineLevel="1">
      <c r="A15" s="2087"/>
      <c r="B15" s="2088" t="s">
        <v>3162</v>
      </c>
      <c r="C15" s="2101" t="str">
        <f>'Receitas (mensais)'!D22</f>
        <v xml:space="preserve">               Outros</v>
      </c>
      <c r="D15" s="2090"/>
      <c r="E15" s="2091"/>
      <c r="F15" s="2128">
        <v>2447221.2799999998</v>
      </c>
      <c r="G15" s="2091">
        <f>+'Receitas (mensais)'!E22</f>
        <v>466888.21400000004</v>
      </c>
      <c r="H15" s="2091">
        <f>+'Receitas (mensais)'!F22</f>
        <v>520976.98300000001</v>
      </c>
      <c r="I15" s="2091">
        <f>+'Receitas (mensais)'!G22</f>
        <v>262340.54399999999</v>
      </c>
      <c r="J15" s="2091">
        <f>+'Receitas (mensais)'!H22</f>
        <v>217874.29000000004</v>
      </c>
      <c r="K15" s="2091">
        <f>+'Receitas (mensais)'!I22</f>
        <v>437069.52199999994</v>
      </c>
      <c r="L15" s="2091">
        <f>+'Receitas (mensais)'!J22</f>
        <v>211641.693</v>
      </c>
      <c r="M15" s="2091">
        <f>+'Receitas (mensais)'!K22</f>
        <v>402129.39799999993</v>
      </c>
      <c r="N15" s="2091">
        <f>+'Receitas (mensais)'!L22</f>
        <v>213923.33079999997</v>
      </c>
      <c r="O15" s="2091">
        <f>+'Receitas (mensais)'!M22</f>
        <v>196827.56299999999</v>
      </c>
      <c r="P15" s="2091">
        <f>+'Receitas (mensais)'!N22</f>
        <v>543601.62899999996</v>
      </c>
      <c r="Q15" s="2091">
        <f>+'Receitas (mensais)'!O22</f>
        <v>363105.35100000002</v>
      </c>
      <c r="R15" s="2091">
        <f>+'Receitas (mensais)'!P22</f>
        <v>216511.98499999996</v>
      </c>
      <c r="S15" s="2092">
        <f t="shared" si="7"/>
        <v>4052890.5027999994</v>
      </c>
      <c r="T15" s="2093"/>
      <c r="U15" s="2093"/>
      <c r="V15" s="2093"/>
      <c r="W15" s="2094"/>
      <c r="X15" s="2096"/>
      <c r="Y15" s="2097">
        <f t="shared" si="2"/>
        <v>0.48718481822334408</v>
      </c>
      <c r="AA15" s="2099">
        <f t="shared" si="3"/>
        <v>4052.8905027999995</v>
      </c>
    </row>
    <row r="16" spans="1:29" s="2098" customFormat="1" ht="26.1" hidden="1" customHeight="1" outlineLevel="1">
      <c r="A16" s="2087"/>
      <c r="B16" s="2088" t="s">
        <v>3160</v>
      </c>
      <c r="C16" s="2100" t="str">
        <f>'Receitas (mensais)'!D23</f>
        <v>Imposto complementar</v>
      </c>
      <c r="D16" s="2090"/>
      <c r="E16" s="2091"/>
      <c r="F16" s="2128">
        <v>27087.200000000001</v>
      </c>
      <c r="G16" s="2091">
        <f>+'Receitas (mensais)'!E23</f>
        <v>95</v>
      </c>
      <c r="H16" s="2091">
        <f>+'Receitas (mensais)'!F23</f>
        <v>0</v>
      </c>
      <c r="I16" s="2091">
        <f>+'Receitas (mensais)'!G23</f>
        <v>0</v>
      </c>
      <c r="J16" s="2091">
        <f>+'Receitas (mensais)'!H23</f>
        <v>0</v>
      </c>
      <c r="K16" s="2091">
        <f>+'Receitas (mensais)'!I23</f>
        <v>0</v>
      </c>
      <c r="L16" s="2091">
        <f>+'Receitas (mensais)'!J23</f>
        <v>0</v>
      </c>
      <c r="M16" s="2091">
        <f>+'Receitas (mensais)'!K23</f>
        <v>0</v>
      </c>
      <c r="N16" s="2091">
        <f>+'Receitas (mensais)'!L23</f>
        <v>0</v>
      </c>
      <c r="O16" s="2091">
        <f>+'Receitas (mensais)'!M23</f>
        <v>0</v>
      </c>
      <c r="P16" s="2091">
        <f>+'Receitas (mensais)'!N23</f>
        <v>8932.1</v>
      </c>
      <c r="Q16" s="2091">
        <f>+'Receitas (mensais)'!O23</f>
        <v>6495.7000000000007</v>
      </c>
      <c r="R16" s="2091">
        <f>+'Receitas (mensais)'!P23</f>
        <v>1528.47</v>
      </c>
      <c r="S16" s="2092">
        <f t="shared" si="7"/>
        <v>17051.27</v>
      </c>
      <c r="T16" s="2093"/>
      <c r="U16" s="2093"/>
      <c r="V16" s="2093"/>
      <c r="W16" s="2094"/>
      <c r="X16" s="2095"/>
      <c r="Y16" s="2096">
        <f t="shared" si="2"/>
        <v>2.0496778458949393E-3</v>
      </c>
      <c r="Z16" s="2097"/>
      <c r="AA16" s="2098">
        <f t="shared" si="3"/>
        <v>17.051269999999999</v>
      </c>
      <c r="AB16" s="2099"/>
    </row>
    <row r="17" spans="1:28" s="2098" customFormat="1" ht="26.1" hidden="1" customHeight="1" outlineLevel="1">
      <c r="A17" s="2087" t="s">
        <v>806</v>
      </c>
      <c r="B17" s="2088" t="s">
        <v>3163</v>
      </c>
      <c r="C17" s="2100" t="str">
        <f>'Receitas (mensais)'!D24</f>
        <v>Imposto de Reconstruçao Nacional</v>
      </c>
      <c r="D17" s="2090"/>
      <c r="E17" s="2091">
        <f>+SUM(E18:E21)</f>
        <v>0</v>
      </c>
      <c r="F17" s="2128">
        <f>+SUM(F18:F21)</f>
        <v>0</v>
      </c>
      <c r="G17" s="2091">
        <f>+SUM(G18:G21)</f>
        <v>0</v>
      </c>
      <c r="H17" s="2091">
        <f t="shared" ref="H17:R17" si="10">+SUM(H18:H21)</f>
        <v>0</v>
      </c>
      <c r="I17" s="2091">
        <f t="shared" si="10"/>
        <v>0</v>
      </c>
      <c r="J17" s="2091">
        <f t="shared" si="10"/>
        <v>0</v>
      </c>
      <c r="K17" s="2091">
        <f t="shared" si="10"/>
        <v>0</v>
      </c>
      <c r="L17" s="2091">
        <f t="shared" si="10"/>
        <v>0</v>
      </c>
      <c r="M17" s="2091">
        <f t="shared" si="10"/>
        <v>0</v>
      </c>
      <c r="N17" s="2091">
        <f t="shared" si="10"/>
        <v>0</v>
      </c>
      <c r="O17" s="2091">
        <f t="shared" si="10"/>
        <v>0</v>
      </c>
      <c r="P17" s="2091">
        <f t="shared" si="10"/>
        <v>0</v>
      </c>
      <c r="Q17" s="2091">
        <f t="shared" si="10"/>
        <v>0</v>
      </c>
      <c r="R17" s="2091">
        <f t="shared" si="10"/>
        <v>0</v>
      </c>
      <c r="S17" s="2092">
        <f t="shared" si="7"/>
        <v>0</v>
      </c>
      <c r="T17" s="2093">
        <f>SUM(G17:L17)</f>
        <v>0</v>
      </c>
      <c r="U17" s="2093">
        <f>SUM(G17:O17)</f>
        <v>0</v>
      </c>
      <c r="V17" s="2093">
        <f>S17</f>
        <v>0</v>
      </c>
      <c r="W17" s="2094"/>
      <c r="X17" s="2095"/>
      <c r="Y17" s="2096">
        <f t="shared" si="2"/>
        <v>0</v>
      </c>
      <c r="Z17" s="2097"/>
      <c r="AA17" s="2098">
        <f t="shared" si="3"/>
        <v>0</v>
      </c>
      <c r="AB17" s="2099"/>
    </row>
    <row r="18" spans="1:28" s="2109" customFormat="1" ht="26.1" hidden="1" customHeight="1" outlineLevel="1">
      <c r="A18" s="2102" t="s">
        <v>666</v>
      </c>
      <c r="B18" s="2088" t="s">
        <v>3165</v>
      </c>
      <c r="C18" s="2101" t="str">
        <f>'Receitas (mensais)'!D25</f>
        <v xml:space="preserve">               50% para a area</v>
      </c>
      <c r="D18" s="2103"/>
      <c r="E18" s="2104"/>
      <c r="F18" s="2146"/>
      <c r="G18" s="2104">
        <f>+'Receitas (mensais)'!E25</f>
        <v>0</v>
      </c>
      <c r="H18" s="2104">
        <f>+'Receitas (mensais)'!F25</f>
        <v>0</v>
      </c>
      <c r="I18" s="2104">
        <f>+'Receitas (mensais)'!G25</f>
        <v>0</v>
      </c>
      <c r="J18" s="2104">
        <f>+'Receitas (mensais)'!H25</f>
        <v>0</v>
      </c>
      <c r="K18" s="2104">
        <f>+'Receitas (mensais)'!I25</f>
        <v>0</v>
      </c>
      <c r="L18" s="2104">
        <f>+'Receitas (mensais)'!J25</f>
        <v>0</v>
      </c>
      <c r="M18" s="2104">
        <f>+'Receitas (mensais)'!K25</f>
        <v>0</v>
      </c>
      <c r="N18" s="2104">
        <f>+'Receitas (mensais)'!L25</f>
        <v>0</v>
      </c>
      <c r="O18" s="2104">
        <f>+'Receitas (mensais)'!M25</f>
        <v>0</v>
      </c>
      <c r="P18" s="2104">
        <f>+'Receitas (mensais)'!N25</f>
        <v>0</v>
      </c>
      <c r="Q18" s="2104">
        <f>+'Receitas (mensais)'!O25</f>
        <v>0</v>
      </c>
      <c r="R18" s="2104">
        <f>+'Receitas (mensais)'!P25</f>
        <v>0</v>
      </c>
      <c r="S18" s="2105">
        <f t="shared" si="7"/>
        <v>0</v>
      </c>
      <c r="T18" s="2106">
        <f>SUM(G18:L18)</f>
        <v>0</v>
      </c>
      <c r="U18" s="2106">
        <f>SUM(G18:O18)</f>
        <v>0</v>
      </c>
      <c r="V18" s="2106">
        <f>S18</f>
        <v>0</v>
      </c>
      <c r="W18" s="2107" t="e">
        <f>S18/F18*100</f>
        <v>#DIV/0!</v>
      </c>
      <c r="X18" s="2108">
        <f>S18/$X$1*100/1000</f>
        <v>0</v>
      </c>
      <c r="Y18" s="2097">
        <f t="shared" si="2"/>
        <v>0</v>
      </c>
      <c r="AA18" s="2099">
        <f t="shared" si="3"/>
        <v>0</v>
      </c>
    </row>
    <row r="19" spans="1:28" s="2109" customFormat="1" ht="26.1" hidden="1" customHeight="1" outlineLevel="1">
      <c r="A19" s="2102"/>
      <c r="B19" s="2088" t="s">
        <v>3166</v>
      </c>
      <c r="C19" s="2101" t="str">
        <f>'Receitas (mensais)'!D26</f>
        <v xml:space="preserve">               40% para as Regioes</v>
      </c>
      <c r="D19" s="2103"/>
      <c r="E19" s="2104"/>
      <c r="F19" s="2146"/>
      <c r="G19" s="2104">
        <f>+'Receitas (mensais)'!E26</f>
        <v>0</v>
      </c>
      <c r="H19" s="2104">
        <f>+'Receitas (mensais)'!F26</f>
        <v>0</v>
      </c>
      <c r="I19" s="2104">
        <f>+'Receitas (mensais)'!G26</f>
        <v>0</v>
      </c>
      <c r="J19" s="2104">
        <f>+'Receitas (mensais)'!H26</f>
        <v>0</v>
      </c>
      <c r="K19" s="2104">
        <f>+'Receitas (mensais)'!I26</f>
        <v>0</v>
      </c>
      <c r="L19" s="2104">
        <f>+'Receitas (mensais)'!J26</f>
        <v>0</v>
      </c>
      <c r="M19" s="2104">
        <f>+'Receitas (mensais)'!K26</f>
        <v>0</v>
      </c>
      <c r="N19" s="2104">
        <f>+'Receitas (mensais)'!L26</f>
        <v>0</v>
      </c>
      <c r="O19" s="2104">
        <f>+'Receitas (mensais)'!M26</f>
        <v>0</v>
      </c>
      <c r="P19" s="2104">
        <f>+'Receitas (mensais)'!N26</f>
        <v>0</v>
      </c>
      <c r="Q19" s="2104">
        <f>+'Receitas (mensais)'!O26</f>
        <v>0</v>
      </c>
      <c r="R19" s="2104">
        <f>+'Receitas (mensais)'!P26</f>
        <v>0</v>
      </c>
      <c r="S19" s="2105">
        <f t="shared" si="7"/>
        <v>0</v>
      </c>
      <c r="T19" s="2106"/>
      <c r="U19" s="2106"/>
      <c r="V19" s="2106"/>
      <c r="W19" s="2107"/>
      <c r="X19" s="2108"/>
      <c r="Y19" s="2097">
        <f t="shared" si="2"/>
        <v>0</v>
      </c>
      <c r="AA19" s="2099">
        <f t="shared" si="3"/>
        <v>0</v>
      </c>
    </row>
    <row r="20" spans="1:28" s="2109" customFormat="1" ht="26.1" hidden="1" customHeight="1" outlineLevel="1">
      <c r="A20" s="2102"/>
      <c r="B20" s="2088" t="s">
        <v>3167</v>
      </c>
      <c r="C20" s="2101" t="str">
        <f>'Receitas (mensais)'!D27</f>
        <v xml:space="preserve">               10% para INSPS</v>
      </c>
      <c r="D20" s="2103"/>
      <c r="E20" s="2104"/>
      <c r="F20" s="2146"/>
      <c r="G20" s="2104">
        <f>+'Receitas (mensais)'!E27</f>
        <v>0</v>
      </c>
      <c r="H20" s="2104">
        <f>+'Receitas (mensais)'!F27</f>
        <v>0</v>
      </c>
      <c r="I20" s="2104">
        <f>+'Receitas (mensais)'!G27</f>
        <v>0</v>
      </c>
      <c r="J20" s="2104">
        <f>+'Receitas (mensais)'!H27</f>
        <v>0</v>
      </c>
      <c r="K20" s="2104">
        <f>+'Receitas (mensais)'!I27</f>
        <v>0</v>
      </c>
      <c r="L20" s="2104">
        <f>+'Receitas (mensais)'!J27</f>
        <v>0</v>
      </c>
      <c r="M20" s="2104">
        <f>+'Receitas (mensais)'!K27</f>
        <v>0</v>
      </c>
      <c r="N20" s="2104">
        <f>+'Receitas (mensais)'!L27</f>
        <v>0</v>
      </c>
      <c r="O20" s="2104">
        <f>+'Receitas (mensais)'!M27</f>
        <v>0</v>
      </c>
      <c r="P20" s="2104">
        <f>+'Receitas (mensais)'!N27</f>
        <v>0</v>
      </c>
      <c r="Q20" s="2104">
        <f>+'Receitas (mensais)'!O27</f>
        <v>0</v>
      </c>
      <c r="R20" s="2104">
        <f>+'Receitas (mensais)'!P27</f>
        <v>0</v>
      </c>
      <c r="S20" s="2105">
        <f t="shared" si="7"/>
        <v>0</v>
      </c>
      <c r="T20" s="2106"/>
      <c r="U20" s="2106"/>
      <c r="V20" s="2106"/>
      <c r="W20" s="2107"/>
      <c r="X20" s="2108"/>
      <c r="Y20" s="2097">
        <f t="shared" si="2"/>
        <v>0</v>
      </c>
      <c r="AA20" s="2099">
        <f t="shared" si="3"/>
        <v>0</v>
      </c>
    </row>
    <row r="21" spans="1:28" s="2109" customFormat="1" ht="26.1" hidden="1" customHeight="1" outlineLevel="1">
      <c r="A21" s="2102"/>
      <c r="B21" s="2088" t="s">
        <v>3168</v>
      </c>
      <c r="C21" s="2101" t="str">
        <f>'Receitas (mensais)'!D28</f>
        <v xml:space="preserve">               para o Tesouro Publico</v>
      </c>
      <c r="D21" s="2103"/>
      <c r="E21" s="2104"/>
      <c r="F21" s="2146"/>
      <c r="G21" s="2104">
        <f>+'Receitas (mensais)'!E28</f>
        <v>0</v>
      </c>
      <c r="H21" s="2104">
        <f>+'Receitas (mensais)'!F28</f>
        <v>0</v>
      </c>
      <c r="I21" s="2104">
        <f>+'Receitas (mensais)'!G28</f>
        <v>0</v>
      </c>
      <c r="J21" s="2104">
        <f>+'Receitas (mensais)'!H28</f>
        <v>0</v>
      </c>
      <c r="K21" s="2104">
        <f>+'Receitas (mensais)'!I28</f>
        <v>0</v>
      </c>
      <c r="L21" s="2104">
        <f>+'Receitas (mensais)'!J28</f>
        <v>0</v>
      </c>
      <c r="M21" s="2104">
        <f>+'Receitas (mensais)'!K28</f>
        <v>0</v>
      </c>
      <c r="N21" s="2104">
        <f>+'Receitas (mensais)'!L28</f>
        <v>0</v>
      </c>
      <c r="O21" s="2104">
        <f>+'Receitas (mensais)'!M28</f>
        <v>0</v>
      </c>
      <c r="P21" s="2104">
        <f>+'Receitas (mensais)'!N28</f>
        <v>0</v>
      </c>
      <c r="Q21" s="2104">
        <f>+'Receitas (mensais)'!O28</f>
        <v>0</v>
      </c>
      <c r="R21" s="2104">
        <f>+'Receitas (mensais)'!P28</f>
        <v>0</v>
      </c>
      <c r="S21" s="2105">
        <f t="shared" si="7"/>
        <v>0</v>
      </c>
      <c r="T21" s="2106"/>
      <c r="U21" s="2106"/>
      <c r="V21" s="2106"/>
      <c r="W21" s="2107"/>
      <c r="X21" s="2108"/>
      <c r="Y21" s="2097">
        <f t="shared" si="2"/>
        <v>0</v>
      </c>
      <c r="AA21" s="2099">
        <f t="shared" si="3"/>
        <v>0</v>
      </c>
    </row>
    <row r="22" spans="1:28" s="2098" customFormat="1" ht="26.1" hidden="1" customHeight="1" outlineLevel="1">
      <c r="A22" s="2087"/>
      <c r="B22" s="2088" t="s">
        <v>3051</v>
      </c>
      <c r="C22" s="2089" t="str">
        <f>'Receitas (mensais)'!D30</f>
        <v>Outros impostos directos</v>
      </c>
      <c r="D22" s="2090"/>
      <c r="E22" s="2091"/>
      <c r="F22" s="2128">
        <f>F23+F24+F28</f>
        <v>1036974.4</v>
      </c>
      <c r="G22" s="2091">
        <f>G23+G24+G28</f>
        <v>82364.709999999992</v>
      </c>
      <c r="H22" s="2091">
        <f t="shared" ref="H22:R22" si="11">H23+H24+H28</f>
        <v>65523.61</v>
      </c>
      <c r="I22" s="2091">
        <f t="shared" si="11"/>
        <v>35729.979999999996</v>
      </c>
      <c r="J22" s="2091">
        <f t="shared" si="11"/>
        <v>42036.812999999995</v>
      </c>
      <c r="K22" s="2091">
        <f t="shared" si="11"/>
        <v>30662.643</v>
      </c>
      <c r="L22" s="2091">
        <f t="shared" si="11"/>
        <v>128962.63400000001</v>
      </c>
      <c r="M22" s="2091">
        <f t="shared" si="11"/>
        <v>64894.087</v>
      </c>
      <c r="N22" s="2091">
        <f t="shared" si="11"/>
        <v>20458.822</v>
      </c>
      <c r="O22" s="2091">
        <f t="shared" si="11"/>
        <v>12161.083999999999</v>
      </c>
      <c r="P22" s="2091">
        <f t="shared" si="11"/>
        <v>168228.14799999999</v>
      </c>
      <c r="Q22" s="2091">
        <f t="shared" si="11"/>
        <v>17661.347000000002</v>
      </c>
      <c r="R22" s="2091">
        <f t="shared" si="11"/>
        <v>25387.755999999994</v>
      </c>
      <c r="S22" s="2092">
        <f t="shared" ref="S22:S278" si="12">SUM(G22:R22)</f>
        <v>694071.63399999985</v>
      </c>
      <c r="T22" s="2093"/>
      <c r="U22" s="2093"/>
      <c r="V22" s="2093"/>
      <c r="W22" s="2094"/>
      <c r="X22" s="2095"/>
      <c r="Y22" s="2096">
        <f t="shared" si="2"/>
        <v>8.3432099290780132E-2</v>
      </c>
      <c r="Z22" s="2097"/>
      <c r="AA22" s="2098">
        <f t="shared" si="3"/>
        <v>694.07163399999979</v>
      </c>
      <c r="AB22" s="2099"/>
    </row>
    <row r="23" spans="1:28" s="2109" customFormat="1" ht="26.1" hidden="1" customHeight="1" outlineLevel="1">
      <c r="A23" s="2102"/>
      <c r="B23" s="2088" t="s">
        <v>3053</v>
      </c>
      <c r="C23" s="2100" t="s">
        <v>805</v>
      </c>
      <c r="D23" s="2103"/>
      <c r="E23" s="2104"/>
      <c r="F23" s="2146">
        <v>661774.4</v>
      </c>
      <c r="G23" s="2104">
        <f>+'Receitas (mensais)'!E31</f>
        <v>42677.841</v>
      </c>
      <c r="H23" s="2104">
        <f>+'Receitas (mensais)'!F31</f>
        <v>50899.921999999999</v>
      </c>
      <c r="I23" s="2104">
        <f>+'Receitas (mensais)'!G31</f>
        <v>21508.032999999999</v>
      </c>
      <c r="J23" s="2104">
        <f>+'Receitas (mensais)'!H31</f>
        <v>10068.554</v>
      </c>
      <c r="K23" s="2104">
        <f>+'Receitas (mensais)'!I31</f>
        <v>25212.964</v>
      </c>
      <c r="L23" s="2104">
        <f>+'Receitas (mensais)'!J31</f>
        <v>119522.99400000001</v>
      </c>
      <c r="M23" s="2104">
        <f>+'Receitas (mensais)'!K31</f>
        <v>51708.603999999999</v>
      </c>
      <c r="N23" s="2104">
        <f>+'Receitas (mensais)'!L31</f>
        <v>14357.455</v>
      </c>
      <c r="O23" s="2104">
        <f>+'Receitas (mensais)'!M31</f>
        <v>9298.2919999999995</v>
      </c>
      <c r="P23" s="2104">
        <f>+'Receitas (mensais)'!N31</f>
        <v>159299.527</v>
      </c>
      <c r="Q23" s="2104">
        <f>+'Receitas (mensais)'!O31</f>
        <v>13054.704</v>
      </c>
      <c r="R23" s="2104">
        <f>+'Receitas (mensais)'!P31</f>
        <v>19027.504999999997</v>
      </c>
      <c r="S23" s="2105">
        <f t="shared" si="12"/>
        <v>536636.39500000002</v>
      </c>
      <c r="T23" s="2106"/>
      <c r="U23" s="2106"/>
      <c r="V23" s="2106"/>
      <c r="W23" s="2107"/>
      <c r="X23" s="2108"/>
      <c r="Y23" s="2097">
        <f t="shared" si="2"/>
        <v>6.4507319990383463E-2</v>
      </c>
      <c r="AA23" s="2099">
        <f t="shared" si="3"/>
        <v>536.63639499999999</v>
      </c>
    </row>
    <row r="24" spans="1:28" s="2109" customFormat="1" ht="26.1" hidden="1" customHeight="1" outlineLevel="1">
      <c r="A24" s="2102"/>
      <c r="B24" s="2088" t="s">
        <v>3054</v>
      </c>
      <c r="C24" s="2100" t="s">
        <v>806</v>
      </c>
      <c r="D24" s="2103"/>
      <c r="E24" s="2104"/>
      <c r="F24" s="2146">
        <f>+F25+F26+F27</f>
        <v>375200</v>
      </c>
      <c r="G24" s="2104">
        <f>+G25+G26+G27</f>
        <v>39686.868999999999</v>
      </c>
      <c r="H24" s="2104">
        <f t="shared" ref="H24:R24" si="13">+H25+H26+H27</f>
        <v>14623.688</v>
      </c>
      <c r="I24" s="2104">
        <f t="shared" si="13"/>
        <v>14221.947</v>
      </c>
      <c r="J24" s="2104">
        <f t="shared" si="13"/>
        <v>31968.258999999998</v>
      </c>
      <c r="K24" s="2104">
        <f t="shared" si="13"/>
        <v>5449.6790000000001</v>
      </c>
      <c r="L24" s="2104">
        <f t="shared" si="13"/>
        <v>9439.6400000000012</v>
      </c>
      <c r="M24" s="2104">
        <f t="shared" si="13"/>
        <v>13185.483</v>
      </c>
      <c r="N24" s="2104">
        <f t="shared" si="13"/>
        <v>6101.3669999999993</v>
      </c>
      <c r="O24" s="2104">
        <f t="shared" si="13"/>
        <v>2862.7919999999999</v>
      </c>
      <c r="P24" s="2104">
        <f t="shared" si="13"/>
        <v>8928.6209999999992</v>
      </c>
      <c r="Q24" s="2104">
        <f t="shared" si="13"/>
        <v>4606.643</v>
      </c>
      <c r="R24" s="2104">
        <f t="shared" si="13"/>
        <v>6360.2509999999984</v>
      </c>
      <c r="S24" s="2105">
        <f t="shared" si="12"/>
        <v>157435.23899999997</v>
      </c>
      <c r="T24" s="2106"/>
      <c r="U24" s="2106"/>
      <c r="V24" s="2106"/>
      <c r="W24" s="2107"/>
      <c r="X24" s="2108"/>
      <c r="Y24" s="2097">
        <f t="shared" si="2"/>
        <v>1.8924779300396679E-2</v>
      </c>
      <c r="AA24" s="2099">
        <f t="shared" si="3"/>
        <v>157.43523899999997</v>
      </c>
    </row>
    <row r="25" spans="1:28" s="2109" customFormat="1" ht="26.1" hidden="1" customHeight="1" outlineLevel="1">
      <c r="A25" s="2102"/>
      <c r="B25" s="2088" t="s">
        <v>3157</v>
      </c>
      <c r="C25" s="2110" t="str">
        <f>'Receitas (mensais)'!D33</f>
        <v xml:space="preserve">       Sisa</v>
      </c>
      <c r="D25" s="2103"/>
      <c r="E25" s="2104"/>
      <c r="F25" s="2146"/>
      <c r="G25" s="2104">
        <f>+'Receitas (mensais)'!E33</f>
        <v>39671.868999999999</v>
      </c>
      <c r="H25" s="2104">
        <f>+'Receitas (mensais)'!F33</f>
        <v>14623.688</v>
      </c>
      <c r="I25" s="2104">
        <f>+'Receitas (mensais)'!G33</f>
        <v>14221.947</v>
      </c>
      <c r="J25" s="2104">
        <f>+'Receitas (mensais)'!H33</f>
        <v>30055.625</v>
      </c>
      <c r="K25" s="2104">
        <f>+'Receitas (mensais)'!I33</f>
        <v>5449.6790000000001</v>
      </c>
      <c r="L25" s="2104">
        <f>+'Receitas (mensais)'!J33</f>
        <v>9439.6400000000012</v>
      </c>
      <c r="M25" s="2104">
        <f>+'Receitas (mensais)'!K33</f>
        <v>13185.483</v>
      </c>
      <c r="N25" s="2104">
        <f>+'Receitas (mensais)'!L33</f>
        <v>6101.3669999999993</v>
      </c>
      <c r="O25" s="2104">
        <f>+'Receitas (mensais)'!M33</f>
        <v>2862.7919999999999</v>
      </c>
      <c r="P25" s="2104">
        <f>+'Receitas (mensais)'!N33</f>
        <v>8928.6209999999992</v>
      </c>
      <c r="Q25" s="2104">
        <f>+'Receitas (mensais)'!O33</f>
        <v>4606.643</v>
      </c>
      <c r="R25" s="2104">
        <f>+'Receitas (mensais)'!P33</f>
        <v>6360.2509999999984</v>
      </c>
      <c r="S25" s="2105">
        <f t="shared" si="12"/>
        <v>155507.60500000001</v>
      </c>
      <c r="T25" s="2106"/>
      <c r="U25" s="2106"/>
      <c r="V25" s="2106"/>
      <c r="W25" s="2107"/>
      <c r="X25" s="2108"/>
      <c r="Y25" s="2097">
        <f t="shared" si="2"/>
        <v>1.8693064671234525E-2</v>
      </c>
      <c r="AA25" s="2099">
        <f t="shared" si="3"/>
        <v>155.50760500000001</v>
      </c>
    </row>
    <row r="26" spans="1:28" s="2109" customFormat="1" ht="26.1" hidden="1" customHeight="1" outlineLevel="1">
      <c r="A26" s="2102"/>
      <c r="B26" s="2088" t="s">
        <v>3158</v>
      </c>
      <c r="C26" s="2110" t="str">
        <f>'Receitas (mensais)'!D34</f>
        <v xml:space="preserve">       Sucessões e Doações</v>
      </c>
      <c r="D26" s="2103"/>
      <c r="E26" s="2104"/>
      <c r="F26" s="2146">
        <v>375200</v>
      </c>
      <c r="G26" s="2104">
        <f>+'Receitas (mensais)'!E34</f>
        <v>15</v>
      </c>
      <c r="H26" s="2104">
        <f>+'Receitas (mensais)'!F34</f>
        <v>0</v>
      </c>
      <c r="I26" s="2104">
        <f>+'Receitas (mensais)'!G34</f>
        <v>0</v>
      </c>
      <c r="J26" s="2104">
        <f>+'Receitas (mensais)'!H34</f>
        <v>1912.634</v>
      </c>
      <c r="K26" s="2104">
        <f>+'Receitas (mensais)'!I34</f>
        <v>0</v>
      </c>
      <c r="L26" s="2104">
        <f>+'Receitas (mensais)'!J34</f>
        <v>0</v>
      </c>
      <c r="M26" s="2104">
        <f>+'Receitas (mensais)'!K34</f>
        <v>0</v>
      </c>
      <c r="N26" s="2104">
        <f>+'Receitas (mensais)'!L34</f>
        <v>0</v>
      </c>
      <c r="O26" s="2104">
        <f>+'Receitas (mensais)'!M34</f>
        <v>0</v>
      </c>
      <c r="P26" s="2104">
        <f>+'Receitas (mensais)'!N34</f>
        <v>0</v>
      </c>
      <c r="Q26" s="2104">
        <f>+'Receitas (mensais)'!O34</f>
        <v>0</v>
      </c>
      <c r="R26" s="2104">
        <f>+'Receitas (mensais)'!P34</f>
        <v>0</v>
      </c>
      <c r="S26" s="2105">
        <f t="shared" si="12"/>
        <v>1927.634</v>
      </c>
      <c r="T26" s="2106"/>
      <c r="U26" s="2106"/>
      <c r="V26" s="2106"/>
      <c r="W26" s="2107"/>
      <c r="X26" s="2108"/>
      <c r="Y26" s="2097">
        <f t="shared" si="2"/>
        <v>2.3171462916215892E-4</v>
      </c>
      <c r="AA26" s="2099">
        <f t="shared" si="3"/>
        <v>1.9276340000000001</v>
      </c>
    </row>
    <row r="27" spans="1:28" s="2109" customFormat="1" ht="26.1" hidden="1" customHeight="1" outlineLevel="1">
      <c r="A27" s="2102"/>
      <c r="B27" s="2088" t="s">
        <v>3169</v>
      </c>
      <c r="C27" s="2110" t="str">
        <f>'Receitas (mensais)'!D35</f>
        <v xml:space="preserve">       Transações</v>
      </c>
      <c r="D27" s="2103"/>
      <c r="E27" s="2104"/>
      <c r="F27" s="2146"/>
      <c r="G27" s="2104">
        <f>+'Receitas (mensais)'!E35</f>
        <v>0</v>
      </c>
      <c r="H27" s="2104">
        <f>+'Receitas (mensais)'!F35</f>
        <v>0</v>
      </c>
      <c r="I27" s="2104">
        <f>+'Receitas (mensais)'!G35</f>
        <v>0</v>
      </c>
      <c r="J27" s="2104">
        <f>+'Receitas (mensais)'!H35</f>
        <v>0</v>
      </c>
      <c r="K27" s="2104">
        <f>+'Receitas (mensais)'!I35</f>
        <v>0</v>
      </c>
      <c r="L27" s="2104">
        <f>+'Receitas (mensais)'!J35</f>
        <v>0</v>
      </c>
      <c r="M27" s="2104">
        <f>+'Receitas (mensais)'!K35</f>
        <v>0</v>
      </c>
      <c r="N27" s="2104">
        <f>+'Receitas (mensais)'!L35</f>
        <v>0</v>
      </c>
      <c r="O27" s="2104">
        <f>+'Receitas (mensais)'!M35</f>
        <v>0</v>
      </c>
      <c r="P27" s="2104">
        <f>+'Receitas (mensais)'!N35</f>
        <v>0</v>
      </c>
      <c r="Q27" s="2104">
        <f>+'Receitas (mensais)'!O35</f>
        <v>0</v>
      </c>
      <c r="R27" s="2104">
        <f>+'Receitas (mensais)'!P35</f>
        <v>0</v>
      </c>
      <c r="S27" s="2105">
        <f t="shared" si="12"/>
        <v>0</v>
      </c>
      <c r="T27" s="2106"/>
      <c r="U27" s="2106"/>
      <c r="V27" s="2106"/>
      <c r="W27" s="2107"/>
      <c r="X27" s="2108"/>
      <c r="Y27" s="2097">
        <f t="shared" si="2"/>
        <v>0</v>
      </c>
      <c r="AA27" s="2099">
        <f t="shared" si="3"/>
        <v>0</v>
      </c>
    </row>
    <row r="28" spans="1:28" s="2109" customFormat="1" ht="26.1" hidden="1" customHeight="1" outlineLevel="1">
      <c r="A28" s="2102"/>
      <c r="B28" s="2088" t="s">
        <v>3159</v>
      </c>
      <c r="C28" s="2100" t="str">
        <f>'Receitas (mensais)'!D36</f>
        <v>Diversos</v>
      </c>
      <c r="D28" s="2103"/>
      <c r="E28" s="2104">
        <f>SUM(E29:E33)</f>
        <v>0</v>
      </c>
      <c r="F28" s="2146">
        <f>SUM(F29:F33)</f>
        <v>0</v>
      </c>
      <c r="G28" s="2104">
        <f>SUM(G29:G33)</f>
        <v>0</v>
      </c>
      <c r="H28" s="2104">
        <f t="shared" ref="H28:R28" si="14">SUM(H29:H33)</f>
        <v>0</v>
      </c>
      <c r="I28" s="2104">
        <f t="shared" si="14"/>
        <v>0</v>
      </c>
      <c r="J28" s="2104">
        <f t="shared" si="14"/>
        <v>0</v>
      </c>
      <c r="K28" s="2104">
        <f t="shared" si="14"/>
        <v>0</v>
      </c>
      <c r="L28" s="2104">
        <f t="shared" si="14"/>
        <v>0</v>
      </c>
      <c r="M28" s="2104">
        <f t="shared" si="14"/>
        <v>0</v>
      </c>
      <c r="N28" s="2104">
        <f t="shared" si="14"/>
        <v>0</v>
      </c>
      <c r="O28" s="2104">
        <f t="shared" si="14"/>
        <v>0</v>
      </c>
      <c r="P28" s="2104">
        <f t="shared" si="14"/>
        <v>0</v>
      </c>
      <c r="Q28" s="2104">
        <f t="shared" si="14"/>
        <v>0</v>
      </c>
      <c r="R28" s="2104">
        <f t="shared" si="14"/>
        <v>0</v>
      </c>
      <c r="S28" s="2105">
        <f t="shared" si="12"/>
        <v>0</v>
      </c>
      <c r="T28" s="2106"/>
      <c r="U28" s="2106"/>
      <c r="V28" s="2106"/>
      <c r="W28" s="2107"/>
      <c r="X28" s="2108"/>
      <c r="Y28" s="2097">
        <f t="shared" si="2"/>
        <v>0</v>
      </c>
      <c r="AA28" s="2099">
        <f t="shared" si="3"/>
        <v>0</v>
      </c>
    </row>
    <row r="29" spans="1:28" s="2109" customFormat="1" ht="26.1" hidden="1" customHeight="1" outlineLevel="1">
      <c r="A29" s="2102"/>
      <c r="B29" s="2088" t="s">
        <v>3161</v>
      </c>
      <c r="C29" s="2101" t="str">
        <f>'Receitas (mensais)'!D37</f>
        <v xml:space="preserve">              Imp./Hidroc /Produçao</v>
      </c>
      <c r="D29" s="2103"/>
      <c r="E29" s="2104" t="str">
        <f>'Receitas (mensais)'!C37</f>
        <v>01 02 99 A</v>
      </c>
      <c r="F29" s="2146" t="str">
        <f>'Receitas (mensais)'!D37</f>
        <v xml:space="preserve">              Imp./Hidroc /Produçao</v>
      </c>
      <c r="G29" s="2104">
        <f>'Receitas (mensais)'!E37</f>
        <v>0</v>
      </c>
      <c r="H29" s="2104">
        <f>'Receitas (mensais)'!F37</f>
        <v>0</v>
      </c>
      <c r="I29" s="2104">
        <f>'Receitas (mensais)'!G37</f>
        <v>0</v>
      </c>
      <c r="J29" s="2104">
        <f>'Receitas (mensais)'!H37</f>
        <v>0</v>
      </c>
      <c r="K29" s="2104">
        <f>'Receitas (mensais)'!I37</f>
        <v>0</v>
      </c>
      <c r="L29" s="2104">
        <f>'Receitas (mensais)'!J37</f>
        <v>0</v>
      </c>
      <c r="M29" s="2104">
        <f>'Receitas (mensais)'!K37</f>
        <v>0</v>
      </c>
      <c r="N29" s="2104">
        <f>'Receitas (mensais)'!L37</f>
        <v>0</v>
      </c>
      <c r="O29" s="2104">
        <f>'Receitas (mensais)'!M37</f>
        <v>0</v>
      </c>
      <c r="P29" s="2104">
        <f>'Receitas (mensais)'!N37</f>
        <v>0</v>
      </c>
      <c r="Q29" s="2104">
        <f>'Receitas (mensais)'!O37</f>
        <v>0</v>
      </c>
      <c r="R29" s="2104">
        <f>'Receitas (mensais)'!P37</f>
        <v>0</v>
      </c>
      <c r="S29" s="2105">
        <f t="shared" si="12"/>
        <v>0</v>
      </c>
      <c r="T29" s="2106"/>
      <c r="U29" s="2106"/>
      <c r="V29" s="2106"/>
      <c r="W29" s="2107"/>
      <c r="X29" s="2108"/>
      <c r="Y29" s="2097">
        <f t="shared" si="2"/>
        <v>0</v>
      </c>
      <c r="AA29" s="2099">
        <f t="shared" si="3"/>
        <v>0</v>
      </c>
    </row>
    <row r="30" spans="1:28" s="2109" customFormat="1" ht="26.1" hidden="1" customHeight="1" outlineLevel="1">
      <c r="A30" s="2102"/>
      <c r="B30" s="2088" t="s">
        <v>3162</v>
      </c>
      <c r="C30" s="2101" t="str">
        <f>'Receitas (mensais)'!D38</f>
        <v xml:space="preserve">              Imp./Hidroc /Rendimento</v>
      </c>
      <c r="D30" s="2103"/>
      <c r="E30" s="2104" t="str">
        <f>'Receitas (mensais)'!C38</f>
        <v>01 02 99 B</v>
      </c>
      <c r="F30" s="2146" t="str">
        <f>'Receitas (mensais)'!D38</f>
        <v xml:space="preserve">              Imp./Hidroc /Rendimento</v>
      </c>
      <c r="G30" s="2104">
        <f>'Receitas (mensais)'!E38</f>
        <v>0</v>
      </c>
      <c r="H30" s="2104">
        <f>'Receitas (mensais)'!F38</f>
        <v>0</v>
      </c>
      <c r="I30" s="2104">
        <f>'Receitas (mensais)'!G38</f>
        <v>0</v>
      </c>
      <c r="J30" s="2104">
        <f>'Receitas (mensais)'!H38</f>
        <v>0</v>
      </c>
      <c r="K30" s="2104">
        <f>'Receitas (mensais)'!I38</f>
        <v>0</v>
      </c>
      <c r="L30" s="2104">
        <f>'Receitas (mensais)'!J38</f>
        <v>0</v>
      </c>
      <c r="M30" s="2104">
        <f>'Receitas (mensais)'!K38</f>
        <v>0</v>
      </c>
      <c r="N30" s="2104">
        <f>'Receitas (mensais)'!L38</f>
        <v>0</v>
      </c>
      <c r="O30" s="2104">
        <f>'Receitas (mensais)'!M38</f>
        <v>0</v>
      </c>
      <c r="P30" s="2104">
        <f>'Receitas (mensais)'!N38</f>
        <v>0</v>
      </c>
      <c r="Q30" s="2104">
        <f>'Receitas (mensais)'!O38</f>
        <v>0</v>
      </c>
      <c r="R30" s="2104">
        <f>'Receitas (mensais)'!P38</f>
        <v>0</v>
      </c>
      <c r="S30" s="2105">
        <f t="shared" si="12"/>
        <v>0</v>
      </c>
      <c r="T30" s="2106"/>
      <c r="U30" s="2106"/>
      <c r="V30" s="2106"/>
      <c r="W30" s="2107"/>
      <c r="X30" s="2108"/>
      <c r="Y30" s="2097">
        <f t="shared" si="2"/>
        <v>0</v>
      </c>
      <c r="AA30" s="2099">
        <f t="shared" si="3"/>
        <v>0</v>
      </c>
    </row>
    <row r="31" spans="1:28" s="2109" customFormat="1" ht="26.1" hidden="1" customHeight="1" outlineLevel="1">
      <c r="A31" s="2102"/>
      <c r="B31" s="2088" t="s">
        <v>3245</v>
      </c>
      <c r="C31" s="2101" t="str">
        <f>'Receitas (mensais)'!D39</f>
        <v xml:space="preserve">              Imp./Hidroc. Suplementar</v>
      </c>
      <c r="D31" s="2103"/>
      <c r="E31" s="2104" t="str">
        <f>'Receitas (mensais)'!C39</f>
        <v>01 02 99 C</v>
      </c>
      <c r="F31" s="2146" t="str">
        <f>'Receitas (mensais)'!D39</f>
        <v xml:space="preserve">              Imp./Hidroc. Suplementar</v>
      </c>
      <c r="G31" s="2104">
        <f>'Receitas (mensais)'!E39</f>
        <v>0</v>
      </c>
      <c r="H31" s="2104">
        <f>'Receitas (mensais)'!F39</f>
        <v>0</v>
      </c>
      <c r="I31" s="2104">
        <f>'Receitas (mensais)'!G39</f>
        <v>0</v>
      </c>
      <c r="J31" s="2104">
        <f>'Receitas (mensais)'!H39</f>
        <v>0</v>
      </c>
      <c r="K31" s="2104">
        <f>'Receitas (mensais)'!I39</f>
        <v>0</v>
      </c>
      <c r="L31" s="2104">
        <f>'Receitas (mensais)'!J39</f>
        <v>0</v>
      </c>
      <c r="M31" s="2104">
        <f>'Receitas (mensais)'!K39</f>
        <v>0</v>
      </c>
      <c r="N31" s="2104">
        <f>'Receitas (mensais)'!L39</f>
        <v>0</v>
      </c>
      <c r="O31" s="2104">
        <f>'Receitas (mensais)'!M39</f>
        <v>0</v>
      </c>
      <c r="P31" s="2104">
        <f>'Receitas (mensais)'!N39</f>
        <v>0</v>
      </c>
      <c r="Q31" s="2104">
        <f>'Receitas (mensais)'!O39</f>
        <v>0</v>
      </c>
      <c r="R31" s="2104">
        <f>'Receitas (mensais)'!P39</f>
        <v>0</v>
      </c>
      <c r="S31" s="2105">
        <f t="shared" si="12"/>
        <v>0</v>
      </c>
      <c r="T31" s="2106"/>
      <c r="U31" s="2106"/>
      <c r="V31" s="2106"/>
      <c r="W31" s="2107"/>
      <c r="X31" s="2108"/>
      <c r="Y31" s="2097">
        <f t="shared" si="2"/>
        <v>0</v>
      </c>
      <c r="AA31" s="2099">
        <f t="shared" si="3"/>
        <v>0</v>
      </c>
    </row>
    <row r="32" spans="1:28" s="2109" customFormat="1" ht="26.1" hidden="1" customHeight="1" outlineLevel="1">
      <c r="A32" s="2102"/>
      <c r="B32" s="2088" t="s">
        <v>3246</v>
      </c>
      <c r="C32" s="2101" t="str">
        <f>'Receitas (mensais)'!D40</f>
        <v xml:space="preserve">              Imp./circul veiculos auto</v>
      </c>
      <c r="D32" s="2103"/>
      <c r="E32" s="2104" t="str">
        <f>'Receitas (mensais)'!C40</f>
        <v>01 02 99 D</v>
      </c>
      <c r="F32" s="2146" t="str">
        <f>'Receitas (mensais)'!D40</f>
        <v xml:space="preserve">              Imp./circul veiculos auto</v>
      </c>
      <c r="G32" s="2104">
        <f>'Receitas (mensais)'!E40</f>
        <v>0</v>
      </c>
      <c r="H32" s="2104">
        <f>'Receitas (mensais)'!F40</f>
        <v>0</v>
      </c>
      <c r="I32" s="2104">
        <f>'Receitas (mensais)'!G40</f>
        <v>0</v>
      </c>
      <c r="J32" s="2104">
        <f>'Receitas (mensais)'!H40</f>
        <v>0</v>
      </c>
      <c r="K32" s="2104">
        <f>'Receitas (mensais)'!I40</f>
        <v>0</v>
      </c>
      <c r="L32" s="2104">
        <f>'Receitas (mensais)'!J40</f>
        <v>0</v>
      </c>
      <c r="M32" s="2104">
        <f>'Receitas (mensais)'!K40</f>
        <v>0</v>
      </c>
      <c r="N32" s="2104">
        <f>'Receitas (mensais)'!L40</f>
        <v>0</v>
      </c>
      <c r="O32" s="2104">
        <f>'Receitas (mensais)'!M40</f>
        <v>0</v>
      </c>
      <c r="P32" s="2104">
        <f>'Receitas (mensais)'!N40</f>
        <v>0</v>
      </c>
      <c r="Q32" s="2104">
        <f>'Receitas (mensais)'!O40</f>
        <v>0</v>
      </c>
      <c r="R32" s="2104">
        <f>'Receitas (mensais)'!P40</f>
        <v>0</v>
      </c>
      <c r="S32" s="2105">
        <f t="shared" si="12"/>
        <v>0</v>
      </c>
      <c r="T32" s="2106"/>
      <c r="U32" s="2106"/>
      <c r="V32" s="2106"/>
      <c r="W32" s="2107"/>
      <c r="X32" s="2108"/>
      <c r="Y32" s="2097">
        <f t="shared" si="2"/>
        <v>0</v>
      </c>
      <c r="AA32" s="2099">
        <f t="shared" si="3"/>
        <v>0</v>
      </c>
    </row>
    <row r="33" spans="1:28" s="2109" customFormat="1" ht="26.1" hidden="1" customHeight="1" outlineLevel="1">
      <c r="A33" s="2102"/>
      <c r="B33" s="2088" t="s">
        <v>3247</v>
      </c>
      <c r="C33" s="2101" t="str">
        <f>'Receitas (mensais)'!D41</f>
        <v xml:space="preserve">              Imp. Directos Extintos</v>
      </c>
      <c r="D33" s="2103"/>
      <c r="E33" s="2104" t="str">
        <f>'Receitas (mensais)'!C41</f>
        <v>01 02 99 E</v>
      </c>
      <c r="F33" s="2146" t="str">
        <f>'Receitas (mensais)'!D41</f>
        <v xml:space="preserve">              Imp. Directos Extintos</v>
      </c>
      <c r="G33" s="2104">
        <f>'Receitas (mensais)'!E41</f>
        <v>0</v>
      </c>
      <c r="H33" s="2104">
        <f>'Receitas (mensais)'!F41</f>
        <v>0</v>
      </c>
      <c r="I33" s="2104">
        <f>'Receitas (mensais)'!G41</f>
        <v>0</v>
      </c>
      <c r="J33" s="2104">
        <f>'Receitas (mensais)'!H41</f>
        <v>0</v>
      </c>
      <c r="K33" s="2104">
        <f>'Receitas (mensais)'!I41</f>
        <v>0</v>
      </c>
      <c r="L33" s="2104">
        <f>'Receitas (mensais)'!J41</f>
        <v>0</v>
      </c>
      <c r="M33" s="2104">
        <f>'Receitas (mensais)'!K41</f>
        <v>0</v>
      </c>
      <c r="N33" s="2104">
        <f>'Receitas (mensais)'!L41</f>
        <v>0</v>
      </c>
      <c r="O33" s="2104">
        <f>'Receitas (mensais)'!M41</f>
        <v>0</v>
      </c>
      <c r="P33" s="2104">
        <f>'Receitas (mensais)'!N41</f>
        <v>0</v>
      </c>
      <c r="Q33" s="2104">
        <f>'Receitas (mensais)'!O41</f>
        <v>0</v>
      </c>
      <c r="R33" s="2104">
        <f>'Receitas (mensais)'!P41</f>
        <v>0</v>
      </c>
      <c r="S33" s="2105">
        <f t="shared" si="12"/>
        <v>0</v>
      </c>
      <c r="T33" s="2106"/>
      <c r="U33" s="2106"/>
      <c r="V33" s="2106"/>
      <c r="W33" s="2107"/>
      <c r="X33" s="2108"/>
      <c r="Y33" s="2097">
        <f t="shared" si="2"/>
        <v>0</v>
      </c>
      <c r="AA33" s="2099">
        <f t="shared" si="3"/>
        <v>0</v>
      </c>
    </row>
    <row r="34" spans="1:28" s="2098" customFormat="1" ht="26.25" collapsed="1">
      <c r="A34" s="2087"/>
      <c r="B34" s="2088" t="s">
        <v>414</v>
      </c>
      <c r="C34" s="2112" t="s">
        <v>3248</v>
      </c>
      <c r="D34" s="2090"/>
      <c r="E34" s="2091">
        <f>+'[28]Receitas (mensais)'!$Q$42</f>
        <v>54032306.854000002</v>
      </c>
      <c r="F34" s="2128">
        <f>+F35+F52+F62+F77</f>
        <v>67978851.693000004</v>
      </c>
      <c r="G34" s="2091">
        <f>+G35+G52+G62+G77</f>
        <v>3276604.077</v>
      </c>
      <c r="H34" s="2091">
        <f t="shared" ref="H34:R34" si="15">+H35+H52+H62+H77</f>
        <v>3930718.7149999999</v>
      </c>
      <c r="I34" s="2091">
        <f t="shared" si="15"/>
        <v>3683130.2589999996</v>
      </c>
      <c r="J34" s="2091">
        <f t="shared" si="15"/>
        <v>3341045.412</v>
      </c>
      <c r="K34" s="2091">
        <f t="shared" si="15"/>
        <v>4945356.3110000007</v>
      </c>
      <c r="L34" s="2091">
        <f t="shared" si="15"/>
        <v>6444056.3390000006</v>
      </c>
      <c r="M34" s="2091">
        <f t="shared" si="15"/>
        <v>6103873.2140000006</v>
      </c>
      <c r="N34" s="2091">
        <f t="shared" si="15"/>
        <v>4403614.2952400008</v>
      </c>
      <c r="O34" s="2091">
        <f t="shared" si="15"/>
        <v>3880838.3019999997</v>
      </c>
      <c r="P34" s="2091">
        <f t="shared" si="15"/>
        <v>4238373.9919999996</v>
      </c>
      <c r="Q34" s="2091">
        <f t="shared" si="15"/>
        <v>3153706.2319999998</v>
      </c>
      <c r="R34" s="2091">
        <f t="shared" si="15"/>
        <v>3638968.3030000003</v>
      </c>
      <c r="S34" s="2132">
        <f t="shared" si="12"/>
        <v>51040285.451240011</v>
      </c>
      <c r="T34" s="2093"/>
      <c r="U34" s="2093"/>
      <c r="V34" s="2093"/>
      <c r="W34" s="2094"/>
      <c r="X34" s="2095"/>
      <c r="Y34" s="2096"/>
      <c r="Z34" s="2097"/>
      <c r="AA34" s="2098">
        <f t="shared" si="3"/>
        <v>51040.285451240008</v>
      </c>
      <c r="AB34" s="2099"/>
    </row>
    <row r="35" spans="1:28" s="2098" customFormat="1" ht="26.25" hidden="1" outlineLevel="1">
      <c r="A35" s="2087"/>
      <c r="B35" s="2088" t="s">
        <v>3164</v>
      </c>
      <c r="C35" s="2089" t="str">
        <f>'Receitas (mensais)'!D43</f>
        <v>Impostos s/Transacçoes Intern.</v>
      </c>
      <c r="D35" s="2090"/>
      <c r="E35" s="2091"/>
      <c r="F35" s="2128">
        <f>+F36+F40+F41+F42+F47+F48</f>
        <v>26999378.606000002</v>
      </c>
      <c r="G35" s="2091">
        <f>+G36+G40+G41+G42+G47+G48</f>
        <v>934519.37199999997</v>
      </c>
      <c r="H35" s="2091">
        <f t="shared" ref="H35:R35" si="16">+H36+H40+H41+H42+H47+H48</f>
        <v>1263569.7320000001</v>
      </c>
      <c r="I35" s="2091">
        <f t="shared" si="16"/>
        <v>1156892.848</v>
      </c>
      <c r="J35" s="2091">
        <f t="shared" si="16"/>
        <v>926037.97600000002</v>
      </c>
      <c r="K35" s="2091">
        <f t="shared" si="16"/>
        <v>2159246.98</v>
      </c>
      <c r="L35" s="2091">
        <f t="shared" si="16"/>
        <v>3440013.4730000002</v>
      </c>
      <c r="M35" s="2091">
        <f t="shared" si="16"/>
        <v>3096572.8759999997</v>
      </c>
      <c r="N35" s="2091">
        <f t="shared" si="16"/>
        <v>1828954.9090000002</v>
      </c>
      <c r="O35" s="2091">
        <f t="shared" si="16"/>
        <v>1354387.5929999999</v>
      </c>
      <c r="P35" s="2091">
        <f t="shared" si="16"/>
        <v>1317474.9680000001</v>
      </c>
      <c r="Q35" s="2091">
        <f t="shared" si="16"/>
        <v>774397.25800000003</v>
      </c>
      <c r="R35" s="2091">
        <f t="shared" si="16"/>
        <v>1079708.5520000001</v>
      </c>
      <c r="S35" s="2092">
        <f t="shared" si="12"/>
        <v>19331776.537000004</v>
      </c>
      <c r="T35" s="2093"/>
      <c r="U35" s="2093"/>
      <c r="V35" s="2093"/>
      <c r="W35" s="2094"/>
      <c r="X35" s="2095"/>
      <c r="Y35" s="2096"/>
      <c r="Z35" s="2097"/>
      <c r="AA35" s="2098">
        <f t="shared" si="3"/>
        <v>19331.776537000005</v>
      </c>
      <c r="AB35" s="2099"/>
    </row>
    <row r="36" spans="1:28" s="2109" customFormat="1" ht="26.25" hidden="1" outlineLevel="2">
      <c r="A36" s="2102"/>
      <c r="B36" s="2088" t="s">
        <v>3171</v>
      </c>
      <c r="C36" s="2100" t="s">
        <v>3293</v>
      </c>
      <c r="D36" s="2103"/>
      <c r="E36" s="2104"/>
      <c r="F36" s="2146">
        <f>SUM(F37:F39)</f>
        <v>17052214.486000001</v>
      </c>
      <c r="G36" s="2104">
        <f>SUM(G37:G39)</f>
        <v>807120.74300000002</v>
      </c>
      <c r="H36" s="2104">
        <f t="shared" ref="H36:R36" si="17">SUM(H37:H39)</f>
        <v>1054923.3689999999</v>
      </c>
      <c r="I36" s="2104">
        <f t="shared" si="17"/>
        <v>970267.11399999994</v>
      </c>
      <c r="J36" s="2104">
        <f t="shared" si="17"/>
        <v>803018.07500000007</v>
      </c>
      <c r="K36" s="2104">
        <f t="shared" si="17"/>
        <v>1210067.142</v>
      </c>
      <c r="L36" s="2104">
        <f t="shared" si="17"/>
        <v>942069.34700000007</v>
      </c>
      <c r="M36" s="2104">
        <f t="shared" si="17"/>
        <v>961435.0689999999</v>
      </c>
      <c r="N36" s="2104">
        <f t="shared" si="17"/>
        <v>764205.14400000009</v>
      </c>
      <c r="O36" s="2104">
        <f t="shared" si="17"/>
        <v>873608.23699999996</v>
      </c>
      <c r="P36" s="2104">
        <f t="shared" si="17"/>
        <v>1042581.4680000001</v>
      </c>
      <c r="Q36" s="2104">
        <f t="shared" si="17"/>
        <v>677007.04300000006</v>
      </c>
      <c r="R36" s="2104">
        <f t="shared" si="17"/>
        <v>905389.10400000005</v>
      </c>
      <c r="S36" s="2132">
        <f t="shared" si="12"/>
        <v>11011691.855</v>
      </c>
      <c r="T36" s="2106"/>
      <c r="U36" s="2106"/>
      <c r="V36" s="2106"/>
      <c r="W36" s="2107"/>
      <c r="X36" s="2108"/>
      <c r="Y36" s="2097"/>
      <c r="AA36" s="2099">
        <f t="shared" si="3"/>
        <v>11011.691855000001</v>
      </c>
    </row>
    <row r="37" spans="1:28" s="2109" customFormat="1" ht="26.25" hidden="1" outlineLevel="2">
      <c r="A37" s="2102"/>
      <c r="B37" s="2088" t="s">
        <v>3173</v>
      </c>
      <c r="C37" s="2101" t="str">
        <f>'Receitas (mensais)'!D45</f>
        <v xml:space="preserve">             s/Combustivel</v>
      </c>
      <c r="D37" s="2103"/>
      <c r="E37" s="2104"/>
      <c r="F37" s="2146">
        <v>2017490.0260000001</v>
      </c>
      <c r="G37" s="2104">
        <f>'Receitas (mensais)'!E45</f>
        <v>103328.04700000001</v>
      </c>
      <c r="H37" s="2104">
        <f>'Receitas (mensais)'!F45</f>
        <v>66121.430999999997</v>
      </c>
      <c r="I37" s="2104">
        <f>'Receitas (mensais)'!G45</f>
        <v>76276.698999999993</v>
      </c>
      <c r="J37" s="2104">
        <f>'Receitas (mensais)'!H45</f>
        <v>85359.816999999995</v>
      </c>
      <c r="K37" s="2104">
        <f>'Receitas (mensais)'!I45</f>
        <v>109138.143</v>
      </c>
      <c r="L37" s="2104">
        <f>'Receitas (mensais)'!J45</f>
        <v>79478.796000000002</v>
      </c>
      <c r="M37" s="2104">
        <f>'Receitas (mensais)'!K45</f>
        <v>104706.045</v>
      </c>
      <c r="N37" s="2104">
        <f>'Receitas (mensais)'!L45</f>
        <v>93683.191999999995</v>
      </c>
      <c r="O37" s="2104">
        <f>'Receitas (mensais)'!M45</f>
        <v>107086.446</v>
      </c>
      <c r="P37" s="2104">
        <f>'Receitas (mensais)'!N45</f>
        <v>98082.49</v>
      </c>
      <c r="Q37" s="2104">
        <f>'Receitas (mensais)'!O45</f>
        <v>94958.611000000004</v>
      </c>
      <c r="R37" s="2104">
        <f>'Receitas (mensais)'!P45</f>
        <v>74038.801000000007</v>
      </c>
      <c r="S37" s="2132">
        <f t="shared" si="12"/>
        <v>1092258.5180000002</v>
      </c>
      <c r="T37" s="2106"/>
      <c r="U37" s="2106"/>
      <c r="V37" s="2106"/>
      <c r="W37" s="2107"/>
      <c r="X37" s="2108"/>
      <c r="Y37" s="2097"/>
      <c r="AA37" s="2099">
        <f t="shared" si="3"/>
        <v>1092.2585180000001</v>
      </c>
    </row>
    <row r="38" spans="1:28" s="2109" customFormat="1" ht="26.25" hidden="1" outlineLevel="2">
      <c r="A38" s="2102"/>
      <c r="B38" s="2088" t="s">
        <v>3174</v>
      </c>
      <c r="C38" s="2101" t="str">
        <f>'Receitas (mensais)'!D46</f>
        <v xml:space="preserve">             s/Arroz</v>
      </c>
      <c r="D38" s="2103"/>
      <c r="E38" s="2104"/>
      <c r="F38" s="2146">
        <v>2299448.2850000001</v>
      </c>
      <c r="G38" s="2104">
        <f>'Receitas (mensais)'!E46</f>
        <v>174630.39199999999</v>
      </c>
      <c r="H38" s="2104">
        <f>'Receitas (mensais)'!F46</f>
        <v>175065.84700000001</v>
      </c>
      <c r="I38" s="2104">
        <f>'Receitas (mensais)'!G46</f>
        <v>177459.10699999999</v>
      </c>
      <c r="J38" s="2104">
        <f>'Receitas (mensais)'!H46</f>
        <v>83532.997000000003</v>
      </c>
      <c r="K38" s="2104">
        <f>'Receitas (mensais)'!I46</f>
        <v>244559.45199999999</v>
      </c>
      <c r="L38" s="2104">
        <f>'Receitas (mensais)'!J46</f>
        <v>125811.65399999999</v>
      </c>
      <c r="M38" s="2104">
        <f>'Receitas (mensais)'!K46</f>
        <v>118612.28</v>
      </c>
      <c r="N38" s="2104">
        <f>'Receitas (mensais)'!L46</f>
        <v>154990.69200000001</v>
      </c>
      <c r="O38" s="2104">
        <f>'Receitas (mensais)'!M46</f>
        <v>105027.40399999999</v>
      </c>
      <c r="P38" s="2104">
        <f>'Receitas (mensais)'!N46</f>
        <v>177853.671</v>
      </c>
      <c r="Q38" s="2104">
        <f>'Receitas (mensais)'!O46</f>
        <v>58874.154000000002</v>
      </c>
      <c r="R38" s="2104">
        <f>'Receitas (mensais)'!P46</f>
        <v>74439.854000000007</v>
      </c>
      <c r="S38" s="2132">
        <f t="shared" si="12"/>
        <v>1670857.5040000002</v>
      </c>
      <c r="T38" s="2106"/>
      <c r="U38" s="2106"/>
      <c r="V38" s="2106"/>
      <c r="W38" s="2107"/>
      <c r="X38" s="2108"/>
      <c r="Y38" s="2097"/>
      <c r="AA38" s="2099">
        <f t="shared" si="3"/>
        <v>1670.8575040000003</v>
      </c>
    </row>
    <row r="39" spans="1:28" s="2098" customFormat="1" ht="26.25" hidden="1" outlineLevel="2">
      <c r="A39" s="2087" t="s">
        <v>667</v>
      </c>
      <c r="B39" s="2088" t="s">
        <v>3175</v>
      </c>
      <c r="C39" s="2101" t="str">
        <f>'Receitas (mensais)'!D47</f>
        <v xml:space="preserve">            s/Outras importaçoes</v>
      </c>
      <c r="D39" s="2090"/>
      <c r="E39" s="2104"/>
      <c r="F39" s="2146">
        <v>12735276.175000001</v>
      </c>
      <c r="G39" s="2104">
        <f>'Receitas (mensais)'!E47</f>
        <v>529162.304</v>
      </c>
      <c r="H39" s="2104">
        <f>'Receitas (mensais)'!F47</f>
        <v>813736.09100000001</v>
      </c>
      <c r="I39" s="2104">
        <f>'Receitas (mensais)'!G47</f>
        <v>716531.30799999996</v>
      </c>
      <c r="J39" s="2104">
        <f>'Receitas (mensais)'!H47</f>
        <v>634125.26100000006</v>
      </c>
      <c r="K39" s="2104">
        <f>'Receitas (mensais)'!I47</f>
        <v>856369.54700000002</v>
      </c>
      <c r="L39" s="2104">
        <f>'Receitas (mensais)'!J47</f>
        <v>736778.897</v>
      </c>
      <c r="M39" s="2104">
        <f>'Receitas (mensais)'!K47</f>
        <v>738116.74399999995</v>
      </c>
      <c r="N39" s="2104">
        <f>'Receitas (mensais)'!L47</f>
        <v>515531.26</v>
      </c>
      <c r="O39" s="2104">
        <f>'Receitas (mensais)'!M47</f>
        <v>661494.38699999999</v>
      </c>
      <c r="P39" s="2104">
        <f>'Receitas (mensais)'!N47</f>
        <v>766645.30700000003</v>
      </c>
      <c r="Q39" s="2104">
        <f>'Receitas (mensais)'!O47</f>
        <v>523174.27799999999</v>
      </c>
      <c r="R39" s="2104">
        <f>'Receitas (mensais)'!P47</f>
        <v>756910.44900000002</v>
      </c>
      <c r="S39" s="2132">
        <f t="shared" si="12"/>
        <v>8248575.8329999996</v>
      </c>
      <c r="T39" s="2093">
        <f>SUM(G39:L39)</f>
        <v>4286703.4079999998</v>
      </c>
      <c r="U39" s="2093">
        <f>SUM(G39:O39)</f>
        <v>6201845.7989999996</v>
      </c>
      <c r="V39" s="2093">
        <f>S39</f>
        <v>8248575.8329999996</v>
      </c>
      <c r="W39" s="2094">
        <f>S39/F39*100</f>
        <v>64.769508879535536</v>
      </c>
      <c r="X39" s="2096"/>
      <c r="Y39" s="2097"/>
      <c r="AA39" s="2099">
        <f t="shared" si="3"/>
        <v>8248.575832999999</v>
      </c>
    </row>
    <row r="40" spans="1:28" s="2109" customFormat="1" ht="26.25" hidden="1" outlineLevel="2">
      <c r="A40" s="2102"/>
      <c r="B40" s="2111" t="s">
        <v>3172</v>
      </c>
      <c r="C40" s="2100" t="str">
        <f>'Receitas (mensais)'!D49</f>
        <v>Direitos de exportaçao</v>
      </c>
      <c r="D40" s="2103"/>
      <c r="E40" s="2104"/>
      <c r="F40" s="2146"/>
      <c r="G40" s="2104">
        <f>'Receitas (mensais)'!E49</f>
        <v>0</v>
      </c>
      <c r="H40" s="2104">
        <f>'Receitas (mensais)'!F49</f>
        <v>0</v>
      </c>
      <c r="I40" s="2104">
        <f>'Receitas (mensais)'!G49</f>
        <v>0</v>
      </c>
      <c r="J40" s="2104">
        <f>'Receitas (mensais)'!H49</f>
        <v>0</v>
      </c>
      <c r="K40" s="2104">
        <f>'Receitas (mensais)'!I49</f>
        <v>0</v>
      </c>
      <c r="L40" s="2104">
        <f>'Receitas (mensais)'!J49</f>
        <v>0</v>
      </c>
      <c r="M40" s="2104">
        <f>'Receitas (mensais)'!K49</f>
        <v>0</v>
      </c>
      <c r="N40" s="2104">
        <f>'Receitas (mensais)'!L49</f>
        <v>0</v>
      </c>
      <c r="O40" s="2104">
        <f>'Receitas (mensais)'!M49</f>
        <v>0</v>
      </c>
      <c r="P40" s="2104">
        <f>'Receitas (mensais)'!N49</f>
        <v>0</v>
      </c>
      <c r="Q40" s="2104">
        <f>'Receitas (mensais)'!O49</f>
        <v>0</v>
      </c>
      <c r="R40" s="2104">
        <f>'Receitas (mensais)'!P49</f>
        <v>0</v>
      </c>
      <c r="S40" s="2132">
        <f t="shared" si="12"/>
        <v>0</v>
      </c>
      <c r="T40" s="2106"/>
      <c r="U40" s="2106"/>
      <c r="V40" s="2106"/>
      <c r="W40" s="2107"/>
      <c r="X40" s="2108"/>
      <c r="Y40" s="2097"/>
      <c r="AA40" s="2099">
        <f t="shared" si="3"/>
        <v>0</v>
      </c>
    </row>
    <row r="41" spans="1:28" s="2098" customFormat="1" ht="26.25" hidden="1" outlineLevel="2">
      <c r="A41" s="2087"/>
      <c r="B41" s="2111" t="s">
        <v>3176</v>
      </c>
      <c r="C41" s="2100" t="str">
        <f>'Receitas (mensais)'!D50</f>
        <v>Imposto extraordinario/castanha caju</v>
      </c>
      <c r="D41" s="2090"/>
      <c r="E41" s="2104"/>
      <c r="F41" s="2146">
        <v>7820146.9730000002</v>
      </c>
      <c r="G41" s="2104">
        <f>'Receitas (mensais)'!E50</f>
        <v>0</v>
      </c>
      <c r="H41" s="2104">
        <f>'Receitas (mensais)'!F50</f>
        <v>21394.312999999998</v>
      </c>
      <c r="I41" s="2104">
        <f>'Receitas (mensais)'!G50</f>
        <v>0</v>
      </c>
      <c r="J41" s="2104">
        <f>'Receitas (mensais)'!H50</f>
        <v>1001.449</v>
      </c>
      <c r="K41" s="2104">
        <f>'Receitas (mensais)'!I50</f>
        <v>748753.99199999997</v>
      </c>
      <c r="L41" s="2104">
        <f>'Receitas (mensais)'!J50</f>
        <v>2358374.6260000002</v>
      </c>
      <c r="M41" s="2104">
        <f>'Receitas (mensais)'!K50</f>
        <v>1974911.254</v>
      </c>
      <c r="N41" s="2104">
        <f>'Receitas (mensais)'!L50</f>
        <v>947127.93099999998</v>
      </c>
      <c r="O41" s="2104">
        <f>'Receitas (mensais)'!M50</f>
        <v>317895.61099999998</v>
      </c>
      <c r="P41" s="2104">
        <f>'Receitas (mensais)'!N50</f>
        <v>107037.03599999999</v>
      </c>
      <c r="Q41" s="2104">
        <f>'Receitas (mensais)'!O50</f>
        <v>5403.5410000000002</v>
      </c>
      <c r="R41" s="2104">
        <f>'Receitas (mensais)'!P50</f>
        <v>33555.9</v>
      </c>
      <c r="S41" s="2132">
        <f t="shared" si="12"/>
        <v>6515455.6529999999</v>
      </c>
      <c r="T41" s="2093"/>
      <c r="U41" s="2093"/>
      <c r="V41" s="2093"/>
      <c r="W41" s="2094"/>
      <c r="X41" s="2096"/>
      <c r="Y41" s="2097"/>
      <c r="AA41" s="2099">
        <f t="shared" si="3"/>
        <v>6515.455653</v>
      </c>
    </row>
    <row r="42" spans="1:28" s="2098" customFormat="1" ht="26.25" hidden="1" outlineLevel="2">
      <c r="A42" s="2087"/>
      <c r="B42" s="2111" t="s">
        <v>3177</v>
      </c>
      <c r="C42" s="2100" t="str">
        <f>'Receitas (mensais)'!D51</f>
        <v>Serviços aduaneiros</v>
      </c>
      <c r="D42" s="2090"/>
      <c r="E42" s="2091">
        <f>SUM(E43:E46)</f>
        <v>0</v>
      </c>
      <c r="F42" s="2128">
        <f>SUM(F43:F46)</f>
        <v>0</v>
      </c>
      <c r="G42" s="2091">
        <f>SUM(G43:G46)</f>
        <v>0</v>
      </c>
      <c r="H42" s="2091">
        <f t="shared" ref="H42:R42" si="18">SUM(H43:H46)</f>
        <v>0</v>
      </c>
      <c r="I42" s="2091">
        <f t="shared" si="18"/>
        <v>0</v>
      </c>
      <c r="J42" s="2091">
        <f t="shared" si="18"/>
        <v>0</v>
      </c>
      <c r="K42" s="2091">
        <f>SUM(K43:K46)</f>
        <v>0</v>
      </c>
      <c r="L42" s="2091">
        <f t="shared" si="18"/>
        <v>0</v>
      </c>
      <c r="M42" s="2091">
        <f t="shared" si="18"/>
        <v>220.40199999999999</v>
      </c>
      <c r="N42" s="2091">
        <f t="shared" si="18"/>
        <v>793.44600000000003</v>
      </c>
      <c r="O42" s="2091">
        <f t="shared" si="18"/>
        <v>0</v>
      </c>
      <c r="P42" s="2091">
        <f t="shared" si="18"/>
        <v>0</v>
      </c>
      <c r="Q42" s="2091">
        <f t="shared" si="18"/>
        <v>0</v>
      </c>
      <c r="R42" s="2091">
        <f t="shared" si="18"/>
        <v>0</v>
      </c>
      <c r="S42" s="2132">
        <f t="shared" si="12"/>
        <v>1013.848</v>
      </c>
      <c r="T42" s="2093"/>
      <c r="U42" s="2093"/>
      <c r="V42" s="2093"/>
      <c r="W42" s="2094"/>
      <c r="X42" s="2096"/>
      <c r="Y42" s="2097"/>
      <c r="AA42" s="2099">
        <f t="shared" si="3"/>
        <v>1.0138479999999999</v>
      </c>
    </row>
    <row r="43" spans="1:28" s="2098" customFormat="1" ht="26.25" hidden="1" outlineLevel="2">
      <c r="A43" s="2087"/>
      <c r="B43" s="2111" t="s">
        <v>3179</v>
      </c>
      <c r="C43" s="2101" t="str">
        <f>'Receitas (mensais)'!D52</f>
        <v xml:space="preserve">           Arroz</v>
      </c>
      <c r="D43" s="2090"/>
      <c r="E43" s="2091"/>
      <c r="F43" s="2128"/>
      <c r="G43" s="2091">
        <f>'Receitas (mensais)'!E52</f>
        <v>0</v>
      </c>
      <c r="H43" s="2091">
        <f>'Receitas (mensais)'!F52</f>
        <v>0</v>
      </c>
      <c r="I43" s="2091">
        <f>'Receitas (mensais)'!G52</f>
        <v>0</v>
      </c>
      <c r="J43" s="2091">
        <f>'Receitas (mensais)'!H52</f>
        <v>0</v>
      </c>
      <c r="K43" s="2091">
        <f>'Receitas (mensais)'!I52</f>
        <v>0</v>
      </c>
      <c r="L43" s="2091">
        <f>'Receitas (mensais)'!J52</f>
        <v>0</v>
      </c>
      <c r="M43" s="2091">
        <f>'Receitas (mensais)'!K52</f>
        <v>0</v>
      </c>
      <c r="N43" s="2091">
        <f>'Receitas (mensais)'!L52</f>
        <v>0</v>
      </c>
      <c r="O43" s="2091">
        <f>'Receitas (mensais)'!M52</f>
        <v>0</v>
      </c>
      <c r="P43" s="2091">
        <f>'Receitas (mensais)'!N52</f>
        <v>0</v>
      </c>
      <c r="Q43" s="2091">
        <f>'Receitas (mensais)'!O52</f>
        <v>0</v>
      </c>
      <c r="R43" s="2091">
        <f>'Receitas (mensais)'!P52</f>
        <v>0</v>
      </c>
      <c r="S43" s="2132">
        <f t="shared" si="12"/>
        <v>0</v>
      </c>
      <c r="T43" s="2093"/>
      <c r="U43" s="2093"/>
      <c r="V43" s="2093"/>
      <c r="W43" s="2094"/>
      <c r="X43" s="2096"/>
      <c r="Y43" s="2097"/>
      <c r="AA43" s="2099">
        <f t="shared" si="3"/>
        <v>0</v>
      </c>
    </row>
    <row r="44" spans="1:28" s="2098" customFormat="1" ht="26.25" hidden="1" outlineLevel="2">
      <c r="A44" s="2087"/>
      <c r="B44" s="2111" t="s">
        <v>3180</v>
      </c>
      <c r="C44" s="2101" t="str">
        <f>'Receitas (mensais)'!D53</f>
        <v xml:space="preserve">          Combustivel</v>
      </c>
      <c r="D44" s="2090"/>
      <c r="E44" s="2091"/>
      <c r="F44" s="2128"/>
      <c r="G44" s="2091">
        <f>'Receitas (mensais)'!E53</f>
        <v>0</v>
      </c>
      <c r="H44" s="2091">
        <f>'Receitas (mensais)'!F53</f>
        <v>0</v>
      </c>
      <c r="I44" s="2091">
        <f>'Receitas (mensais)'!G53</f>
        <v>0</v>
      </c>
      <c r="J44" s="2091">
        <f>'Receitas (mensais)'!H53</f>
        <v>0</v>
      </c>
      <c r="K44" s="2091">
        <f>'Receitas (mensais)'!I53</f>
        <v>0</v>
      </c>
      <c r="L44" s="2091">
        <f>'Receitas (mensais)'!J53</f>
        <v>0</v>
      </c>
      <c r="M44" s="2091">
        <f>'Receitas (mensais)'!K53</f>
        <v>0</v>
      </c>
      <c r="N44" s="2091">
        <f>'Receitas (mensais)'!L53</f>
        <v>0</v>
      </c>
      <c r="O44" s="2091">
        <f>'Receitas (mensais)'!M53</f>
        <v>0</v>
      </c>
      <c r="P44" s="2091">
        <f>'Receitas (mensais)'!N53</f>
        <v>0</v>
      </c>
      <c r="Q44" s="2091">
        <f>'Receitas (mensais)'!O53</f>
        <v>0</v>
      </c>
      <c r="R44" s="2091">
        <f>'Receitas (mensais)'!P53</f>
        <v>0</v>
      </c>
      <c r="S44" s="2132">
        <f t="shared" si="12"/>
        <v>0</v>
      </c>
      <c r="T44" s="2093"/>
      <c r="U44" s="2093"/>
      <c r="V44" s="2093"/>
      <c r="W44" s="2094"/>
      <c r="X44" s="2096"/>
      <c r="Y44" s="2097"/>
      <c r="AA44" s="2099">
        <f t="shared" si="3"/>
        <v>0</v>
      </c>
    </row>
    <row r="45" spans="1:28" s="2098" customFormat="1" ht="26.25" hidden="1" outlineLevel="2">
      <c r="A45" s="2087"/>
      <c r="B45" s="2111" t="s">
        <v>3181</v>
      </c>
      <c r="C45" s="2101" t="str">
        <f>'Receitas (mensais)'!D54</f>
        <v xml:space="preserve">          Exportaçao</v>
      </c>
      <c r="D45" s="2090"/>
      <c r="E45" s="2091"/>
      <c r="F45" s="2128"/>
      <c r="G45" s="2091">
        <f>'Receitas (mensais)'!E54</f>
        <v>0</v>
      </c>
      <c r="H45" s="2091">
        <f>'Receitas (mensais)'!F54</f>
        <v>0</v>
      </c>
      <c r="I45" s="2091">
        <f>'Receitas (mensais)'!G54</f>
        <v>0</v>
      </c>
      <c r="J45" s="2091">
        <f>'Receitas (mensais)'!H54</f>
        <v>0</v>
      </c>
      <c r="K45" s="2091">
        <f>'Receitas (mensais)'!I54</f>
        <v>0</v>
      </c>
      <c r="L45" s="2091">
        <f>'Receitas (mensais)'!J54</f>
        <v>0</v>
      </c>
      <c r="M45" s="2091">
        <f>'Receitas (mensais)'!K54</f>
        <v>0</v>
      </c>
      <c r="N45" s="2091">
        <f>'Receitas (mensais)'!L54</f>
        <v>0</v>
      </c>
      <c r="O45" s="2091">
        <f>'Receitas (mensais)'!M54</f>
        <v>0</v>
      </c>
      <c r="P45" s="2091">
        <f>'Receitas (mensais)'!N54</f>
        <v>0</v>
      </c>
      <c r="Q45" s="2091">
        <f>'Receitas (mensais)'!O54</f>
        <v>0</v>
      </c>
      <c r="R45" s="2091">
        <f>'Receitas (mensais)'!P54</f>
        <v>0</v>
      </c>
      <c r="S45" s="2132">
        <f t="shared" si="12"/>
        <v>0</v>
      </c>
      <c r="T45" s="2093"/>
      <c r="U45" s="2093"/>
      <c r="V45" s="2093"/>
      <c r="W45" s="2094"/>
      <c r="X45" s="2096"/>
      <c r="Y45" s="2097"/>
      <c r="AA45" s="2099">
        <f t="shared" si="3"/>
        <v>0</v>
      </c>
    </row>
    <row r="46" spans="1:28" s="2098" customFormat="1" ht="26.25" hidden="1" outlineLevel="2">
      <c r="A46" s="2087"/>
      <c r="B46" s="2111" t="s">
        <v>3182</v>
      </c>
      <c r="C46" s="2101" t="str">
        <f>'Receitas (mensais)'!D55</f>
        <v xml:space="preserve">         Outros impostos (madeira)</v>
      </c>
      <c r="D46" s="2090"/>
      <c r="E46" s="2091"/>
      <c r="F46" s="2128"/>
      <c r="G46" s="2091">
        <f>'Receitas (mensais)'!E55</f>
        <v>0</v>
      </c>
      <c r="H46" s="2091">
        <f>'Receitas (mensais)'!F55</f>
        <v>0</v>
      </c>
      <c r="I46" s="2091">
        <f>'Receitas (mensais)'!G55</f>
        <v>0</v>
      </c>
      <c r="J46" s="2091">
        <f>'Receitas (mensais)'!H55</f>
        <v>0</v>
      </c>
      <c r="K46" s="2091">
        <f>'Receitas (mensais)'!I55</f>
        <v>0</v>
      </c>
      <c r="L46" s="2091">
        <f>'Receitas (mensais)'!J55</f>
        <v>0</v>
      </c>
      <c r="M46" s="2091">
        <f>'Receitas (mensais)'!K55</f>
        <v>220.40199999999999</v>
      </c>
      <c r="N46" s="2091">
        <f>'Receitas (mensais)'!L55</f>
        <v>793.44600000000003</v>
      </c>
      <c r="O46" s="2091">
        <f>'Receitas (mensais)'!M55</f>
        <v>0</v>
      </c>
      <c r="P46" s="2091">
        <f>'Receitas (mensais)'!N55</f>
        <v>0</v>
      </c>
      <c r="Q46" s="2091">
        <f>'Receitas (mensais)'!O55</f>
        <v>0</v>
      </c>
      <c r="R46" s="2091">
        <f>'Receitas (mensais)'!P55</f>
        <v>0</v>
      </c>
      <c r="S46" s="2132">
        <f t="shared" si="12"/>
        <v>1013.848</v>
      </c>
      <c r="T46" s="2093"/>
      <c r="U46" s="2093"/>
      <c r="V46" s="2093"/>
      <c r="W46" s="2094"/>
      <c r="X46" s="2096"/>
      <c r="Y46" s="2097"/>
      <c r="AA46" s="2099">
        <f t="shared" si="3"/>
        <v>1.0138479999999999</v>
      </c>
    </row>
    <row r="47" spans="1:28" s="2098" customFormat="1" ht="26.25" hidden="1" outlineLevel="2">
      <c r="A47" s="2087"/>
      <c r="B47" s="2111" t="s">
        <v>3178</v>
      </c>
      <c r="C47" s="2100" t="str">
        <f>'Receitas (mensais)'!D56</f>
        <v>Isençoes aduaneiras</v>
      </c>
      <c r="D47" s="2090"/>
      <c r="E47" s="2091"/>
      <c r="F47" s="2128"/>
      <c r="G47" s="2091">
        <f>'Receitas (mensais)'!E56</f>
        <v>0</v>
      </c>
      <c r="H47" s="2091">
        <f>'Receitas (mensais)'!F56</f>
        <v>0</v>
      </c>
      <c r="I47" s="2091">
        <f>'Receitas (mensais)'!G56</f>
        <v>0</v>
      </c>
      <c r="J47" s="2091">
        <f>'Receitas (mensais)'!H56</f>
        <v>0</v>
      </c>
      <c r="K47" s="2091">
        <f>'Receitas (mensais)'!I56</f>
        <v>0</v>
      </c>
      <c r="L47" s="2091">
        <f>'Receitas (mensais)'!J56</f>
        <v>0</v>
      </c>
      <c r="M47" s="2091">
        <f>'Receitas (mensais)'!K56</f>
        <v>0</v>
      </c>
      <c r="N47" s="2091">
        <f>'Receitas (mensais)'!L56</f>
        <v>0</v>
      </c>
      <c r="O47" s="2091">
        <f>'Receitas (mensais)'!M56</f>
        <v>0</v>
      </c>
      <c r="P47" s="2091">
        <f>'Receitas (mensais)'!N56</f>
        <v>0</v>
      </c>
      <c r="Q47" s="2091">
        <f>'Receitas (mensais)'!O56</f>
        <v>0</v>
      </c>
      <c r="R47" s="2091">
        <f>'Receitas (mensais)'!P56</f>
        <v>0</v>
      </c>
      <c r="S47" s="2132">
        <f t="shared" si="12"/>
        <v>0</v>
      </c>
      <c r="T47" s="2093"/>
      <c r="U47" s="2093"/>
      <c r="V47" s="2093"/>
      <c r="W47" s="2094"/>
      <c r="X47" s="2096"/>
      <c r="Y47" s="2097"/>
      <c r="AA47" s="2099">
        <f t="shared" si="3"/>
        <v>0</v>
      </c>
    </row>
    <row r="48" spans="1:28" s="2098" customFormat="1" ht="26.25" hidden="1" outlineLevel="2">
      <c r="A48" s="2087"/>
      <c r="B48" s="2111" t="s">
        <v>3183</v>
      </c>
      <c r="C48" s="2100" t="str">
        <f>'Receitas (mensais)'!D57</f>
        <v xml:space="preserve">Outros </v>
      </c>
      <c r="D48" s="2090"/>
      <c r="E48" s="2091"/>
      <c r="F48" s="2128">
        <f>SUM(F49:F51)</f>
        <v>2127017.1469999999</v>
      </c>
      <c r="G48" s="2091">
        <f>SUM(G49:G51)</f>
        <v>127398.62899999999</v>
      </c>
      <c r="H48" s="2091">
        <f t="shared" ref="H48:R48" si="19">SUM(H49:H51)</f>
        <v>187252.05</v>
      </c>
      <c r="I48" s="2091">
        <f t="shared" si="19"/>
        <v>186625.734</v>
      </c>
      <c r="J48" s="2091">
        <f t="shared" si="19"/>
        <v>122018.45199999999</v>
      </c>
      <c r="K48" s="2091">
        <f t="shared" si="19"/>
        <v>200425.84599999999</v>
      </c>
      <c r="L48" s="2091">
        <f t="shared" si="19"/>
        <v>139569.5</v>
      </c>
      <c r="M48" s="2091">
        <f t="shared" si="19"/>
        <v>160006.15100000001</v>
      </c>
      <c r="N48" s="2091">
        <f t="shared" si="19"/>
        <v>116828.38799999999</v>
      </c>
      <c r="O48" s="2091">
        <f t="shared" si="19"/>
        <v>162883.745</v>
      </c>
      <c r="P48" s="2091">
        <f t="shared" si="19"/>
        <v>167856.46400000001</v>
      </c>
      <c r="Q48" s="2091">
        <f t="shared" si="19"/>
        <v>91986.673999999999</v>
      </c>
      <c r="R48" s="2091">
        <f t="shared" si="19"/>
        <v>140763.54800000001</v>
      </c>
      <c r="S48" s="2132">
        <f t="shared" si="12"/>
        <v>1803615.1809999999</v>
      </c>
      <c r="T48" s="2093"/>
      <c r="U48" s="2093"/>
      <c r="V48" s="2093"/>
      <c r="W48" s="2094"/>
      <c r="X48" s="2096"/>
      <c r="Y48" s="2097"/>
      <c r="AA48" s="2099">
        <f t="shared" si="3"/>
        <v>1803.6151809999999</v>
      </c>
    </row>
    <row r="49" spans="1:28" s="2098" customFormat="1" ht="26.25" hidden="1" outlineLevel="2">
      <c r="A49" s="2087"/>
      <c r="B49" s="2111" t="s">
        <v>3184</v>
      </c>
      <c r="C49" s="2112" t="str">
        <f>'Receitas (mensais)'!D58</f>
        <v xml:space="preserve">                Imposto Comunitario de Solidariede (PCS)</v>
      </c>
      <c r="D49" s="2090"/>
      <c r="E49" s="2091"/>
      <c r="F49" s="2128">
        <v>830057.84</v>
      </c>
      <c r="G49" s="2091">
        <f>'Receitas (mensais)'!E58</f>
        <v>41812.332000000002</v>
      </c>
      <c r="H49" s="2091">
        <f>'Receitas (mensais)'!F58</f>
        <v>63043.622000000003</v>
      </c>
      <c r="I49" s="2091">
        <f>'Receitas (mensais)'!G58</f>
        <v>62540.23</v>
      </c>
      <c r="J49" s="2091">
        <f>'Receitas (mensais)'!H58</f>
        <v>39813.137000000002</v>
      </c>
      <c r="K49" s="2091">
        <f>'Receitas (mensais)'!I58</f>
        <v>65799.686000000002</v>
      </c>
      <c r="L49" s="2091">
        <f>'Receitas (mensais)'!J58</f>
        <v>45400.546000000002</v>
      </c>
      <c r="M49" s="2091">
        <f>'Receitas (mensais)'!K58</f>
        <v>52182.546000000002</v>
      </c>
      <c r="N49" s="2091">
        <f>'Receitas (mensais)'!L58</f>
        <v>38478.807000000001</v>
      </c>
      <c r="O49" s="2091">
        <f>'Receitas (mensais)'!M58</f>
        <v>53721.669000000002</v>
      </c>
      <c r="P49" s="2091">
        <f>'Receitas (mensais)'!N58</f>
        <v>56361.576999999997</v>
      </c>
      <c r="Q49" s="2091">
        <f>'Receitas (mensais)'!O58</f>
        <v>30033.223000000002</v>
      </c>
      <c r="R49" s="2091">
        <f>'Receitas (mensais)'!P58</f>
        <v>47016.337</v>
      </c>
      <c r="S49" s="2132">
        <f t="shared" si="12"/>
        <v>596203.71200000006</v>
      </c>
      <c r="T49" s="2093"/>
      <c r="U49" s="2093"/>
      <c r="V49" s="2093"/>
      <c r="W49" s="2094"/>
      <c r="X49" s="2096"/>
      <c r="Y49" s="2097"/>
      <c r="AA49" s="2099">
        <f t="shared" si="3"/>
        <v>596.20371200000011</v>
      </c>
    </row>
    <row r="50" spans="1:28" s="2098" customFormat="1" ht="26.25" hidden="1" outlineLevel="2">
      <c r="A50" s="2087"/>
      <c r="B50" s="2111" t="s">
        <v>3185</v>
      </c>
      <c r="C50" s="2112" t="str">
        <f>'Receitas (mensais)'!D59</f>
        <v xml:space="preserve">               Taxa Informatica (RS)</v>
      </c>
      <c r="D50" s="2090"/>
      <c r="E50" s="2091"/>
      <c r="F50" s="2128">
        <v>821253.12100000004</v>
      </c>
      <c r="G50" s="2091">
        <f>'Receitas (mensais)'!E59</f>
        <v>53311.127999999997</v>
      </c>
      <c r="H50" s="2091">
        <f>'Receitas (mensais)'!F59</f>
        <v>79942.725999999995</v>
      </c>
      <c r="I50" s="2091">
        <f>'Receitas (mensais)'!G59</f>
        <v>79912.448000000004</v>
      </c>
      <c r="J50" s="2091">
        <f>'Receitas (mensais)'!H59</f>
        <v>51608.436999999998</v>
      </c>
      <c r="K50" s="2091">
        <f>'Receitas (mensais)'!I59</f>
        <v>85085.702999999994</v>
      </c>
      <c r="L50" s="2091">
        <f>'Receitas (mensais)'!J59</f>
        <v>59147.451000000001</v>
      </c>
      <c r="M50" s="2091">
        <f>'Receitas (mensais)'!K59</f>
        <v>66730.91</v>
      </c>
      <c r="N50" s="2091">
        <f>'Receitas (mensais)'!L59</f>
        <v>48810.796999999999</v>
      </c>
      <c r="O50" s="2091">
        <f>'Receitas (mensais)'!M59</f>
        <v>67996.126999999993</v>
      </c>
      <c r="P50" s="2091">
        <f>'Receitas (mensais)'!N59</f>
        <v>70945.623999999996</v>
      </c>
      <c r="Q50" s="2091">
        <f>'Receitas (mensais)'!O59</f>
        <v>37876.623</v>
      </c>
      <c r="R50" s="2091">
        <f>'Receitas (mensais)'!P59</f>
        <v>59155.161</v>
      </c>
      <c r="S50" s="2132">
        <f t="shared" si="12"/>
        <v>760523.13499999989</v>
      </c>
      <c r="T50" s="2093"/>
      <c r="U50" s="2093"/>
      <c r="V50" s="2093"/>
      <c r="W50" s="2094"/>
      <c r="X50" s="2096"/>
      <c r="Y50" s="2097"/>
      <c r="AA50" s="2099">
        <f t="shared" si="3"/>
        <v>760.52313499999991</v>
      </c>
    </row>
    <row r="51" spans="1:28" s="2098" customFormat="1" ht="26.25" hidden="1" outlineLevel="2">
      <c r="A51" s="2087"/>
      <c r="B51" s="2111" t="s">
        <v>3186</v>
      </c>
      <c r="C51" s="2112" t="str">
        <f>'Receitas (mensais)'!D60</f>
        <v xml:space="preserve">               Imposto Comunitario (PC-CDEAO)</v>
      </c>
      <c r="D51" s="2090"/>
      <c r="E51" s="2091"/>
      <c r="F51" s="2128">
        <v>475706.18599999999</v>
      </c>
      <c r="G51" s="2091">
        <f>'Receitas (mensais)'!E60</f>
        <v>32275.169000000002</v>
      </c>
      <c r="H51" s="2091">
        <f>'Receitas (mensais)'!F60</f>
        <v>44265.701999999997</v>
      </c>
      <c r="I51" s="2091">
        <f>'Receitas (mensais)'!G60</f>
        <v>44173.055999999997</v>
      </c>
      <c r="J51" s="2091">
        <f>'Receitas (mensais)'!H60</f>
        <v>30596.878000000001</v>
      </c>
      <c r="K51" s="2091">
        <f>'Receitas (mensais)'!I60</f>
        <v>49540.457000000002</v>
      </c>
      <c r="L51" s="2091">
        <f>'Receitas (mensais)'!J60</f>
        <v>35021.502999999997</v>
      </c>
      <c r="M51" s="2091">
        <f>'Receitas (mensais)'!K60</f>
        <v>41092.695</v>
      </c>
      <c r="N51" s="2091">
        <f>'Receitas (mensais)'!L60</f>
        <v>29538.784</v>
      </c>
      <c r="O51" s="2091">
        <f>'Receitas (mensais)'!M60</f>
        <v>41165.949000000001</v>
      </c>
      <c r="P51" s="2091">
        <f>'Receitas (mensais)'!N60</f>
        <v>40549.262999999999</v>
      </c>
      <c r="Q51" s="2091">
        <f>'Receitas (mensais)'!O60</f>
        <v>24076.828000000001</v>
      </c>
      <c r="R51" s="2091">
        <f>'Receitas (mensais)'!P60</f>
        <v>34592.050000000003</v>
      </c>
      <c r="S51" s="2132">
        <f t="shared" si="12"/>
        <v>446888.33399999992</v>
      </c>
      <c r="T51" s="2093"/>
      <c r="U51" s="2093"/>
      <c r="V51" s="2093"/>
      <c r="W51" s="2094"/>
      <c r="X51" s="2096"/>
      <c r="Y51" s="2097"/>
      <c r="AA51" s="2099">
        <f t="shared" si="3"/>
        <v>446.88833399999993</v>
      </c>
    </row>
    <row r="52" spans="1:28" s="2098" customFormat="1" ht="26.25" hidden="1" outlineLevel="1" collapsed="1">
      <c r="A52" s="2087"/>
      <c r="B52" s="2088" t="s">
        <v>3170</v>
      </c>
      <c r="C52" s="2089" t="str">
        <f>'Receitas (mensais)'!D62</f>
        <v>Impostos sobre o consumo (IEC)</v>
      </c>
      <c r="D52" s="2090"/>
      <c r="E52" s="2091"/>
      <c r="F52" s="2128">
        <f>+F53+F56</f>
        <v>4742852.9469999997</v>
      </c>
      <c r="G52" s="2091">
        <f>+G53+G56</f>
        <v>376623.674</v>
      </c>
      <c r="H52" s="2091">
        <f t="shared" ref="H52:R52" si="20">+H53+H56</f>
        <v>306134.59399999998</v>
      </c>
      <c r="I52" s="2091">
        <f t="shared" si="20"/>
        <v>382954.14600000001</v>
      </c>
      <c r="J52" s="2091">
        <f t="shared" si="20"/>
        <v>367704.02799999999</v>
      </c>
      <c r="K52" s="2091">
        <f t="shared" si="20"/>
        <v>408296.82400000002</v>
      </c>
      <c r="L52" s="2091">
        <f t="shared" si="20"/>
        <v>473008.29700000002</v>
      </c>
      <c r="M52" s="2091">
        <f t="shared" si="20"/>
        <v>470457.55499999999</v>
      </c>
      <c r="N52" s="2091">
        <f t="shared" si="20"/>
        <v>483241.38500000001</v>
      </c>
      <c r="O52" s="2091">
        <f t="shared" si="20"/>
        <v>391480.66000000003</v>
      </c>
      <c r="P52" s="2091">
        <f t="shared" si="20"/>
        <v>429872.212</v>
      </c>
      <c r="Q52" s="2091">
        <f t="shared" si="20"/>
        <v>354493.087</v>
      </c>
      <c r="R52" s="2091">
        <f t="shared" si="20"/>
        <v>479777.88099999994</v>
      </c>
      <c r="S52" s="2092">
        <f t="shared" si="12"/>
        <v>4924044.3430000003</v>
      </c>
      <c r="T52" s="2093"/>
      <c r="U52" s="2093"/>
      <c r="V52" s="2093"/>
      <c r="W52" s="2094"/>
      <c r="X52" s="2095"/>
      <c r="Y52" s="2096"/>
      <c r="Z52" s="2097"/>
      <c r="AA52" s="2098">
        <f t="shared" si="3"/>
        <v>4924.0443430000005</v>
      </c>
      <c r="AB52" s="2099"/>
    </row>
    <row r="53" spans="1:28" s="2098" customFormat="1" ht="26.25" hidden="1" outlineLevel="2">
      <c r="A53" s="2087"/>
      <c r="B53" s="2088" t="s">
        <v>3249</v>
      </c>
      <c r="C53" s="2100" t="str">
        <f>'Receitas (mensais)'!D63</f>
        <v>Bens importados</v>
      </c>
      <c r="D53" s="2090"/>
      <c r="E53" s="2091"/>
      <c r="F53" s="2128">
        <f>F54+F55</f>
        <v>4742852.9469999997</v>
      </c>
      <c r="G53" s="2091">
        <f>G54+G55</f>
        <v>376623.674</v>
      </c>
      <c r="H53" s="2091">
        <f t="shared" ref="H53:R53" si="21">H54+H55</f>
        <v>306134.59399999998</v>
      </c>
      <c r="I53" s="2091">
        <f t="shared" si="21"/>
        <v>382624.50599999999</v>
      </c>
      <c r="J53" s="2091">
        <f t="shared" si="21"/>
        <v>367451.158</v>
      </c>
      <c r="K53" s="2091">
        <f t="shared" si="21"/>
        <v>408296.82400000002</v>
      </c>
      <c r="L53" s="2091">
        <f t="shared" si="21"/>
        <v>473008.29700000002</v>
      </c>
      <c r="M53" s="2091">
        <f t="shared" si="21"/>
        <v>470457.55499999999</v>
      </c>
      <c r="N53" s="2091">
        <f t="shared" si="21"/>
        <v>483241.38500000001</v>
      </c>
      <c r="O53" s="2091">
        <f t="shared" si="21"/>
        <v>391480.66000000003</v>
      </c>
      <c r="P53" s="2091">
        <f t="shared" si="21"/>
        <v>429241.04200000002</v>
      </c>
      <c r="Q53" s="2091">
        <f t="shared" si="21"/>
        <v>354493.087</v>
      </c>
      <c r="R53" s="2091">
        <f t="shared" si="21"/>
        <v>479777.88099999994</v>
      </c>
      <c r="S53" s="2132">
        <f t="shared" si="12"/>
        <v>4922830.6630000006</v>
      </c>
      <c r="T53" s="2093"/>
      <c r="U53" s="2093"/>
      <c r="V53" s="2093"/>
      <c r="W53" s="2094"/>
      <c r="X53" s="2096"/>
      <c r="Y53" s="2097"/>
      <c r="AA53" s="2099">
        <f t="shared" si="3"/>
        <v>4922.8306630000006</v>
      </c>
    </row>
    <row r="54" spans="1:28" s="2098" customFormat="1" ht="26.25" hidden="1" outlineLevel="2">
      <c r="A54" s="2087"/>
      <c r="B54" s="2088" t="s">
        <v>3251</v>
      </c>
      <c r="C54" s="2100" t="str">
        <f>'Receitas (mensais)'!D64</f>
        <v xml:space="preserve">       Combustivel</v>
      </c>
      <c r="D54" s="2090"/>
      <c r="E54" s="2091"/>
      <c r="F54" s="2128">
        <v>1891229.97</v>
      </c>
      <c r="G54" s="2091">
        <f>'Receitas (mensais)'!E64</f>
        <v>128274.428</v>
      </c>
      <c r="H54" s="2091">
        <f>'Receitas (mensais)'!F64</f>
        <v>66121.430999999997</v>
      </c>
      <c r="I54" s="2091">
        <f>'Receitas (mensais)'!G64</f>
        <v>95513.36</v>
      </c>
      <c r="J54" s="2091">
        <f>'Receitas (mensais)'!H64</f>
        <v>105093.598</v>
      </c>
      <c r="K54" s="2091">
        <f>'Receitas (mensais)'!I64</f>
        <v>134243.24799999999</v>
      </c>
      <c r="L54" s="2091">
        <f>'Receitas (mensais)'!J64</f>
        <v>100337.2</v>
      </c>
      <c r="M54" s="2091">
        <f>'Receitas (mensais)'!K64</f>
        <v>130967.898</v>
      </c>
      <c r="N54" s="2091">
        <f>'Receitas (mensais)'!L64</f>
        <v>114418.425</v>
      </c>
      <c r="O54" s="2091">
        <f>'Receitas (mensais)'!M64</f>
        <v>133874.43400000001</v>
      </c>
      <c r="P54" s="2091">
        <f>'Receitas (mensais)'!N64</f>
        <v>125725.588</v>
      </c>
      <c r="Q54" s="2091">
        <f>'Receitas (mensais)'!O64</f>
        <v>119190.27899999999</v>
      </c>
      <c r="R54" s="2091">
        <f>'Receitas (mensais)'!P64</f>
        <v>95583.361999999994</v>
      </c>
      <c r="S54" s="2132">
        <f t="shared" si="12"/>
        <v>1349343.2510000002</v>
      </c>
      <c r="T54" s="2093"/>
      <c r="U54" s="2093"/>
      <c r="V54" s="2093"/>
      <c r="W54" s="2094"/>
      <c r="X54" s="2096"/>
      <c r="Y54" s="2097"/>
      <c r="AA54" s="2099">
        <f t="shared" si="3"/>
        <v>1349.3432510000002</v>
      </c>
    </row>
    <row r="55" spans="1:28" s="2098" customFormat="1" ht="26.25" hidden="1" outlineLevel="2">
      <c r="A55" s="2087"/>
      <c r="B55" s="2088" t="s">
        <v>3252</v>
      </c>
      <c r="C55" s="2100" t="str">
        <f>'Receitas (mensais)'!D65</f>
        <v xml:space="preserve">       Outros  produtos</v>
      </c>
      <c r="D55" s="2090"/>
      <c r="E55" s="2091"/>
      <c r="F55" s="2128">
        <v>2851622.977</v>
      </c>
      <c r="G55" s="2091">
        <f>'Receitas (mensais)'!E65</f>
        <v>248349.24600000001</v>
      </c>
      <c r="H55" s="2091">
        <f>'Receitas (mensais)'!F65</f>
        <v>240013.163</v>
      </c>
      <c r="I55" s="2091">
        <f>'Receitas (mensais)'!G65</f>
        <v>287111.14600000001</v>
      </c>
      <c r="J55" s="2091">
        <f>'Receitas (mensais)'!H65</f>
        <v>262357.56</v>
      </c>
      <c r="K55" s="2091">
        <f>'Receitas (mensais)'!I65</f>
        <v>274053.576</v>
      </c>
      <c r="L55" s="2091">
        <f>'Receitas (mensais)'!J65</f>
        <v>372671.09700000001</v>
      </c>
      <c r="M55" s="2091">
        <f>'Receitas (mensais)'!K65</f>
        <v>339489.65700000001</v>
      </c>
      <c r="N55" s="2091">
        <f>'Receitas (mensais)'!L65</f>
        <v>368822.96</v>
      </c>
      <c r="O55" s="2091">
        <f>'Receitas (mensais)'!M65</f>
        <v>257606.226</v>
      </c>
      <c r="P55" s="2091">
        <f>'Receitas (mensais)'!N65</f>
        <v>303515.45400000003</v>
      </c>
      <c r="Q55" s="2091">
        <f>'Receitas (mensais)'!O65</f>
        <v>235302.80799999999</v>
      </c>
      <c r="R55" s="2091">
        <f>'Receitas (mensais)'!P65</f>
        <v>384194.51899999997</v>
      </c>
      <c r="S55" s="2132">
        <f>SUM(G55:R55)</f>
        <v>3573487.412</v>
      </c>
      <c r="T55" s="2093"/>
      <c r="U55" s="2093"/>
      <c r="V55" s="2093"/>
      <c r="W55" s="2094"/>
      <c r="X55" s="2096"/>
      <c r="Y55" s="2097"/>
      <c r="AA55" s="2099">
        <f t="shared" si="3"/>
        <v>3573.4874119999999</v>
      </c>
    </row>
    <row r="56" spans="1:28" s="2098" customFormat="1" ht="26.25" hidden="1" outlineLevel="2">
      <c r="A56" s="2087"/>
      <c r="B56" s="2113" t="s">
        <v>3250</v>
      </c>
      <c r="C56" s="2100" t="str">
        <f>'Receitas (mensais)'!D66</f>
        <v>Produçao local/DGCI</v>
      </c>
      <c r="D56" s="2090"/>
      <c r="E56" s="2091">
        <f>+SUM(E57:E61)</f>
        <v>0</v>
      </c>
      <c r="F56" s="2128">
        <f>+SUM(F57:F61)</f>
        <v>0</v>
      </c>
      <c r="G56" s="2091">
        <f>+SUM(G57:G61)</f>
        <v>0</v>
      </c>
      <c r="H56" s="2091">
        <f t="shared" ref="H56:R56" si="22">+SUM(H57:H61)</f>
        <v>0</v>
      </c>
      <c r="I56" s="2091">
        <f t="shared" si="22"/>
        <v>329.64</v>
      </c>
      <c r="J56" s="2091">
        <f t="shared" si="22"/>
        <v>252.87</v>
      </c>
      <c r="K56" s="2091">
        <f t="shared" si="22"/>
        <v>0</v>
      </c>
      <c r="L56" s="2091">
        <f t="shared" si="22"/>
        <v>0</v>
      </c>
      <c r="M56" s="2091">
        <f t="shared" si="22"/>
        <v>0</v>
      </c>
      <c r="N56" s="2091">
        <f t="shared" si="22"/>
        <v>0</v>
      </c>
      <c r="O56" s="2091">
        <f t="shared" si="22"/>
        <v>0</v>
      </c>
      <c r="P56" s="2091">
        <f t="shared" si="22"/>
        <v>631.16999999999996</v>
      </c>
      <c r="Q56" s="2091">
        <f t="shared" si="22"/>
        <v>0</v>
      </c>
      <c r="R56" s="2091">
        <f t="shared" si="22"/>
        <v>0</v>
      </c>
      <c r="S56" s="2132">
        <f t="shared" si="12"/>
        <v>1213.6799999999998</v>
      </c>
      <c r="T56" s="2093"/>
      <c r="U56" s="2093"/>
      <c r="V56" s="2093"/>
      <c r="W56" s="2094"/>
      <c r="X56" s="2096"/>
      <c r="Y56" s="2097"/>
      <c r="AA56" s="2099">
        <f t="shared" si="3"/>
        <v>1.2136799999999999</v>
      </c>
    </row>
    <row r="57" spans="1:28" s="2098" customFormat="1" ht="26.25" hidden="1" outlineLevel="2">
      <c r="A57" s="2087"/>
      <c r="B57" s="2113" t="s">
        <v>3253</v>
      </c>
      <c r="C57" s="2114" t="str">
        <f>'Receitas (mensais)'!D67</f>
        <v xml:space="preserve">         Aguardente - Produçao local</v>
      </c>
      <c r="D57" s="2090"/>
      <c r="E57" s="2091"/>
      <c r="F57" s="2128"/>
      <c r="G57" s="2091">
        <f>+'Receitas (mensais)'!E67</f>
        <v>0</v>
      </c>
      <c r="H57" s="2091">
        <f>+'Receitas (mensais)'!F67</f>
        <v>0</v>
      </c>
      <c r="I57" s="2091">
        <f>+'Receitas (mensais)'!G67</f>
        <v>329.64</v>
      </c>
      <c r="J57" s="2091">
        <f>+'Receitas (mensais)'!H67</f>
        <v>252.87</v>
      </c>
      <c r="K57" s="2091">
        <f>+'Receitas (mensais)'!I67</f>
        <v>0</v>
      </c>
      <c r="L57" s="2091">
        <f>+'Receitas (mensais)'!J67</f>
        <v>0</v>
      </c>
      <c r="M57" s="2091">
        <f>+'Receitas (mensais)'!K67</f>
        <v>0</v>
      </c>
      <c r="N57" s="2091">
        <f>+'Receitas (mensais)'!L67</f>
        <v>0</v>
      </c>
      <c r="O57" s="2091">
        <f>+'Receitas (mensais)'!M67</f>
        <v>0</v>
      </c>
      <c r="P57" s="2091">
        <f>+'Receitas (mensais)'!N67</f>
        <v>631.16999999999996</v>
      </c>
      <c r="Q57" s="2091">
        <f>+'Receitas (mensais)'!O67</f>
        <v>0</v>
      </c>
      <c r="R57" s="2091">
        <f>+'Receitas (mensais)'!P67</f>
        <v>0</v>
      </c>
      <c r="S57" s="2132">
        <f t="shared" si="12"/>
        <v>1213.6799999999998</v>
      </c>
      <c r="T57" s="2093"/>
      <c r="U57" s="2093"/>
      <c r="V57" s="2093"/>
      <c r="W57" s="2094"/>
      <c r="X57" s="2096"/>
      <c r="Y57" s="2097"/>
      <c r="AA57" s="2099">
        <f t="shared" si="3"/>
        <v>1.2136799999999999</v>
      </c>
    </row>
    <row r="58" spans="1:28" s="2098" customFormat="1" ht="26.25" hidden="1" outlineLevel="2">
      <c r="A58" s="2087"/>
      <c r="B58" s="2113" t="s">
        <v>3254</v>
      </c>
      <c r="C58" s="2114" t="str">
        <f>'Receitas (mensais)'!D68</f>
        <v xml:space="preserve">         Cerveja e Refrig.- Produçao local</v>
      </c>
      <c r="D58" s="2090"/>
      <c r="E58" s="2091"/>
      <c r="F58" s="2128"/>
      <c r="G58" s="2091">
        <f>+'Receitas (mensais)'!E68</f>
        <v>0</v>
      </c>
      <c r="H58" s="2091">
        <f>+'Receitas (mensais)'!F68</f>
        <v>0</v>
      </c>
      <c r="I58" s="2091">
        <f>+'Receitas (mensais)'!G68</f>
        <v>0</v>
      </c>
      <c r="J58" s="2091">
        <f>+'Receitas (mensais)'!H68</f>
        <v>0</v>
      </c>
      <c r="K58" s="2091">
        <f>+'Receitas (mensais)'!I68</f>
        <v>0</v>
      </c>
      <c r="L58" s="2091">
        <f>+'Receitas (mensais)'!J68</f>
        <v>0</v>
      </c>
      <c r="M58" s="2091">
        <f>+'Receitas (mensais)'!K68</f>
        <v>0</v>
      </c>
      <c r="N58" s="2091">
        <f>+'Receitas (mensais)'!L68</f>
        <v>0</v>
      </c>
      <c r="O58" s="2091">
        <f>+'Receitas (mensais)'!M68</f>
        <v>0</v>
      </c>
      <c r="P58" s="2091">
        <f>+'Receitas (mensais)'!N68</f>
        <v>0</v>
      </c>
      <c r="Q58" s="2091">
        <f>+'Receitas (mensais)'!O68</f>
        <v>0</v>
      </c>
      <c r="R58" s="2091">
        <f>+'Receitas (mensais)'!P68</f>
        <v>0</v>
      </c>
      <c r="S58" s="2132">
        <f t="shared" si="12"/>
        <v>0</v>
      </c>
      <c r="T58" s="2093"/>
      <c r="U58" s="2093"/>
      <c r="V58" s="2093"/>
      <c r="W58" s="2094"/>
      <c r="X58" s="2096"/>
      <c r="Y58" s="2097"/>
      <c r="AA58" s="2099">
        <f t="shared" si="3"/>
        <v>0</v>
      </c>
    </row>
    <row r="59" spans="1:28" s="2098" customFormat="1" ht="26.25" hidden="1" outlineLevel="2">
      <c r="A59" s="2087"/>
      <c r="B59" s="2113" t="s">
        <v>3255</v>
      </c>
      <c r="C59" s="2114" t="str">
        <f>'Receitas (mensais)'!D69</f>
        <v xml:space="preserve">         Madeiras- Produçao local</v>
      </c>
      <c r="D59" s="2090"/>
      <c r="E59" s="2091"/>
      <c r="F59" s="2128"/>
      <c r="G59" s="2091">
        <f>+'Receitas (mensais)'!E69</f>
        <v>0</v>
      </c>
      <c r="H59" s="2091">
        <f>+'Receitas (mensais)'!F69</f>
        <v>0</v>
      </c>
      <c r="I59" s="2091">
        <f>+'Receitas (mensais)'!G69</f>
        <v>0</v>
      </c>
      <c r="J59" s="2091">
        <f>+'Receitas (mensais)'!H69</f>
        <v>0</v>
      </c>
      <c r="K59" s="2091">
        <f>+'Receitas (mensais)'!I69</f>
        <v>0</v>
      </c>
      <c r="L59" s="2091">
        <f>+'Receitas (mensais)'!J69</f>
        <v>0</v>
      </c>
      <c r="M59" s="2091">
        <f>+'Receitas (mensais)'!K69</f>
        <v>0</v>
      </c>
      <c r="N59" s="2091">
        <f>+'Receitas (mensais)'!L69</f>
        <v>0</v>
      </c>
      <c r="O59" s="2091">
        <f>+'Receitas (mensais)'!M69</f>
        <v>0</v>
      </c>
      <c r="P59" s="2091">
        <f>+'Receitas (mensais)'!N69</f>
        <v>0</v>
      </c>
      <c r="Q59" s="2091">
        <f>+'Receitas (mensais)'!O69</f>
        <v>0</v>
      </c>
      <c r="R59" s="2091">
        <f>+'Receitas (mensais)'!P69</f>
        <v>0</v>
      </c>
      <c r="S59" s="2132">
        <f t="shared" si="12"/>
        <v>0</v>
      </c>
      <c r="T59" s="2093"/>
      <c r="U59" s="2093"/>
      <c r="V59" s="2093"/>
      <c r="W59" s="2094"/>
      <c r="X59" s="2096"/>
      <c r="Y59" s="2097"/>
      <c r="AA59" s="2099">
        <f t="shared" si="3"/>
        <v>0</v>
      </c>
    </row>
    <row r="60" spans="1:28" s="2098" customFormat="1" ht="26.25" hidden="1" outlineLevel="2">
      <c r="A60" s="2087"/>
      <c r="B60" s="2113" t="s">
        <v>3256</v>
      </c>
      <c r="C60" s="2114" t="str">
        <f>'Receitas (mensais)'!D70</f>
        <v xml:space="preserve">        Cerâmica</v>
      </c>
      <c r="D60" s="2090"/>
      <c r="E60" s="2091"/>
      <c r="F60" s="2128"/>
      <c r="G60" s="2091">
        <f>+'Receitas (mensais)'!E70</f>
        <v>0</v>
      </c>
      <c r="H60" s="2091">
        <f>+'Receitas (mensais)'!F70</f>
        <v>0</v>
      </c>
      <c r="I60" s="2091">
        <f>+'Receitas (mensais)'!G70</f>
        <v>0</v>
      </c>
      <c r="J60" s="2091">
        <f>+'Receitas (mensais)'!H70</f>
        <v>0</v>
      </c>
      <c r="K60" s="2091">
        <f>+'Receitas (mensais)'!I70</f>
        <v>0</v>
      </c>
      <c r="L60" s="2091">
        <f>+'Receitas (mensais)'!J70</f>
        <v>0</v>
      </c>
      <c r="M60" s="2091">
        <f>+'Receitas (mensais)'!K70</f>
        <v>0</v>
      </c>
      <c r="N60" s="2091">
        <f>+'Receitas (mensais)'!L70</f>
        <v>0</v>
      </c>
      <c r="O60" s="2091">
        <f>+'Receitas (mensais)'!M70</f>
        <v>0</v>
      </c>
      <c r="P60" s="2091">
        <f>+'Receitas (mensais)'!N70</f>
        <v>0</v>
      </c>
      <c r="Q60" s="2091">
        <f>+'Receitas (mensais)'!O70</f>
        <v>0</v>
      </c>
      <c r="R60" s="2091">
        <f>+'Receitas (mensais)'!P70</f>
        <v>0</v>
      </c>
      <c r="S60" s="2132">
        <f t="shared" si="12"/>
        <v>0</v>
      </c>
      <c r="T60" s="2093"/>
      <c r="U60" s="2093"/>
      <c r="V60" s="2093"/>
      <c r="W60" s="2094"/>
      <c r="X60" s="2096"/>
      <c r="Y60" s="2097"/>
      <c r="AA60" s="2099">
        <f t="shared" si="3"/>
        <v>0</v>
      </c>
    </row>
    <row r="61" spans="1:28" s="2098" customFormat="1" ht="26.25" hidden="1" outlineLevel="2">
      <c r="A61" s="2087"/>
      <c r="B61" s="2113" t="s">
        <v>3257</v>
      </c>
      <c r="C61" s="2114" t="str">
        <f>'Receitas (mensais)'!D71</f>
        <v xml:space="preserve">         Outros</v>
      </c>
      <c r="D61" s="2090"/>
      <c r="E61" s="2091"/>
      <c r="F61" s="2128"/>
      <c r="G61" s="2091">
        <f>+'Receitas (mensais)'!E71</f>
        <v>0</v>
      </c>
      <c r="H61" s="2091">
        <f>+'Receitas (mensais)'!F71</f>
        <v>0</v>
      </c>
      <c r="I61" s="2091">
        <f>+'Receitas (mensais)'!G71</f>
        <v>0</v>
      </c>
      <c r="J61" s="2091">
        <f>+'Receitas (mensais)'!H71</f>
        <v>0</v>
      </c>
      <c r="K61" s="2091">
        <f>+'Receitas (mensais)'!I71</f>
        <v>0</v>
      </c>
      <c r="L61" s="2091">
        <f>+'Receitas (mensais)'!J71</f>
        <v>0</v>
      </c>
      <c r="M61" s="2091">
        <f>+'Receitas (mensais)'!K71</f>
        <v>0</v>
      </c>
      <c r="N61" s="2091">
        <f>+'Receitas (mensais)'!L71</f>
        <v>0</v>
      </c>
      <c r="O61" s="2091">
        <f>+'Receitas (mensais)'!M71</f>
        <v>0</v>
      </c>
      <c r="P61" s="2091">
        <f>+'Receitas (mensais)'!N71</f>
        <v>0</v>
      </c>
      <c r="Q61" s="2091">
        <f>+'Receitas (mensais)'!O71</f>
        <v>0</v>
      </c>
      <c r="R61" s="2091">
        <f>+'Receitas (mensais)'!P71</f>
        <v>0</v>
      </c>
      <c r="S61" s="2132">
        <f t="shared" si="12"/>
        <v>0</v>
      </c>
      <c r="T61" s="2093"/>
      <c r="U61" s="2093"/>
      <c r="V61" s="2093"/>
      <c r="W61" s="2094"/>
      <c r="X61" s="2096"/>
      <c r="Y61" s="2097"/>
      <c r="AA61" s="2099">
        <f t="shared" si="3"/>
        <v>0</v>
      </c>
    </row>
    <row r="62" spans="1:28" s="2098" customFormat="1" ht="26.25" hidden="1" outlineLevel="1" collapsed="1">
      <c r="A62" s="2087" t="s">
        <v>424</v>
      </c>
      <c r="B62" s="2115" t="s">
        <v>3187</v>
      </c>
      <c r="C62" s="2089" t="str">
        <f>'Receitas (mensais)'!D72</f>
        <v>Imposto Geral s/Vendas</v>
      </c>
      <c r="D62" s="2090"/>
      <c r="E62" s="2091">
        <f>+E63+E67</f>
        <v>0</v>
      </c>
      <c r="F62" s="2128">
        <f>+F63+F67+F72+F75+F76</f>
        <v>34743277.670000002</v>
      </c>
      <c r="G62" s="2091">
        <f>+G63+G67+G72+G75+G76</f>
        <v>1899768.08</v>
      </c>
      <c r="H62" s="2091">
        <f t="shared" ref="H62:R62" si="23">+H63+H67+H72+H75+H76</f>
        <v>2072222.98</v>
      </c>
      <c r="I62" s="2091">
        <f t="shared" si="23"/>
        <v>2069960.0019999999</v>
      </c>
      <c r="J62" s="2091">
        <f t="shared" si="23"/>
        <v>1957998.4439999999</v>
      </c>
      <c r="K62" s="2091">
        <f t="shared" si="23"/>
        <v>2292865.3689999999</v>
      </c>
      <c r="L62" s="2091">
        <f t="shared" si="23"/>
        <v>2235598.054</v>
      </c>
      <c r="M62" s="2091">
        <f t="shared" si="23"/>
        <v>2432759.446</v>
      </c>
      <c r="N62" s="2091">
        <f t="shared" si="23"/>
        <v>1981277.1529999999</v>
      </c>
      <c r="O62" s="2091">
        <f t="shared" si="23"/>
        <v>1988413.8909999998</v>
      </c>
      <c r="P62" s="2091">
        <f t="shared" si="23"/>
        <v>2357186.0549999997</v>
      </c>
      <c r="Q62" s="2091">
        <f t="shared" si="23"/>
        <v>1894159.0629999998</v>
      </c>
      <c r="R62" s="2091">
        <f t="shared" si="23"/>
        <v>1944480.7209999999</v>
      </c>
      <c r="S62" s="2092">
        <f t="shared" si="12"/>
        <v>25126689.258000001</v>
      </c>
      <c r="T62" s="2093">
        <f>SUM(G62:L62)</f>
        <v>12528412.929</v>
      </c>
      <c r="U62" s="2093">
        <f>SUM(G62:O62)</f>
        <v>18930863.419</v>
      </c>
      <c r="V62" s="2093">
        <f>S62</f>
        <v>25126689.258000001</v>
      </c>
      <c r="W62" s="2094">
        <f>S62/F62*100</f>
        <v>72.321009827165213</v>
      </c>
      <c r="X62" s="2095"/>
      <c r="Y62" s="2096"/>
      <c r="Z62" s="2097"/>
      <c r="AA62" s="2098">
        <f t="shared" si="3"/>
        <v>25126.689258000002</v>
      </c>
      <c r="AB62" s="2099"/>
    </row>
    <row r="63" spans="1:28" s="2098" customFormat="1" ht="26.25" hidden="1" outlineLevel="2">
      <c r="A63" s="2087"/>
      <c r="B63" s="2088" t="s">
        <v>3263</v>
      </c>
      <c r="C63" s="2100" t="str">
        <f>'Receitas (mensais)'!D73</f>
        <v>Bens Importados</v>
      </c>
      <c r="D63" s="2090"/>
      <c r="E63" s="2091">
        <f>+SUM(E64:E66)</f>
        <v>0</v>
      </c>
      <c r="F63" s="2128">
        <f>+SUM(F64:F66)</f>
        <v>21311967.741999999</v>
      </c>
      <c r="G63" s="2091">
        <f>+SUM(G64:G66)</f>
        <v>1109742.976</v>
      </c>
      <c r="H63" s="2091">
        <f t="shared" ref="H63:R63" si="24">+SUM(H64:H66)</f>
        <v>1307935.5020000001</v>
      </c>
      <c r="I63" s="2091">
        <f t="shared" si="24"/>
        <v>1238804.2379999999</v>
      </c>
      <c r="J63" s="2091">
        <f t="shared" si="24"/>
        <v>1073020.9779999999</v>
      </c>
      <c r="K63" s="2091">
        <f t="shared" si="24"/>
        <v>1538877.9100000001</v>
      </c>
      <c r="L63" s="2091">
        <f t="shared" si="24"/>
        <v>1266106.273</v>
      </c>
      <c r="M63" s="2091">
        <f t="shared" si="24"/>
        <v>1272964.125</v>
      </c>
      <c r="N63" s="2091">
        <f t="shared" si="24"/>
        <v>1028036.728</v>
      </c>
      <c r="O63" s="2091">
        <f t="shared" si="24"/>
        <v>1087622.5249999999</v>
      </c>
      <c r="P63" s="2091">
        <f t="shared" si="24"/>
        <v>1378781.111</v>
      </c>
      <c r="Q63" s="2091">
        <f t="shared" si="24"/>
        <v>959753.04999999993</v>
      </c>
      <c r="R63" s="2091">
        <f t="shared" si="24"/>
        <v>1134607.46</v>
      </c>
      <c r="S63" s="2132">
        <f t="shared" si="12"/>
        <v>14396252.876000002</v>
      </c>
      <c r="T63" s="2093"/>
      <c r="U63" s="2093"/>
      <c r="V63" s="2093"/>
      <c r="W63" s="2094"/>
      <c r="X63" s="2096"/>
      <c r="Y63" s="2097"/>
      <c r="AA63" s="2099">
        <f t="shared" si="3"/>
        <v>14396.252876000002</v>
      </c>
    </row>
    <row r="64" spans="1:28" s="2098" customFormat="1" ht="26.25" hidden="1" outlineLevel="2">
      <c r="A64" s="2116">
        <f>G65+G81+G82</f>
        <v>200293.93100000001</v>
      </c>
      <c r="B64" s="2088" t="s">
        <v>3265</v>
      </c>
      <c r="C64" s="2114" t="str">
        <f>'Receitas (mensais)'!D74</f>
        <v xml:space="preserve">          Combustivel</v>
      </c>
      <c r="D64" s="2090"/>
      <c r="E64" s="2091"/>
      <c r="F64" s="2128">
        <v>2917852.7439999999</v>
      </c>
      <c r="G64" s="2091">
        <f>+'Receitas (mensais)'!E74</f>
        <v>237210.24799999999</v>
      </c>
      <c r="H64" s="2091">
        <f>+'Receitas (mensais)'!F74</f>
        <v>154817.394</v>
      </c>
      <c r="I64" s="2091">
        <f>+'Receitas (mensais)'!G74</f>
        <v>178749.614</v>
      </c>
      <c r="J64" s="2091">
        <f>+'Receitas (mensais)'!H74</f>
        <v>105093.598</v>
      </c>
      <c r="K64" s="2091">
        <f>+'Receitas (mensais)'!I74</f>
        <v>255676.318</v>
      </c>
      <c r="L64" s="2091">
        <f>+'Receitas (mensais)'!J74</f>
        <v>186406.864</v>
      </c>
      <c r="M64" s="2091">
        <f>+'Receitas (mensais)'!K74</f>
        <v>244900.753</v>
      </c>
      <c r="N64" s="2091">
        <f>+'Receitas (mensais)'!L74</f>
        <v>219216.77799999999</v>
      </c>
      <c r="O64" s="2091">
        <f>+'Receitas (mensais)'!M74</f>
        <v>251102.497</v>
      </c>
      <c r="P64" s="2091">
        <f>+'Receitas (mensais)'!N74</f>
        <v>230162.82500000001</v>
      </c>
      <c r="Q64" s="2091">
        <f>+'Receitas (mensais)'!O74</f>
        <v>222832.212</v>
      </c>
      <c r="R64" s="2091">
        <f>+'Receitas (mensais)'!P74</f>
        <v>174175.78700000001</v>
      </c>
      <c r="S64" s="2132">
        <f t="shared" si="12"/>
        <v>2460344.8879999998</v>
      </c>
      <c r="T64" s="2093"/>
      <c r="U64" s="2093"/>
      <c r="V64" s="2093"/>
      <c r="W64" s="2094"/>
      <c r="X64" s="2096"/>
      <c r="Y64" s="2097"/>
      <c r="AA64" s="2099">
        <f t="shared" si="3"/>
        <v>2460.3448879999996</v>
      </c>
    </row>
    <row r="65" spans="1:28" s="2122" customFormat="1" ht="26.25" hidden="1" outlineLevel="2">
      <c r="A65" s="2117"/>
      <c r="B65" s="2088" t="s">
        <v>3266</v>
      </c>
      <c r="C65" s="2114" t="str">
        <f>'Receitas (mensais)'!D75</f>
        <v xml:space="preserve">          Arroz</v>
      </c>
      <c r="D65" s="2118"/>
      <c r="E65" s="2091"/>
      <c r="F65" s="2128">
        <v>2601425.3390000002</v>
      </c>
      <c r="G65" s="2091">
        <f>+'Receitas (mensais)'!E75</f>
        <v>196109.93100000001</v>
      </c>
      <c r="H65" s="2091">
        <f>+'Receitas (mensais)'!F75</f>
        <v>196598.948</v>
      </c>
      <c r="I65" s="2091">
        <f>+'Receitas (mensais)'!G75</f>
        <v>199286.57699999999</v>
      </c>
      <c r="J65" s="2091">
        <f>+'Receitas (mensais)'!H75</f>
        <v>93807.554999999993</v>
      </c>
      <c r="K65" s="2091">
        <f>+'Receitas (mensais)'!I75</f>
        <v>274640.266</v>
      </c>
      <c r="L65" s="2091">
        <f>+'Receitas (mensais)'!J75</f>
        <v>141286.48800000001</v>
      </c>
      <c r="M65" s="2091">
        <f>+'Receitas (mensais)'!K75</f>
        <v>133201.59299999999</v>
      </c>
      <c r="N65" s="2091">
        <f>+'Receitas (mensais)'!L75</f>
        <v>174054.54800000001</v>
      </c>
      <c r="O65" s="2091">
        <f>+'Receitas (mensais)'!M75</f>
        <v>117945.776</v>
      </c>
      <c r="P65" s="2091">
        <f>+'Receitas (mensais)'!N75</f>
        <v>199729.67499999999</v>
      </c>
      <c r="Q65" s="2091">
        <f>+'Receitas (mensais)'!O75</f>
        <v>66115.675000000003</v>
      </c>
      <c r="R65" s="2091">
        <f>+'Receitas (mensais)'!P75</f>
        <v>83595.956999999995</v>
      </c>
      <c r="S65" s="2132">
        <f t="shared" si="12"/>
        <v>1876372.9890000001</v>
      </c>
      <c r="T65" s="2119"/>
      <c r="U65" s="2119"/>
      <c r="V65" s="2119"/>
      <c r="W65" s="2120"/>
      <c r="X65" s="2121"/>
      <c r="Y65" s="2097"/>
      <c r="AA65" s="2099">
        <f t="shared" si="3"/>
        <v>1876.372989</v>
      </c>
    </row>
    <row r="66" spans="1:28" s="2098" customFormat="1" ht="26.25" hidden="1" outlineLevel="2">
      <c r="A66" s="2087"/>
      <c r="B66" s="2088" t="s">
        <v>3267</v>
      </c>
      <c r="C66" s="2114" t="str">
        <f>'Receitas (mensais)'!D76</f>
        <v xml:space="preserve">          Outros</v>
      </c>
      <c r="D66" s="2090"/>
      <c r="E66" s="2091"/>
      <c r="F66" s="2128">
        <v>15792689.659</v>
      </c>
      <c r="G66" s="2091">
        <f>+'Receitas (mensais)'!E76</f>
        <v>676422.79700000002</v>
      </c>
      <c r="H66" s="2091">
        <f>+'Receitas (mensais)'!F76</f>
        <v>956519.16</v>
      </c>
      <c r="I66" s="2091">
        <f>+'Receitas (mensais)'!G76</f>
        <v>860768.04700000002</v>
      </c>
      <c r="J66" s="2091">
        <f>+'Receitas (mensais)'!H76</f>
        <v>874119.82499999995</v>
      </c>
      <c r="K66" s="2091">
        <f>+'Receitas (mensais)'!I76</f>
        <v>1008561.326</v>
      </c>
      <c r="L66" s="2091">
        <f>+'Receitas (mensais)'!J76</f>
        <v>938412.92099999997</v>
      </c>
      <c r="M66" s="2091">
        <f>+'Receitas (mensais)'!K76</f>
        <v>894861.77899999998</v>
      </c>
      <c r="N66" s="2091">
        <f>+'Receitas (mensais)'!L76</f>
        <v>634765.402</v>
      </c>
      <c r="O66" s="2091">
        <f>+'Receitas (mensais)'!M76</f>
        <v>718574.25199999998</v>
      </c>
      <c r="P66" s="2091">
        <f>+'Receitas (mensais)'!N76</f>
        <v>948888.61100000003</v>
      </c>
      <c r="Q66" s="2091">
        <f>+'Receitas (mensais)'!O76</f>
        <v>670805.16299999994</v>
      </c>
      <c r="R66" s="2091">
        <f>+'Receitas (mensais)'!P76</f>
        <v>876835.71600000001</v>
      </c>
      <c r="S66" s="2132">
        <f t="shared" si="12"/>
        <v>10059534.999000002</v>
      </c>
      <c r="T66" s="2093"/>
      <c r="U66" s="2093"/>
      <c r="V66" s="2093"/>
      <c r="W66" s="2094"/>
      <c r="X66" s="2096"/>
      <c r="Y66" s="2097"/>
      <c r="AA66" s="2099">
        <f t="shared" si="3"/>
        <v>10059.534999000001</v>
      </c>
    </row>
    <row r="67" spans="1:28" s="2098" customFormat="1" ht="26.25" hidden="1" outlineLevel="2">
      <c r="A67" s="2087"/>
      <c r="B67" s="2113" t="s">
        <v>3264</v>
      </c>
      <c r="C67" s="2100" t="str">
        <f>'Receitas (mensais)'!D77</f>
        <v>Produção Local e Vendas/DGCI</v>
      </c>
      <c r="D67" s="2090"/>
      <c r="E67" s="2091"/>
      <c r="F67" s="2128">
        <f>SUM(F68:F71)</f>
        <v>13431309.927999999</v>
      </c>
      <c r="G67" s="2091">
        <f>SUM(G68:G71)</f>
        <v>790025.10399999993</v>
      </c>
      <c r="H67" s="2091">
        <f t="shared" ref="H67:R67" si="25">SUM(H68:H71)</f>
        <v>764287.478</v>
      </c>
      <c r="I67" s="2091">
        <f t="shared" si="25"/>
        <v>830990.55900000001</v>
      </c>
      <c r="J67" s="2091">
        <f t="shared" si="25"/>
        <v>884977.46600000001</v>
      </c>
      <c r="K67" s="2091">
        <f t="shared" si="25"/>
        <v>753987.45899999992</v>
      </c>
      <c r="L67" s="2091">
        <f t="shared" si="25"/>
        <v>969491.78099999996</v>
      </c>
      <c r="M67" s="2091">
        <f t="shared" si="25"/>
        <v>1159795.321</v>
      </c>
      <c r="N67" s="2091">
        <f t="shared" si="25"/>
        <v>953240.42499999993</v>
      </c>
      <c r="O67" s="2091">
        <f t="shared" si="25"/>
        <v>900791.36600000004</v>
      </c>
      <c r="P67" s="2091">
        <f t="shared" si="25"/>
        <v>978404.9439999999</v>
      </c>
      <c r="Q67" s="2091">
        <f t="shared" si="25"/>
        <v>934406.01299999992</v>
      </c>
      <c r="R67" s="2091">
        <f t="shared" si="25"/>
        <v>809795.34100000013</v>
      </c>
      <c r="S67" s="2132">
        <f t="shared" si="12"/>
        <v>10730193.256999999</v>
      </c>
      <c r="T67" s="2093"/>
      <c r="U67" s="2093"/>
      <c r="V67" s="2093"/>
      <c r="W67" s="2094"/>
      <c r="X67" s="2096"/>
      <c r="Y67" s="2097"/>
      <c r="AA67" s="2099">
        <f t="shared" si="3"/>
        <v>10730.193256999999</v>
      </c>
    </row>
    <row r="68" spans="1:28" s="2098" customFormat="1" ht="26.25" hidden="1" outlineLevel="2">
      <c r="A68" s="2087"/>
      <c r="B68" s="2113" t="s">
        <v>3268</v>
      </c>
      <c r="C68" s="2114" t="str">
        <f>'Receitas (mensais)'!D78</f>
        <v xml:space="preserve">         Cerveja e Refrigerante-Produção Local</v>
      </c>
      <c r="D68" s="2090"/>
      <c r="E68" s="2091"/>
      <c r="F68" s="2128"/>
      <c r="G68" s="2091">
        <f>+'Receitas (mensais)'!E78</f>
        <v>0</v>
      </c>
      <c r="H68" s="2091">
        <f>+'Receitas (mensais)'!F78</f>
        <v>0</v>
      </c>
      <c r="I68" s="2091">
        <f>+'Receitas (mensais)'!G78</f>
        <v>0</v>
      </c>
      <c r="J68" s="2091">
        <f>+'Receitas (mensais)'!H78</f>
        <v>0</v>
      </c>
      <c r="K68" s="2091">
        <f>+'Receitas (mensais)'!I78</f>
        <v>0</v>
      </c>
      <c r="L68" s="2091">
        <f>+'Receitas (mensais)'!J78</f>
        <v>0</v>
      </c>
      <c r="M68" s="2091">
        <f>+'Receitas (mensais)'!K78</f>
        <v>0</v>
      </c>
      <c r="N68" s="2091">
        <f>+'Receitas (mensais)'!L78</f>
        <v>0</v>
      </c>
      <c r="O68" s="2091">
        <f>+'Receitas (mensais)'!M78</f>
        <v>0</v>
      </c>
      <c r="P68" s="2091">
        <f>+'Receitas (mensais)'!N78</f>
        <v>0</v>
      </c>
      <c r="Q68" s="2091">
        <f>+'Receitas (mensais)'!O78</f>
        <v>0</v>
      </c>
      <c r="R68" s="2091">
        <f>+'Receitas (mensais)'!P78</f>
        <v>0</v>
      </c>
      <c r="S68" s="2132">
        <f t="shared" si="12"/>
        <v>0</v>
      </c>
      <c r="T68" s="2093"/>
      <c r="U68" s="2093"/>
      <c r="V68" s="2093"/>
      <c r="W68" s="2094"/>
      <c r="X68" s="2096"/>
      <c r="Y68" s="2097"/>
      <c r="AA68" s="2099">
        <f t="shared" si="3"/>
        <v>0</v>
      </c>
    </row>
    <row r="69" spans="1:28" s="2098" customFormat="1" ht="26.25" hidden="1" outlineLevel="2">
      <c r="A69" s="2087"/>
      <c r="B69" s="2113" t="s">
        <v>3269</v>
      </c>
      <c r="C69" s="2114" t="str">
        <f>'Receitas (mensais)'!D79</f>
        <v xml:space="preserve">        Aguardente</v>
      </c>
      <c r="D69" s="2090"/>
      <c r="E69" s="2091"/>
      <c r="F69" s="2128"/>
      <c r="G69" s="2091">
        <f>+'Receitas (mensais)'!E79</f>
        <v>0</v>
      </c>
      <c r="H69" s="2091">
        <f>+'Receitas (mensais)'!F79</f>
        <v>0</v>
      </c>
      <c r="I69" s="2091">
        <f>+'Receitas (mensais)'!G79</f>
        <v>0</v>
      </c>
      <c r="J69" s="2091">
        <f>+'Receitas (mensais)'!H79</f>
        <v>0</v>
      </c>
      <c r="K69" s="2091">
        <f>+'Receitas (mensais)'!I79</f>
        <v>0</v>
      </c>
      <c r="L69" s="2091">
        <f>+'Receitas (mensais)'!J79</f>
        <v>0</v>
      </c>
      <c r="M69" s="2091">
        <f>+'Receitas (mensais)'!K79</f>
        <v>715.41</v>
      </c>
      <c r="N69" s="2091">
        <f>+'Receitas (mensais)'!L79</f>
        <v>0</v>
      </c>
      <c r="O69" s="2091">
        <f>+'Receitas (mensais)'!M79</f>
        <v>0</v>
      </c>
      <c r="P69" s="2091">
        <f>+'Receitas (mensais)'!N79</f>
        <v>0</v>
      </c>
      <c r="Q69" s="2091">
        <f>+'Receitas (mensais)'!O79</f>
        <v>480.75</v>
      </c>
      <c r="R69" s="2091">
        <f>+'Receitas (mensais)'!P79</f>
        <v>0</v>
      </c>
      <c r="S69" s="2132">
        <f t="shared" si="12"/>
        <v>1196.1599999999999</v>
      </c>
      <c r="T69" s="2093"/>
      <c r="U69" s="2093"/>
      <c r="V69" s="2093"/>
      <c r="W69" s="2094"/>
      <c r="X69" s="2096"/>
      <c r="Y69" s="2097"/>
      <c r="AA69" s="2099">
        <f t="shared" ref="AA69:AA308" si="26">S69/1000</f>
        <v>1.1961599999999999</v>
      </c>
    </row>
    <row r="70" spans="1:28" s="2098" customFormat="1" ht="26.25" hidden="1" outlineLevel="2">
      <c r="A70" s="2087"/>
      <c r="B70" s="2113" t="s">
        <v>3270</v>
      </c>
      <c r="C70" s="2123" t="s">
        <v>3258</v>
      </c>
      <c r="D70" s="2090"/>
      <c r="E70" s="2091"/>
      <c r="F70" s="2128"/>
      <c r="G70" s="2091">
        <f>+'Receitas (mensais)'!E80</f>
        <v>0</v>
      </c>
      <c r="H70" s="2091">
        <f>+'Receitas (mensais)'!F80</f>
        <v>0</v>
      </c>
      <c r="I70" s="2091">
        <f>+'Receitas (mensais)'!G80</f>
        <v>0</v>
      </c>
      <c r="J70" s="2091">
        <f>+'Receitas (mensais)'!H80</f>
        <v>0</v>
      </c>
      <c r="K70" s="2091">
        <f>+'Receitas (mensais)'!I80</f>
        <v>0</v>
      </c>
      <c r="L70" s="2091">
        <f>+'Receitas (mensais)'!J80</f>
        <v>0</v>
      </c>
      <c r="M70" s="2091">
        <f>+'Receitas (mensais)'!K80</f>
        <v>0</v>
      </c>
      <c r="N70" s="2091">
        <f>+'Receitas (mensais)'!L80</f>
        <v>0</v>
      </c>
      <c r="O70" s="2091">
        <f>+'Receitas (mensais)'!M80</f>
        <v>0</v>
      </c>
      <c r="P70" s="2091">
        <f>+'Receitas (mensais)'!N80</f>
        <v>0</v>
      </c>
      <c r="Q70" s="2091">
        <f>+'Receitas (mensais)'!O80</f>
        <v>0</v>
      </c>
      <c r="R70" s="2091">
        <f>+'Receitas (mensais)'!P80</f>
        <v>0</v>
      </c>
      <c r="S70" s="2132">
        <f t="shared" si="12"/>
        <v>0</v>
      </c>
      <c r="T70" s="2093"/>
      <c r="U70" s="2093"/>
      <c r="V70" s="2093"/>
      <c r="W70" s="2094"/>
      <c r="X70" s="2096"/>
      <c r="Y70" s="2097"/>
      <c r="AA70" s="2099"/>
    </row>
    <row r="71" spans="1:28" s="2098" customFormat="1" ht="26.25" hidden="1" outlineLevel="2">
      <c r="A71" s="2087"/>
      <c r="B71" s="2113" t="s">
        <v>3271</v>
      </c>
      <c r="C71" s="2123" t="s">
        <v>790</v>
      </c>
      <c r="D71" s="2090"/>
      <c r="E71" s="2091"/>
      <c r="F71" s="2128">
        <v>13431309.927999999</v>
      </c>
      <c r="G71" s="2091">
        <f>+'Receitas (mensais)'!E81</f>
        <v>790025.10399999993</v>
      </c>
      <c r="H71" s="2091">
        <f>+'Receitas (mensais)'!F81</f>
        <v>764287.478</v>
      </c>
      <c r="I71" s="2091">
        <f>+'Receitas (mensais)'!G81</f>
        <v>830990.55900000001</v>
      </c>
      <c r="J71" s="2091">
        <f>+'Receitas (mensais)'!H81</f>
        <v>884977.46600000001</v>
      </c>
      <c r="K71" s="2091">
        <f>+'Receitas (mensais)'!I81</f>
        <v>753987.45899999992</v>
      </c>
      <c r="L71" s="2091">
        <f>+'Receitas (mensais)'!J81</f>
        <v>969491.78099999996</v>
      </c>
      <c r="M71" s="2091">
        <f>+'Receitas (mensais)'!K81</f>
        <v>1159079.9110000001</v>
      </c>
      <c r="N71" s="2091">
        <f>+'Receitas (mensais)'!L81</f>
        <v>953240.42499999993</v>
      </c>
      <c r="O71" s="2091">
        <f>+'Receitas (mensais)'!M81</f>
        <v>900791.36600000004</v>
      </c>
      <c r="P71" s="2091">
        <f>+'Receitas (mensais)'!N81</f>
        <v>978404.9439999999</v>
      </c>
      <c r="Q71" s="2091">
        <f>+'Receitas (mensais)'!O81</f>
        <v>933925.26299999992</v>
      </c>
      <c r="R71" s="2091">
        <f>+'Receitas (mensais)'!P81</f>
        <v>809795.34100000013</v>
      </c>
      <c r="S71" s="2132">
        <f t="shared" si="12"/>
        <v>10728997.096999999</v>
      </c>
      <c r="T71" s="2093"/>
      <c r="U71" s="2093"/>
      <c r="V71" s="2093"/>
      <c r="W71" s="2094"/>
      <c r="X71" s="2096"/>
      <c r="Y71" s="2097"/>
      <c r="AA71" s="2099"/>
    </row>
    <row r="72" spans="1:28" s="2098" customFormat="1" ht="26.25" hidden="1" outlineLevel="2">
      <c r="A72" s="2087"/>
      <c r="B72" s="2113" t="s">
        <v>3272</v>
      </c>
      <c r="C72" s="2100" t="s">
        <v>3073</v>
      </c>
      <c r="D72" s="2090"/>
      <c r="E72" s="2091"/>
      <c r="F72" s="2128"/>
      <c r="G72" s="2091">
        <f>+G73+G74</f>
        <v>0</v>
      </c>
      <c r="H72" s="2091">
        <f t="shared" ref="H72:R72" si="27">+H73+H74</f>
        <v>0</v>
      </c>
      <c r="I72" s="2091">
        <f t="shared" si="27"/>
        <v>0</v>
      </c>
      <c r="J72" s="2091">
        <f t="shared" si="27"/>
        <v>0</v>
      </c>
      <c r="K72" s="2091">
        <f t="shared" si="27"/>
        <v>0</v>
      </c>
      <c r="L72" s="2091">
        <f t="shared" si="27"/>
        <v>0</v>
      </c>
      <c r="M72" s="2091">
        <f t="shared" si="27"/>
        <v>0</v>
      </c>
      <c r="N72" s="2091">
        <f t="shared" si="27"/>
        <v>0</v>
      </c>
      <c r="O72" s="2091">
        <f t="shared" si="27"/>
        <v>0</v>
      </c>
      <c r="P72" s="2091">
        <f t="shared" si="27"/>
        <v>0</v>
      </c>
      <c r="Q72" s="2091">
        <f t="shared" si="27"/>
        <v>0</v>
      </c>
      <c r="R72" s="2091">
        <f t="shared" si="27"/>
        <v>0</v>
      </c>
      <c r="S72" s="2132">
        <f t="shared" si="12"/>
        <v>0</v>
      </c>
      <c r="T72" s="2093"/>
      <c r="U72" s="2093"/>
      <c r="V72" s="2093"/>
      <c r="W72" s="2094"/>
      <c r="X72" s="2096"/>
      <c r="Y72" s="2097"/>
      <c r="AA72" s="2099">
        <f t="shared" si="26"/>
        <v>0</v>
      </c>
    </row>
    <row r="73" spans="1:28" s="2098" customFormat="1" ht="26.25" hidden="1" outlineLevel="2">
      <c r="A73" s="2087"/>
      <c r="B73" s="2113" t="s">
        <v>3274</v>
      </c>
      <c r="C73" s="2124" t="s">
        <v>3260</v>
      </c>
      <c r="D73" s="2090"/>
      <c r="E73" s="2091"/>
      <c r="F73" s="2128"/>
      <c r="G73" s="2091">
        <f>'Receitas (mensais)'!E83</f>
        <v>0</v>
      </c>
      <c r="H73" s="2091">
        <f>'Receitas (mensais)'!F83</f>
        <v>0</v>
      </c>
      <c r="I73" s="2091">
        <f>'Receitas (mensais)'!G83</f>
        <v>0</v>
      </c>
      <c r="J73" s="2091">
        <f>'Receitas (mensais)'!H83</f>
        <v>0</v>
      </c>
      <c r="K73" s="2091">
        <f>'Receitas (mensais)'!I83</f>
        <v>0</v>
      </c>
      <c r="L73" s="2091">
        <f>'Receitas (mensais)'!J83</f>
        <v>0</v>
      </c>
      <c r="M73" s="2091">
        <f>'Receitas (mensais)'!K83</f>
        <v>0</v>
      </c>
      <c r="N73" s="2091">
        <f>'Receitas (mensais)'!L83</f>
        <v>0</v>
      </c>
      <c r="O73" s="2091">
        <f>'Receitas (mensais)'!M83</f>
        <v>0</v>
      </c>
      <c r="P73" s="2091">
        <f>'Receitas (mensais)'!N83</f>
        <v>0</v>
      </c>
      <c r="Q73" s="2091">
        <f>'Receitas (mensais)'!O83</f>
        <v>0</v>
      </c>
      <c r="R73" s="2091">
        <f>'Receitas (mensais)'!P83</f>
        <v>0</v>
      </c>
      <c r="S73" s="2132"/>
      <c r="T73" s="2093"/>
      <c r="U73" s="2093"/>
      <c r="V73" s="2093"/>
      <c r="W73" s="2094"/>
      <c r="X73" s="2096"/>
      <c r="Y73" s="2097"/>
      <c r="AA73" s="2099"/>
    </row>
    <row r="74" spans="1:28" s="2098" customFormat="1" ht="26.25" hidden="1" outlineLevel="2">
      <c r="A74" s="2087"/>
      <c r="B74" s="2113" t="s">
        <v>3275</v>
      </c>
      <c r="C74" s="2124" t="s">
        <v>3261</v>
      </c>
      <c r="D74" s="2090"/>
      <c r="E74" s="2091"/>
      <c r="F74" s="2128"/>
      <c r="G74" s="2091">
        <f>'Receitas (mensais)'!E84</f>
        <v>0</v>
      </c>
      <c r="H74" s="2091">
        <f>'Receitas (mensais)'!F84</f>
        <v>0</v>
      </c>
      <c r="I74" s="2091">
        <f>'Receitas (mensais)'!G84</f>
        <v>0</v>
      </c>
      <c r="J74" s="2091">
        <f>'Receitas (mensais)'!H84</f>
        <v>0</v>
      </c>
      <c r="K74" s="2091">
        <f>'Receitas (mensais)'!I84</f>
        <v>0</v>
      </c>
      <c r="L74" s="2091">
        <f>'Receitas (mensais)'!J84</f>
        <v>0</v>
      </c>
      <c r="M74" s="2091">
        <f>'Receitas (mensais)'!K84</f>
        <v>0</v>
      </c>
      <c r="N74" s="2091">
        <f>'Receitas (mensais)'!L84</f>
        <v>0</v>
      </c>
      <c r="O74" s="2091">
        <f>'Receitas (mensais)'!M84</f>
        <v>0</v>
      </c>
      <c r="P74" s="2091">
        <f>'Receitas (mensais)'!N84</f>
        <v>0</v>
      </c>
      <c r="Q74" s="2091">
        <f>'Receitas (mensais)'!O84</f>
        <v>0</v>
      </c>
      <c r="R74" s="2091">
        <f>'Receitas (mensais)'!P84</f>
        <v>0</v>
      </c>
      <c r="S74" s="2132"/>
      <c r="T74" s="2093"/>
      <c r="U74" s="2093"/>
      <c r="V74" s="2093"/>
      <c r="W74" s="2094"/>
      <c r="X74" s="2096"/>
      <c r="Y74" s="2097"/>
      <c r="AA74" s="2099"/>
    </row>
    <row r="75" spans="1:28" s="2098" customFormat="1" ht="26.25" hidden="1" outlineLevel="2">
      <c r="A75" s="2087"/>
      <c r="B75" s="2113" t="s">
        <v>3273</v>
      </c>
      <c r="C75" s="2100" t="str">
        <f>'Receitas (mensais)'!D85</f>
        <v>Arroz</v>
      </c>
      <c r="D75" s="2090"/>
      <c r="E75" s="2091"/>
      <c r="F75" s="2128"/>
      <c r="G75" s="2091">
        <f>'Receitas (mensais)'!E85</f>
        <v>0</v>
      </c>
      <c r="H75" s="2091">
        <f>'Receitas (mensais)'!F85</f>
        <v>0</v>
      </c>
      <c r="I75" s="2091">
        <f>'Receitas (mensais)'!G85</f>
        <v>0</v>
      </c>
      <c r="J75" s="2091">
        <f>'Receitas (mensais)'!H85</f>
        <v>0</v>
      </c>
      <c r="K75" s="2091">
        <f>'Receitas (mensais)'!I85</f>
        <v>0</v>
      </c>
      <c r="L75" s="2091">
        <f>'Receitas (mensais)'!J85</f>
        <v>0</v>
      </c>
      <c r="M75" s="2091">
        <f>'Receitas (mensais)'!K85</f>
        <v>0</v>
      </c>
      <c r="N75" s="2091">
        <f>'Receitas (mensais)'!L85</f>
        <v>0</v>
      </c>
      <c r="O75" s="2091">
        <f>'Receitas (mensais)'!M85</f>
        <v>0</v>
      </c>
      <c r="P75" s="2091">
        <f>'Receitas (mensais)'!N85</f>
        <v>0</v>
      </c>
      <c r="Q75" s="2091">
        <f>'Receitas (mensais)'!O85</f>
        <v>0</v>
      </c>
      <c r="R75" s="2091">
        <f>'Receitas (mensais)'!P85</f>
        <v>0</v>
      </c>
      <c r="S75" s="2132">
        <f t="shared" si="12"/>
        <v>0</v>
      </c>
      <c r="T75" s="2093"/>
      <c r="U75" s="2093"/>
      <c r="V75" s="2093"/>
      <c r="W75" s="2094"/>
      <c r="X75" s="2096"/>
      <c r="Y75" s="2097"/>
      <c r="AA75" s="2099">
        <f t="shared" si="26"/>
        <v>0</v>
      </c>
    </row>
    <row r="76" spans="1:28" s="2098" customFormat="1" ht="26.25" hidden="1" outlineLevel="2">
      <c r="A76" s="2087"/>
      <c r="B76" s="2113" t="s">
        <v>3276</v>
      </c>
      <c r="C76" s="2100" t="str">
        <f>'Receitas (mensais)'!D86</f>
        <v>Outros</v>
      </c>
      <c r="D76" s="2090"/>
      <c r="E76" s="2091"/>
      <c r="F76" s="2128"/>
      <c r="G76" s="2091">
        <f>'Receitas (mensais)'!E86</f>
        <v>0</v>
      </c>
      <c r="H76" s="2091">
        <f>'Receitas (mensais)'!F86</f>
        <v>0</v>
      </c>
      <c r="I76" s="2091">
        <f>'Receitas (mensais)'!G86</f>
        <v>165.20500000000001</v>
      </c>
      <c r="J76" s="2091">
        <f>'Receitas (mensais)'!H86</f>
        <v>0</v>
      </c>
      <c r="K76" s="2091">
        <f>'Receitas (mensais)'!I86</f>
        <v>0</v>
      </c>
      <c r="L76" s="2091">
        <f>'Receitas (mensais)'!J86</f>
        <v>0</v>
      </c>
      <c r="M76" s="2091">
        <f>'Receitas (mensais)'!K86</f>
        <v>0</v>
      </c>
      <c r="N76" s="2091">
        <f>'Receitas (mensais)'!L86</f>
        <v>0</v>
      </c>
      <c r="O76" s="2091">
        <f>'Receitas (mensais)'!M86</f>
        <v>0</v>
      </c>
      <c r="P76" s="2091">
        <f>'Receitas (mensais)'!N86</f>
        <v>0</v>
      </c>
      <c r="Q76" s="2091">
        <f>'Receitas (mensais)'!O86</f>
        <v>0</v>
      </c>
      <c r="R76" s="2091">
        <f>'Receitas (mensais)'!P86</f>
        <v>77.92</v>
      </c>
      <c r="S76" s="2132">
        <f t="shared" si="12"/>
        <v>243.125</v>
      </c>
      <c r="T76" s="2093"/>
      <c r="U76" s="2093"/>
      <c r="V76" s="2093"/>
      <c r="W76" s="2094"/>
      <c r="X76" s="2096"/>
      <c r="Y76" s="2097"/>
      <c r="AA76" s="2099">
        <f t="shared" si="26"/>
        <v>0.24312500000000001</v>
      </c>
    </row>
    <row r="77" spans="1:28" s="2098" customFormat="1" ht="26.25" hidden="1" outlineLevel="1">
      <c r="A77" s="2087"/>
      <c r="B77" s="2088" t="s">
        <v>3188</v>
      </c>
      <c r="C77" s="2089" t="str">
        <f>'Receitas (mensais)'!D87</f>
        <v>Outros impostos indirectos</v>
      </c>
      <c r="D77" s="2090"/>
      <c r="E77" s="2091"/>
      <c r="F77" s="2128">
        <f>+F78+F90+F91</f>
        <v>1493342.4699999995</v>
      </c>
      <c r="G77" s="2091">
        <f>+G78+G90+G91</f>
        <v>65692.951000000001</v>
      </c>
      <c r="H77" s="2091">
        <f t="shared" ref="H77:R77" si="28">+H78+H90+H91</f>
        <v>288791.40899999999</v>
      </c>
      <c r="I77" s="2091">
        <f t="shared" si="28"/>
        <v>73323.263000000006</v>
      </c>
      <c r="J77" s="2091">
        <f t="shared" si="28"/>
        <v>89304.963999999993</v>
      </c>
      <c r="K77" s="2091">
        <f t="shared" si="28"/>
        <v>84947.137999999992</v>
      </c>
      <c r="L77" s="2091">
        <f t="shared" si="28"/>
        <v>295436.51499999996</v>
      </c>
      <c r="M77" s="2091">
        <f t="shared" si="28"/>
        <v>104083.337</v>
      </c>
      <c r="N77" s="2091">
        <f t="shared" si="28"/>
        <v>110140.84823999999</v>
      </c>
      <c r="O77" s="2091">
        <f t="shared" si="28"/>
        <v>146556.158</v>
      </c>
      <c r="P77" s="2091">
        <f t="shared" si="28"/>
        <v>133840.75699999998</v>
      </c>
      <c r="Q77" s="2091">
        <f t="shared" si="28"/>
        <v>130656.82399999999</v>
      </c>
      <c r="R77" s="2091">
        <f t="shared" si="28"/>
        <v>135001.14899999998</v>
      </c>
      <c r="S77" s="2092">
        <f t="shared" si="12"/>
        <v>1657775.31324</v>
      </c>
      <c r="T77" s="2093"/>
      <c r="U77" s="2093"/>
      <c r="V77" s="2093"/>
      <c r="W77" s="2094"/>
      <c r="X77" s="2095"/>
      <c r="Y77" s="2096"/>
      <c r="Z77" s="2097"/>
      <c r="AA77" s="2098">
        <f t="shared" si="26"/>
        <v>1657.7753132400001</v>
      </c>
      <c r="AB77" s="2099"/>
    </row>
    <row r="78" spans="1:28" s="2098" customFormat="1" ht="26.25" hidden="1" outlineLevel="2">
      <c r="A78" s="2087"/>
      <c r="B78" s="2111" t="s">
        <v>3277</v>
      </c>
      <c r="C78" s="2100" t="str">
        <f>'Receitas (mensais)'!D88</f>
        <v>Impostos de selo e estampilhas</v>
      </c>
      <c r="D78" s="2090"/>
      <c r="E78" s="2091">
        <f>SUM(E79:E89)</f>
        <v>0</v>
      </c>
      <c r="F78" s="2128">
        <f>SUM(F79:F89)</f>
        <v>1493342.4699999995</v>
      </c>
      <c r="G78" s="2091">
        <f>SUM(G79:G89)</f>
        <v>65692.951000000001</v>
      </c>
      <c r="H78" s="2091">
        <f t="shared" ref="H78:R78" si="29">SUM(H79:H89)</f>
        <v>288791.40899999999</v>
      </c>
      <c r="I78" s="2091">
        <f t="shared" si="29"/>
        <v>73323.263000000006</v>
      </c>
      <c r="J78" s="2091">
        <f t="shared" si="29"/>
        <v>89304.963999999993</v>
      </c>
      <c r="K78" s="2091">
        <f t="shared" si="29"/>
        <v>84947.137999999992</v>
      </c>
      <c r="L78" s="2091">
        <f t="shared" si="29"/>
        <v>295436.51499999996</v>
      </c>
      <c r="M78" s="2091">
        <f t="shared" si="29"/>
        <v>104083.337</v>
      </c>
      <c r="N78" s="2091">
        <f t="shared" si="29"/>
        <v>110140.84823999999</v>
      </c>
      <c r="O78" s="2091">
        <f t="shared" si="29"/>
        <v>146556.158</v>
      </c>
      <c r="P78" s="2091">
        <f t="shared" si="29"/>
        <v>133840.75699999998</v>
      </c>
      <c r="Q78" s="2091">
        <f t="shared" si="29"/>
        <v>130656.82399999999</v>
      </c>
      <c r="R78" s="2091">
        <f t="shared" si="29"/>
        <v>135001.14899999998</v>
      </c>
      <c r="S78" s="2132">
        <f t="shared" si="12"/>
        <v>1657775.31324</v>
      </c>
      <c r="T78" s="2093"/>
      <c r="U78" s="2093"/>
      <c r="V78" s="2093"/>
      <c r="W78" s="2094"/>
      <c r="X78" s="2096"/>
      <c r="Y78" s="2097"/>
      <c r="AA78" s="2099">
        <f t="shared" si="26"/>
        <v>1657.7753132400001</v>
      </c>
    </row>
    <row r="79" spans="1:28" s="2098" customFormat="1" ht="26.25" hidden="1" outlineLevel="2">
      <c r="A79" s="2087"/>
      <c r="B79" s="2111" t="s">
        <v>3279</v>
      </c>
      <c r="C79" s="2100" t="str">
        <f>'Receitas (mensais)'!D89</f>
        <v xml:space="preserve">         Selo de assistência</v>
      </c>
      <c r="D79" s="2090"/>
      <c r="E79" s="2091"/>
      <c r="F79" s="2128">
        <v>16258.546</v>
      </c>
      <c r="G79" s="2091">
        <f>'Receitas (mensais)'!E89</f>
        <v>4197.7610000000004</v>
      </c>
      <c r="H79" s="2091">
        <f>'Receitas (mensais)'!F89</f>
        <v>8907.5380000000005</v>
      </c>
      <c r="I79" s="2091">
        <f>'Receitas (mensais)'!G89</f>
        <v>6423.8969999999999</v>
      </c>
      <c r="J79" s="2091">
        <f>'Receitas (mensais)'!H89</f>
        <v>7680.4040000000005</v>
      </c>
      <c r="K79" s="2091">
        <f>'Receitas (mensais)'!I89</f>
        <v>581</v>
      </c>
      <c r="L79" s="2091">
        <f>'Receitas (mensais)'!J89</f>
        <v>6859.0730000000003</v>
      </c>
      <c r="M79" s="2091">
        <f>'Receitas (mensais)'!K89</f>
        <v>9318.7109999999993</v>
      </c>
      <c r="N79" s="2091">
        <f>'Receitas (mensais)'!L89</f>
        <v>8937.23</v>
      </c>
      <c r="O79" s="2091">
        <f>'Receitas (mensais)'!M89</f>
        <v>11786.793</v>
      </c>
      <c r="P79" s="2091">
        <f>'Receitas (mensais)'!N89</f>
        <v>11358.724</v>
      </c>
      <c r="Q79" s="2091">
        <f>'Receitas (mensais)'!O89</f>
        <v>6233.9259999999995</v>
      </c>
      <c r="R79" s="2091">
        <f>'Receitas (mensais)'!P89</f>
        <v>5724.277</v>
      </c>
      <c r="S79" s="2132">
        <f t="shared" si="12"/>
        <v>88009.333999999973</v>
      </c>
      <c r="T79" s="2093"/>
      <c r="U79" s="2093"/>
      <c r="V79" s="2093"/>
      <c r="W79" s="2094"/>
      <c r="X79" s="2096"/>
      <c r="Y79" s="2097"/>
      <c r="AA79" s="2099">
        <f t="shared" si="26"/>
        <v>88.009333999999967</v>
      </c>
    </row>
    <row r="80" spans="1:28" s="2098" customFormat="1" ht="26.25" hidden="1" outlineLevel="2">
      <c r="A80" s="2087"/>
      <c r="B80" s="2111" t="s">
        <v>3280</v>
      </c>
      <c r="C80" s="2100" t="str">
        <f>'Receitas (mensais)'!D90</f>
        <v xml:space="preserve">          Papel Selado</v>
      </c>
      <c r="D80" s="2090"/>
      <c r="E80" s="2091"/>
      <c r="F80" s="2128">
        <v>270420.03700000001</v>
      </c>
      <c r="G80" s="2091">
        <f>'Receitas (mensais)'!E90</f>
        <v>3497</v>
      </c>
      <c r="H80" s="2091">
        <f>'Receitas (mensais)'!F90</f>
        <v>2210</v>
      </c>
      <c r="I80" s="2091">
        <f>'Receitas (mensais)'!G90</f>
        <v>3744</v>
      </c>
      <c r="J80" s="2091">
        <f>'Receitas (mensais)'!H90</f>
        <v>12694.184999999999</v>
      </c>
      <c r="K80" s="2091">
        <f>'Receitas (mensais)'!I90</f>
        <v>2519.5</v>
      </c>
      <c r="L80" s="2091">
        <f>'Receitas (mensais)'!J90</f>
        <v>5269</v>
      </c>
      <c r="M80" s="2091">
        <f>'Receitas (mensais)'!K90</f>
        <v>10009</v>
      </c>
      <c r="N80" s="2091">
        <f>'Receitas (mensais)'!L90</f>
        <v>19271</v>
      </c>
      <c r="O80" s="2091">
        <f>'Receitas (mensais)'!M90</f>
        <v>12830</v>
      </c>
      <c r="P80" s="2091">
        <f>'Receitas (mensais)'!N90</f>
        <v>8592.5</v>
      </c>
      <c r="Q80" s="2091">
        <f>'Receitas (mensais)'!O90</f>
        <v>6085</v>
      </c>
      <c r="R80" s="2091">
        <f>'Receitas (mensais)'!P90</f>
        <v>23788.666000000001</v>
      </c>
      <c r="S80" s="2132">
        <f t="shared" si="12"/>
        <v>110509.851</v>
      </c>
      <c r="T80" s="2093"/>
      <c r="U80" s="2093"/>
      <c r="V80" s="2093"/>
      <c r="W80" s="2094"/>
      <c r="X80" s="2096"/>
      <c r="Y80" s="2097"/>
      <c r="AA80" s="2099">
        <f t="shared" si="26"/>
        <v>110.509851</v>
      </c>
    </row>
    <row r="81" spans="1:29" s="2122" customFormat="1" ht="26.25" hidden="1" outlineLevel="2">
      <c r="A81" s="2117"/>
      <c r="B81" s="2111" t="s">
        <v>3281</v>
      </c>
      <c r="C81" s="2100" t="str">
        <f>'Receitas (mensais)'!D91</f>
        <v xml:space="preserve">          Estampilhas fiscais</v>
      </c>
      <c r="D81" s="2118"/>
      <c r="E81" s="2091"/>
      <c r="F81" s="2128">
        <v>144719.69699999999</v>
      </c>
      <c r="G81" s="2091">
        <f>'Receitas (mensais)'!E91</f>
        <v>4184</v>
      </c>
      <c r="H81" s="2091">
        <f>'Receitas (mensais)'!F91</f>
        <v>5196</v>
      </c>
      <c r="I81" s="2091">
        <f>'Receitas (mensais)'!G91</f>
        <v>5077</v>
      </c>
      <c r="J81" s="2091">
        <f>'Receitas (mensais)'!H91</f>
        <v>8239</v>
      </c>
      <c r="K81" s="2091">
        <f>'Receitas (mensais)'!I91</f>
        <v>1582</v>
      </c>
      <c r="L81" s="2091">
        <f>'Receitas (mensais)'!J91</f>
        <v>5532.5</v>
      </c>
      <c r="M81" s="2091">
        <f>'Receitas (mensais)'!K91</f>
        <v>12996.5</v>
      </c>
      <c r="N81" s="2091">
        <f>'Receitas (mensais)'!L91</f>
        <v>10409.5</v>
      </c>
      <c r="O81" s="2091">
        <f>'Receitas (mensais)'!M91</f>
        <v>17167</v>
      </c>
      <c r="P81" s="2091">
        <f>'Receitas (mensais)'!N91</f>
        <v>11799.45</v>
      </c>
      <c r="Q81" s="2091">
        <f>'Receitas (mensais)'!O91</f>
        <v>3529.5</v>
      </c>
      <c r="R81" s="2091">
        <f>'Receitas (mensais)'!P91</f>
        <v>3432</v>
      </c>
      <c r="S81" s="2132">
        <f t="shared" si="12"/>
        <v>89144.45</v>
      </c>
      <c r="T81" s="2119"/>
      <c r="U81" s="2119"/>
      <c r="V81" s="2119"/>
      <c r="W81" s="2120"/>
      <c r="X81" s="2121"/>
      <c r="Y81" s="2097"/>
      <c r="AA81" s="2099">
        <f t="shared" si="26"/>
        <v>89.144449999999992</v>
      </c>
    </row>
    <row r="82" spans="1:29" s="2122" customFormat="1" ht="26.25" hidden="1" outlineLevel="2">
      <c r="A82" s="2117"/>
      <c r="B82" s="2111" t="s">
        <v>3282</v>
      </c>
      <c r="C82" s="2100" t="str">
        <f>'Receitas (mensais)'!D92</f>
        <v xml:space="preserve">          Letras Seladas e Impress</v>
      </c>
      <c r="D82" s="2118"/>
      <c r="E82" s="2091"/>
      <c r="F82" s="2128">
        <v>120.59099999999999</v>
      </c>
      <c r="G82" s="2091">
        <f>'Receitas (mensais)'!E92</f>
        <v>0</v>
      </c>
      <c r="H82" s="2091">
        <f>'Receitas (mensais)'!F92</f>
        <v>0</v>
      </c>
      <c r="I82" s="2091">
        <f>'Receitas (mensais)'!G92</f>
        <v>0</v>
      </c>
      <c r="J82" s="2091">
        <f>'Receitas (mensais)'!H92</f>
        <v>0</v>
      </c>
      <c r="K82" s="2091">
        <f>'Receitas (mensais)'!I92</f>
        <v>0</v>
      </c>
      <c r="L82" s="2091">
        <f>'Receitas (mensais)'!J92</f>
        <v>0</v>
      </c>
      <c r="M82" s="2091">
        <f>'Receitas (mensais)'!K92</f>
        <v>0</v>
      </c>
      <c r="N82" s="2091">
        <f>'Receitas (mensais)'!L92</f>
        <v>0</v>
      </c>
      <c r="O82" s="2091">
        <f>'Receitas (mensais)'!M92</f>
        <v>0</v>
      </c>
      <c r="P82" s="2091">
        <f>'Receitas (mensais)'!N92</f>
        <v>250</v>
      </c>
      <c r="Q82" s="2091">
        <f>'Receitas (mensais)'!O92</f>
        <v>0</v>
      </c>
      <c r="R82" s="2091">
        <f>'Receitas (mensais)'!P92</f>
        <v>0</v>
      </c>
      <c r="S82" s="2132">
        <f t="shared" si="12"/>
        <v>250</v>
      </c>
      <c r="T82" s="2119"/>
      <c r="U82" s="2119"/>
      <c r="V82" s="2119"/>
      <c r="W82" s="2120"/>
      <c r="X82" s="2121"/>
      <c r="Y82" s="2097"/>
      <c r="AA82" s="2099">
        <f t="shared" si="26"/>
        <v>0.25</v>
      </c>
    </row>
    <row r="83" spans="1:29" s="2098" customFormat="1" ht="26.25" hidden="1" outlineLevel="2">
      <c r="A83" s="2087"/>
      <c r="B83" s="2111" t="s">
        <v>3283</v>
      </c>
      <c r="C83" s="2100" t="str">
        <f>'Receitas (mensais)'!D93</f>
        <v xml:space="preserve">          Selo de Verba</v>
      </c>
      <c r="D83" s="2090"/>
      <c r="E83" s="2091"/>
      <c r="F83" s="2128">
        <v>819222.34600000002</v>
      </c>
      <c r="G83" s="2091">
        <f>'Receitas (mensais)'!E93</f>
        <v>35324.822</v>
      </c>
      <c r="H83" s="2091">
        <f>'Receitas (mensais)'!F93</f>
        <v>243720.984</v>
      </c>
      <c r="I83" s="2091">
        <f>'Receitas (mensais)'!G93</f>
        <v>23504.639000000003</v>
      </c>
      <c r="J83" s="2091">
        <f>'Receitas (mensais)'!H93</f>
        <v>16564.047999999999</v>
      </c>
      <c r="K83" s="2091">
        <f>'Receitas (mensais)'!I93</f>
        <v>58632.567999999992</v>
      </c>
      <c r="L83" s="2091">
        <f>'Receitas (mensais)'!J93</f>
        <v>244777.50299999997</v>
      </c>
      <c r="M83" s="2091">
        <f>'Receitas (mensais)'!K93</f>
        <v>38585.161999999997</v>
      </c>
      <c r="N83" s="2091">
        <f>'Receitas (mensais)'!L93</f>
        <v>27024.537240000001</v>
      </c>
      <c r="O83" s="2091">
        <f>'Receitas (mensais)'!M93</f>
        <v>86828.707999999984</v>
      </c>
      <c r="P83" s="2091">
        <f>'Receitas (mensais)'!N93</f>
        <v>61188.309000000008</v>
      </c>
      <c r="Q83" s="2091">
        <f>'Receitas (mensais)'!O93</f>
        <v>100198.59999999998</v>
      </c>
      <c r="R83" s="2091">
        <f>'Receitas (mensais)'!P93</f>
        <v>91241.536999999982</v>
      </c>
      <c r="S83" s="2132">
        <f t="shared" si="12"/>
        <v>1027591.41724</v>
      </c>
      <c r="T83" s="2093"/>
      <c r="U83" s="2093"/>
      <c r="V83" s="2093"/>
      <c r="W83" s="2094"/>
      <c r="X83" s="2096"/>
      <c r="Y83" s="2097"/>
      <c r="AA83" s="2099">
        <f t="shared" si="26"/>
        <v>1027.5914172400001</v>
      </c>
    </row>
    <row r="84" spans="1:29" s="2098" customFormat="1" ht="26.25" hidden="1" outlineLevel="2">
      <c r="A84" s="2087"/>
      <c r="B84" s="2111" t="s">
        <v>3284</v>
      </c>
      <c r="C84" s="2100" t="str">
        <f>'Receitas (mensais)'!D94</f>
        <v xml:space="preserve">          Selo Conhec. de Cobrança</v>
      </c>
      <c r="D84" s="2090"/>
      <c r="E84" s="2091"/>
      <c r="F84" s="2128">
        <v>3521.8119999999999</v>
      </c>
      <c r="G84" s="2091">
        <f>'Receitas (mensais)'!E94</f>
        <v>0</v>
      </c>
      <c r="H84" s="2091">
        <f>'Receitas (mensais)'!F94</f>
        <v>657.65</v>
      </c>
      <c r="I84" s="2091">
        <f>'Receitas (mensais)'!G94</f>
        <v>0</v>
      </c>
      <c r="J84" s="2091">
        <f>'Receitas (mensais)'!H94</f>
        <v>0</v>
      </c>
      <c r="K84" s="2091">
        <f>'Receitas (mensais)'!I94</f>
        <v>0</v>
      </c>
      <c r="L84" s="2091">
        <f>'Receitas (mensais)'!J94</f>
        <v>0</v>
      </c>
      <c r="M84" s="2091">
        <f>'Receitas (mensais)'!K94</f>
        <v>0</v>
      </c>
      <c r="N84" s="2091">
        <f>'Receitas (mensais)'!L94</f>
        <v>0</v>
      </c>
      <c r="O84" s="2091">
        <f>'Receitas (mensais)'!M94</f>
        <v>0</v>
      </c>
      <c r="P84" s="2091">
        <f>'Receitas (mensais)'!N94</f>
        <v>8.1310000000000002</v>
      </c>
      <c r="Q84" s="2091">
        <f>'Receitas (mensais)'!O94</f>
        <v>4149.4059999999999</v>
      </c>
      <c r="R84" s="2091">
        <f>'Receitas (mensais)'!P94</f>
        <v>0</v>
      </c>
      <c r="S84" s="2132">
        <f t="shared" si="12"/>
        <v>4815.1869999999999</v>
      </c>
      <c r="T84" s="2093"/>
      <c r="U84" s="2093"/>
      <c r="V84" s="2093"/>
      <c r="W84" s="2094"/>
      <c r="X84" s="2096"/>
      <c r="Y84" s="2097"/>
      <c r="AA84" s="2099">
        <f t="shared" si="26"/>
        <v>4.8151869999999999</v>
      </c>
    </row>
    <row r="85" spans="1:29" s="2098" customFormat="1" ht="26.25" hidden="1" outlineLevel="2">
      <c r="A85" s="2087"/>
      <c r="B85" s="2111" t="s">
        <v>3285</v>
      </c>
      <c r="C85" s="2100" t="str">
        <f>'Receitas (mensais)'!D95</f>
        <v xml:space="preserve">          Selos diversos</v>
      </c>
      <c r="D85" s="2090"/>
      <c r="E85" s="2091"/>
      <c r="F85" s="2128">
        <v>3940.7849999999999</v>
      </c>
      <c r="G85" s="2091">
        <f>'Receitas (mensais)'!E95</f>
        <v>5978.8559999999998</v>
      </c>
      <c r="H85" s="2091">
        <f>'Receitas (mensais)'!F95</f>
        <v>5885.3590000000004</v>
      </c>
      <c r="I85" s="2091">
        <f>'Receitas (mensais)'!G95</f>
        <v>18133.923999999999</v>
      </c>
      <c r="J85" s="2091">
        <f>'Receitas (mensais)'!H95</f>
        <v>21216.547999999999</v>
      </c>
      <c r="K85" s="2091">
        <f>'Receitas (mensais)'!I95</f>
        <v>0</v>
      </c>
      <c r="L85" s="2091">
        <f>'Receitas (mensais)'!J95</f>
        <v>19432.7</v>
      </c>
      <c r="M85" s="2091">
        <f>'Receitas (mensais)'!K95</f>
        <v>19218.488000000001</v>
      </c>
      <c r="N85" s="2091">
        <f>'Receitas (mensais)'!L95</f>
        <v>23431.727999999999</v>
      </c>
      <c r="O85" s="2091">
        <f>'Receitas (mensais)'!M95</f>
        <v>0</v>
      </c>
      <c r="P85" s="2091">
        <f>'Receitas (mensais)'!N95</f>
        <v>0</v>
      </c>
      <c r="Q85" s="2091">
        <f>'Receitas (mensais)'!O95</f>
        <v>20.395</v>
      </c>
      <c r="R85" s="2091">
        <f>'Receitas (mensais)'!P95</f>
        <v>0</v>
      </c>
      <c r="S85" s="2132">
        <f t="shared" si="12"/>
        <v>113317.99800000001</v>
      </c>
      <c r="T85" s="2093">
        <f t="shared" ref="T85:T91" si="30">SUM(G85:L85)</f>
        <v>70647.387000000002</v>
      </c>
      <c r="U85" s="2093">
        <f t="shared" ref="U85:U91" si="31">SUM(G85:O85)</f>
        <v>113297.603</v>
      </c>
      <c r="V85" s="2093">
        <f t="shared" ref="V85:V91" si="32">S85</f>
        <v>113317.99800000001</v>
      </c>
      <c r="W85" s="2094">
        <f>S85/F85*100</f>
        <v>2875.5184055968548</v>
      </c>
      <c r="X85" s="2096"/>
      <c r="Y85" s="2097"/>
      <c r="AA85" s="2099">
        <f t="shared" si="26"/>
        <v>113.317998</v>
      </c>
    </row>
    <row r="86" spans="1:29" s="2098" customFormat="1" ht="26.25" hidden="1" outlineLevel="2">
      <c r="A86" s="2125" t="s">
        <v>668</v>
      </c>
      <c r="B86" s="2111" t="s">
        <v>3286</v>
      </c>
      <c r="C86" s="2100" t="str">
        <f>'Receitas (mensais)'!D96</f>
        <v xml:space="preserve">          Selo de Cheques</v>
      </c>
      <c r="D86" s="2090" t="e">
        <f>D87+D88+D91+#REF!+#REF!</f>
        <v>#REF!</v>
      </c>
      <c r="E86" s="2091"/>
      <c r="F86" s="2128">
        <v>1.1839999999999999</v>
      </c>
      <c r="G86" s="2091">
        <f>'Receitas (mensais)'!E96</f>
        <v>0</v>
      </c>
      <c r="H86" s="2091">
        <f>'Receitas (mensais)'!F96</f>
        <v>0</v>
      </c>
      <c r="I86" s="2091">
        <f>'Receitas (mensais)'!G96</f>
        <v>0</v>
      </c>
      <c r="J86" s="2091">
        <f>'Receitas (mensais)'!H96</f>
        <v>0</v>
      </c>
      <c r="K86" s="2091">
        <f>'Receitas (mensais)'!I96</f>
        <v>0</v>
      </c>
      <c r="L86" s="2091">
        <f>'Receitas (mensais)'!J96</f>
        <v>0</v>
      </c>
      <c r="M86" s="2091">
        <f>'Receitas (mensais)'!K96</f>
        <v>0</v>
      </c>
      <c r="N86" s="2091">
        <f>'Receitas (mensais)'!L96</f>
        <v>0</v>
      </c>
      <c r="O86" s="2091">
        <f>'Receitas (mensais)'!M96</f>
        <v>0</v>
      </c>
      <c r="P86" s="2091">
        <f>'Receitas (mensais)'!N96</f>
        <v>0</v>
      </c>
      <c r="Q86" s="2091">
        <f>'Receitas (mensais)'!O96</f>
        <v>0</v>
      </c>
      <c r="R86" s="2091">
        <f>'Receitas (mensais)'!P96</f>
        <v>0</v>
      </c>
      <c r="S86" s="2132">
        <f t="shared" si="12"/>
        <v>0</v>
      </c>
      <c r="T86" s="2093">
        <f t="shared" si="30"/>
        <v>0</v>
      </c>
      <c r="U86" s="2093">
        <f t="shared" si="31"/>
        <v>0</v>
      </c>
      <c r="V86" s="2093">
        <f t="shared" si="32"/>
        <v>0</v>
      </c>
      <c r="W86" s="2094">
        <f t="shared" ref="W86:W289" si="33">S86/F86*100</f>
        <v>0</v>
      </c>
      <c r="X86" s="2096"/>
      <c r="Y86" s="2097"/>
      <c r="AA86" s="2099">
        <f t="shared" si="26"/>
        <v>0</v>
      </c>
    </row>
    <row r="87" spans="1:29" s="2098" customFormat="1" ht="26.25" hidden="1" outlineLevel="2">
      <c r="A87" s="2087" t="s">
        <v>430</v>
      </c>
      <c r="B87" s="2111" t="s">
        <v>3287</v>
      </c>
      <c r="C87" s="2100" t="str">
        <f>'Receitas (mensais)'!D97</f>
        <v xml:space="preserve">          Selo Reconstr. Nacional</v>
      </c>
      <c r="D87" s="2126">
        <v>0</v>
      </c>
      <c r="E87" s="2091"/>
      <c r="F87" s="2128">
        <v>132436.29500000001</v>
      </c>
      <c r="G87" s="2091">
        <f>'Receitas (mensais)'!E97</f>
        <v>4197.7610000000004</v>
      </c>
      <c r="H87" s="2091">
        <f>'Receitas (mensais)'!F97</f>
        <v>8899.5709999999999</v>
      </c>
      <c r="I87" s="2091">
        <f>'Receitas (mensais)'!G97</f>
        <v>5317.2510000000002</v>
      </c>
      <c r="J87" s="2091">
        <f>'Receitas (mensais)'!H97</f>
        <v>7599.4040000000005</v>
      </c>
      <c r="K87" s="2091">
        <f>'Receitas (mensais)'!I97</f>
        <v>4169.5820000000003</v>
      </c>
      <c r="L87" s="2091">
        <f>'Receitas (mensais)'!J97</f>
        <v>6595.0969999999998</v>
      </c>
      <c r="M87" s="2091">
        <f>'Receitas (mensais)'!K97</f>
        <v>9304.1490000000013</v>
      </c>
      <c r="N87" s="2091">
        <f>'Receitas (mensais)'!L97</f>
        <v>13465.196</v>
      </c>
      <c r="O87" s="2091">
        <f>'Receitas (mensais)'!M97</f>
        <v>12442.093000000001</v>
      </c>
      <c r="P87" s="2091">
        <f>'Receitas (mensais)'!N97</f>
        <v>30350.23</v>
      </c>
      <c r="Q87" s="2091">
        <f>'Receitas (mensais)'!O97</f>
        <v>5835.326</v>
      </c>
      <c r="R87" s="2091">
        <f>'Receitas (mensais)'!P97</f>
        <v>5624.1319999999996</v>
      </c>
      <c r="S87" s="2132">
        <f t="shared" si="12"/>
        <v>113799.79199999999</v>
      </c>
      <c r="T87" s="2093">
        <f t="shared" si="30"/>
        <v>36778.666000000005</v>
      </c>
      <c r="U87" s="2093">
        <f t="shared" si="31"/>
        <v>71990.103999999992</v>
      </c>
      <c r="V87" s="2093">
        <f t="shared" si="32"/>
        <v>113799.79199999999</v>
      </c>
      <c r="W87" s="2094">
        <f t="shared" si="33"/>
        <v>85.927948981055366</v>
      </c>
      <c r="X87" s="2096"/>
      <c r="Y87" s="2097"/>
      <c r="AA87" s="2099">
        <f t="shared" si="26"/>
        <v>113.79979199999998</v>
      </c>
    </row>
    <row r="88" spans="1:29" s="2098" customFormat="1" ht="26.25" hidden="1" outlineLevel="2">
      <c r="A88" s="2087" t="s">
        <v>433</v>
      </c>
      <c r="B88" s="2111" t="s">
        <v>3288</v>
      </c>
      <c r="C88" s="2100" t="str">
        <f>'Receitas (mensais)'!D98</f>
        <v xml:space="preserve">           Estamp. Espec. Farmac.</v>
      </c>
      <c r="D88" s="2090">
        <f>+D89+D90</f>
        <v>0</v>
      </c>
      <c r="E88" s="2091"/>
      <c r="F88" s="2128"/>
      <c r="G88" s="2091">
        <f>'Receitas (mensais)'!E98</f>
        <v>0</v>
      </c>
      <c r="H88" s="2091">
        <f>'Receitas (mensais)'!F98</f>
        <v>0</v>
      </c>
      <c r="I88" s="2091">
        <f>'Receitas (mensais)'!G98</f>
        <v>0</v>
      </c>
      <c r="J88" s="2091">
        <f>'Receitas (mensais)'!H98</f>
        <v>0</v>
      </c>
      <c r="K88" s="2091">
        <f>'Receitas (mensais)'!I98</f>
        <v>0</v>
      </c>
      <c r="L88" s="2091">
        <f>'Receitas (mensais)'!J98</f>
        <v>0</v>
      </c>
      <c r="M88" s="2091">
        <f>'Receitas (mensais)'!K98</f>
        <v>0</v>
      </c>
      <c r="N88" s="2091">
        <f>'Receitas (mensais)'!L98</f>
        <v>0</v>
      </c>
      <c r="O88" s="2091">
        <f>'Receitas (mensais)'!M98</f>
        <v>0</v>
      </c>
      <c r="P88" s="2091">
        <f>'Receitas (mensais)'!N98</f>
        <v>0</v>
      </c>
      <c r="Q88" s="2091">
        <f>'Receitas (mensais)'!O98</f>
        <v>0</v>
      </c>
      <c r="R88" s="2091">
        <f>'Receitas (mensais)'!P98</f>
        <v>0</v>
      </c>
      <c r="S88" s="2132">
        <f t="shared" si="12"/>
        <v>0</v>
      </c>
      <c r="T88" s="2093">
        <f t="shared" si="30"/>
        <v>0</v>
      </c>
      <c r="U88" s="2093">
        <f t="shared" si="31"/>
        <v>0</v>
      </c>
      <c r="V88" s="2093">
        <f t="shared" si="32"/>
        <v>0</v>
      </c>
      <c r="W88" s="2094" t="e">
        <f t="shared" si="33"/>
        <v>#DIV/0!</v>
      </c>
      <c r="X88" s="2096"/>
      <c r="Y88" s="2097"/>
      <c r="AA88" s="2099">
        <f t="shared" si="26"/>
        <v>0</v>
      </c>
    </row>
    <row r="89" spans="1:29" s="2098" customFormat="1" ht="26.25" hidden="1" outlineLevel="2">
      <c r="A89" s="2087" t="s">
        <v>435</v>
      </c>
      <c r="B89" s="2111" t="s">
        <v>3289</v>
      </c>
      <c r="C89" s="2100" t="str">
        <f>'Receitas (mensais)'!D99</f>
        <v xml:space="preserve">           Selo de Recibo</v>
      </c>
      <c r="D89" s="2126"/>
      <c r="E89" s="2091"/>
      <c r="F89" s="2128">
        <v>102701.177</v>
      </c>
      <c r="G89" s="2091">
        <f>'Receitas (mensais)'!E99</f>
        <v>8312.7510000000002</v>
      </c>
      <c r="H89" s="2091">
        <f>'Receitas (mensais)'!F99</f>
        <v>13314.307000000001</v>
      </c>
      <c r="I89" s="2091">
        <f>'Receitas (mensais)'!G99</f>
        <v>11122.551999999998</v>
      </c>
      <c r="J89" s="2091">
        <f>'Receitas (mensais)'!H99</f>
        <v>15311.375</v>
      </c>
      <c r="K89" s="2091">
        <f>'Receitas (mensais)'!I99</f>
        <v>17462.488000000001</v>
      </c>
      <c r="L89" s="2091">
        <f>'Receitas (mensais)'!J99</f>
        <v>6970.6419999999998</v>
      </c>
      <c r="M89" s="2091">
        <f>'Receitas (mensais)'!K99</f>
        <v>4651.3269999999993</v>
      </c>
      <c r="N89" s="2091">
        <f>'Receitas (mensais)'!L99</f>
        <v>7601.6569999999992</v>
      </c>
      <c r="O89" s="2091">
        <f>'Receitas (mensais)'!M99</f>
        <v>5501.5640000000003</v>
      </c>
      <c r="P89" s="2091">
        <f>'Receitas (mensais)'!N99</f>
        <v>10293.412999999999</v>
      </c>
      <c r="Q89" s="2091">
        <f>'Receitas (mensais)'!O99</f>
        <v>4604.6710000000003</v>
      </c>
      <c r="R89" s="2091">
        <f>'Receitas (mensais)'!P99</f>
        <v>5190.5369999999994</v>
      </c>
      <c r="S89" s="2132">
        <f t="shared" si="12"/>
        <v>110337.28399999999</v>
      </c>
      <c r="T89" s="2093">
        <f t="shared" si="30"/>
        <v>72494.114999999991</v>
      </c>
      <c r="U89" s="2093">
        <f t="shared" si="31"/>
        <v>90248.662999999986</v>
      </c>
      <c r="V89" s="2093">
        <f t="shared" si="32"/>
        <v>110337.28399999999</v>
      </c>
      <c r="W89" s="2094">
        <f t="shared" si="33"/>
        <v>107.43526727059806</v>
      </c>
      <c r="X89" s="2096"/>
      <c r="Y89" s="2097"/>
      <c r="AA89" s="2099">
        <f t="shared" si="26"/>
        <v>110.33728399999998</v>
      </c>
    </row>
    <row r="90" spans="1:29" s="2098" customFormat="1" ht="26.25" hidden="1" outlineLevel="2">
      <c r="A90" s="2087" t="s">
        <v>437</v>
      </c>
      <c r="B90" s="2111" t="s">
        <v>3278</v>
      </c>
      <c r="C90" s="2100" t="str">
        <f>'Receitas (mensais)'!D100</f>
        <v>Imposto para a democracia</v>
      </c>
      <c r="D90" s="2090"/>
      <c r="E90" s="2091"/>
      <c r="F90" s="2128"/>
      <c r="G90" s="2091">
        <f>'Receitas (mensais)'!E100</f>
        <v>0</v>
      </c>
      <c r="H90" s="2091">
        <f>'Receitas (mensais)'!F100</f>
        <v>0</v>
      </c>
      <c r="I90" s="2091">
        <f>'Receitas (mensais)'!G100</f>
        <v>0</v>
      </c>
      <c r="J90" s="2091">
        <f>'Receitas (mensais)'!H100</f>
        <v>0</v>
      </c>
      <c r="K90" s="2091">
        <f>'Receitas (mensais)'!I100</f>
        <v>0</v>
      </c>
      <c r="L90" s="2091">
        <f>'Receitas (mensais)'!J100</f>
        <v>0</v>
      </c>
      <c r="M90" s="2091">
        <f>'Receitas (mensais)'!K100</f>
        <v>0</v>
      </c>
      <c r="N90" s="2091">
        <f>'Receitas (mensais)'!L100</f>
        <v>0</v>
      </c>
      <c r="O90" s="2091">
        <f>'Receitas (mensais)'!M100</f>
        <v>0</v>
      </c>
      <c r="P90" s="2091">
        <f>'Receitas (mensais)'!N100</f>
        <v>0</v>
      </c>
      <c r="Q90" s="2091">
        <f>'Receitas (mensais)'!O100</f>
        <v>0</v>
      </c>
      <c r="R90" s="2091">
        <f>'Receitas (mensais)'!P100</f>
        <v>0</v>
      </c>
      <c r="S90" s="2132">
        <f t="shared" si="12"/>
        <v>0</v>
      </c>
      <c r="T90" s="2093">
        <f t="shared" si="30"/>
        <v>0</v>
      </c>
      <c r="U90" s="2093">
        <f t="shared" si="31"/>
        <v>0</v>
      </c>
      <c r="V90" s="2093">
        <f t="shared" si="32"/>
        <v>0</v>
      </c>
      <c r="W90" s="2094" t="e">
        <f t="shared" si="33"/>
        <v>#DIV/0!</v>
      </c>
      <c r="X90" s="2096"/>
      <c r="Y90" s="2097"/>
      <c r="AA90" s="2099">
        <f t="shared" si="26"/>
        <v>0</v>
      </c>
    </row>
    <row r="91" spans="1:29" s="2131" customFormat="1" ht="26.25" hidden="1" outlineLevel="2">
      <c r="A91" s="2127" t="s">
        <v>440</v>
      </c>
      <c r="B91" s="2111" t="s">
        <v>3290</v>
      </c>
      <c r="C91" s="2100" t="str">
        <f>'Receitas (mensais)'!D101</f>
        <v>Outros</v>
      </c>
      <c r="D91" s="2126"/>
      <c r="E91" s="2128"/>
      <c r="F91" s="2128"/>
      <c r="G91" s="2128">
        <f>G92+G93</f>
        <v>0</v>
      </c>
      <c r="H91" s="2128">
        <f t="shared" ref="H91:R91" si="34">H92+H93</f>
        <v>0</v>
      </c>
      <c r="I91" s="2128">
        <f t="shared" si="34"/>
        <v>0</v>
      </c>
      <c r="J91" s="2128">
        <f t="shared" si="34"/>
        <v>0</v>
      </c>
      <c r="K91" s="2128">
        <f t="shared" si="34"/>
        <v>0</v>
      </c>
      <c r="L91" s="2128">
        <f t="shared" si="34"/>
        <v>0</v>
      </c>
      <c r="M91" s="2128">
        <f t="shared" si="34"/>
        <v>0</v>
      </c>
      <c r="N91" s="2128">
        <f t="shared" si="34"/>
        <v>0</v>
      </c>
      <c r="O91" s="2128">
        <f t="shared" si="34"/>
        <v>0</v>
      </c>
      <c r="P91" s="2128">
        <f t="shared" si="34"/>
        <v>0</v>
      </c>
      <c r="Q91" s="2128">
        <f t="shared" si="34"/>
        <v>0</v>
      </c>
      <c r="R91" s="2128">
        <f t="shared" si="34"/>
        <v>0</v>
      </c>
      <c r="S91" s="2132">
        <f t="shared" si="12"/>
        <v>0</v>
      </c>
      <c r="T91" s="2129">
        <f t="shared" si="30"/>
        <v>0</v>
      </c>
      <c r="U91" s="2129">
        <f t="shared" si="31"/>
        <v>0</v>
      </c>
      <c r="V91" s="2129">
        <f t="shared" si="32"/>
        <v>0</v>
      </c>
      <c r="W91" s="2130" t="e">
        <f t="shared" si="33"/>
        <v>#DIV/0!</v>
      </c>
      <c r="X91" s="2096"/>
      <c r="Y91" s="2097"/>
      <c r="AA91" s="2099">
        <f t="shared" si="26"/>
        <v>0</v>
      </c>
    </row>
    <row r="92" spans="1:29" s="2131" customFormat="1" ht="26.25" hidden="1" outlineLevel="2">
      <c r="A92" s="2127"/>
      <c r="B92" s="2111" t="s">
        <v>3291</v>
      </c>
      <c r="C92" s="2100" t="str">
        <f>'Receitas (mensais)'!D102</f>
        <v xml:space="preserve">           Imposto Tonelagem</v>
      </c>
      <c r="D92" s="2126"/>
      <c r="E92" s="2128"/>
      <c r="F92" s="2128"/>
      <c r="G92" s="2128">
        <f>+'Receitas (mensais)'!E102</f>
        <v>0</v>
      </c>
      <c r="H92" s="2128">
        <f>+'Receitas (mensais)'!F102</f>
        <v>0</v>
      </c>
      <c r="I92" s="2128">
        <f>+'Receitas (mensais)'!G102</f>
        <v>0</v>
      </c>
      <c r="J92" s="2128">
        <f>+'Receitas (mensais)'!H102</f>
        <v>0</v>
      </c>
      <c r="K92" s="2128">
        <f>+'Receitas (mensais)'!I102</f>
        <v>0</v>
      </c>
      <c r="L92" s="2128">
        <f>+'Receitas (mensais)'!J102</f>
        <v>0</v>
      </c>
      <c r="M92" s="2128">
        <f>+'Receitas (mensais)'!K102</f>
        <v>0</v>
      </c>
      <c r="N92" s="2128">
        <f>+'Receitas (mensais)'!L102</f>
        <v>0</v>
      </c>
      <c r="O92" s="2128">
        <f>+'Receitas (mensais)'!M102</f>
        <v>0</v>
      </c>
      <c r="P92" s="2128">
        <f>+'Receitas (mensais)'!N102</f>
        <v>0</v>
      </c>
      <c r="Q92" s="2128">
        <f>+'Receitas (mensais)'!O102</f>
        <v>0</v>
      </c>
      <c r="R92" s="2128">
        <f>+'Receitas (mensais)'!P102</f>
        <v>0</v>
      </c>
      <c r="S92" s="2132">
        <f t="shared" si="12"/>
        <v>0</v>
      </c>
      <c r="T92" s="2129"/>
      <c r="U92" s="2129"/>
      <c r="V92" s="2129"/>
      <c r="W92" s="2130"/>
      <c r="X92" s="2096"/>
      <c r="Y92" s="2097"/>
      <c r="AA92" s="2099">
        <f t="shared" si="26"/>
        <v>0</v>
      </c>
    </row>
    <row r="93" spans="1:29" s="2131" customFormat="1" ht="26.25" hidden="1" outlineLevel="2">
      <c r="A93" s="2127"/>
      <c r="B93" s="2111" t="s">
        <v>3292</v>
      </c>
      <c r="C93" s="2100" t="str">
        <f>'Receitas (mensais)'!D103</f>
        <v xml:space="preserve">           Imposto comercio maritim</v>
      </c>
      <c r="D93" s="2126"/>
      <c r="E93" s="2128"/>
      <c r="F93" s="2128"/>
      <c r="G93" s="2128">
        <f>+'Receitas (mensais)'!E103</f>
        <v>0</v>
      </c>
      <c r="H93" s="2128">
        <f>+'Receitas (mensais)'!F103</f>
        <v>0</v>
      </c>
      <c r="I93" s="2128">
        <f>+'Receitas (mensais)'!G103</f>
        <v>0</v>
      </c>
      <c r="J93" s="2128">
        <f>+'Receitas (mensais)'!H103</f>
        <v>0</v>
      </c>
      <c r="K93" s="2128">
        <f>+'Receitas (mensais)'!I103</f>
        <v>0</v>
      </c>
      <c r="L93" s="2128">
        <f>+'Receitas (mensais)'!J103</f>
        <v>0</v>
      </c>
      <c r="M93" s="2128">
        <f>+'Receitas (mensais)'!K103</f>
        <v>0</v>
      </c>
      <c r="N93" s="2128">
        <f>+'Receitas (mensais)'!L103</f>
        <v>0</v>
      </c>
      <c r="O93" s="2128">
        <f>+'Receitas (mensais)'!M103</f>
        <v>0</v>
      </c>
      <c r="P93" s="2128">
        <f>+'Receitas (mensais)'!N103</f>
        <v>0</v>
      </c>
      <c r="Q93" s="2128">
        <f>+'Receitas (mensais)'!O103</f>
        <v>0</v>
      </c>
      <c r="R93" s="2128">
        <f>+'Receitas (mensais)'!P103</f>
        <v>0</v>
      </c>
      <c r="S93" s="2132">
        <f t="shared" si="12"/>
        <v>0</v>
      </c>
      <c r="T93" s="2129"/>
      <c r="U93" s="2129"/>
      <c r="V93" s="2129"/>
      <c r="W93" s="2130"/>
      <c r="X93" s="2096"/>
      <c r="Y93" s="2097"/>
      <c r="AA93" s="2099">
        <f t="shared" si="26"/>
        <v>0</v>
      </c>
    </row>
    <row r="94" spans="1:29" s="2098" customFormat="1" ht="26.25" collapsed="1">
      <c r="A94" s="2125"/>
      <c r="B94" s="2088" t="s">
        <v>407</v>
      </c>
      <c r="C94" s="2143" t="s">
        <v>3437</v>
      </c>
      <c r="D94" s="2090"/>
      <c r="E94" s="2091">
        <f t="shared" ref="E94:R94" si="35">E95+E152+E180+E230</f>
        <v>20708136.212000001</v>
      </c>
      <c r="F94" s="2128">
        <f>F95+F152+F180+F230</f>
        <v>130637185.35000001</v>
      </c>
      <c r="G94" s="2091">
        <f t="shared" si="35"/>
        <v>887384.79400000023</v>
      </c>
      <c r="H94" s="2091">
        <f t="shared" si="35"/>
        <v>764726.9040000001</v>
      </c>
      <c r="I94" s="2091">
        <f t="shared" si="35"/>
        <v>6069792.5599999996</v>
      </c>
      <c r="J94" s="2091">
        <f t="shared" si="35"/>
        <v>540812.50200000009</v>
      </c>
      <c r="K94" s="2091">
        <f t="shared" si="35"/>
        <v>906597.27399999998</v>
      </c>
      <c r="L94" s="2091">
        <f t="shared" si="35"/>
        <v>1541425.8230000001</v>
      </c>
      <c r="M94" s="2091">
        <f t="shared" si="35"/>
        <v>1616550.1090000002</v>
      </c>
      <c r="N94" s="2091">
        <f t="shared" si="35"/>
        <v>824271.31200000015</v>
      </c>
      <c r="O94" s="2091">
        <f t="shared" si="35"/>
        <v>712703.60900000005</v>
      </c>
      <c r="P94" s="2091">
        <f t="shared" si="35"/>
        <v>8093930.0870000003</v>
      </c>
      <c r="Q94" s="2091">
        <f t="shared" si="35"/>
        <v>2205274.483</v>
      </c>
      <c r="R94" s="2091">
        <f t="shared" si="35"/>
        <v>2316573.983</v>
      </c>
      <c r="S94" s="2132">
        <f t="shared" si="12"/>
        <v>26480043.440000001</v>
      </c>
      <c r="T94" s="2093"/>
      <c r="U94" s="2093"/>
      <c r="V94" s="2093"/>
      <c r="W94" s="2094"/>
      <c r="X94" s="2095"/>
      <c r="Y94" s="2096"/>
      <c r="Z94" s="2097"/>
      <c r="AA94" s="2098">
        <f t="shared" si="26"/>
        <v>26480.043440000001</v>
      </c>
      <c r="AB94" s="2099">
        <f>'[27]QUADRO 19 (2019)'!$AD$8</f>
        <v>10276.878642</v>
      </c>
      <c r="AC94" s="2144"/>
    </row>
    <row r="95" spans="1:29" s="2098" customFormat="1" ht="26.25">
      <c r="A95" s="2087"/>
      <c r="B95" s="2088" t="s">
        <v>410</v>
      </c>
      <c r="C95" s="2112" t="s">
        <v>3294</v>
      </c>
      <c r="D95" s="2090"/>
      <c r="E95" s="2091">
        <f>+[28]Tofe!$Q$15</f>
        <v>5107779.8740000008</v>
      </c>
      <c r="F95" s="2128">
        <f>+F96+F144</f>
        <v>7045990.8169999998</v>
      </c>
      <c r="G95" s="2091">
        <f>+G96+G144</f>
        <v>614078.45600000024</v>
      </c>
      <c r="H95" s="2091">
        <f>+H96+H144</f>
        <v>288901.59900000005</v>
      </c>
      <c r="I95" s="2091">
        <f t="shared" ref="I95:R95" si="36">+I96+I144</f>
        <v>121622.715</v>
      </c>
      <c r="J95" s="2091">
        <f t="shared" si="36"/>
        <v>214670.75700000001</v>
      </c>
      <c r="K95" s="2091">
        <f t="shared" si="36"/>
        <v>433196.45699999999</v>
      </c>
      <c r="L95" s="2091">
        <f t="shared" si="36"/>
        <v>764263.96000000008</v>
      </c>
      <c r="M95" s="2091">
        <f t="shared" si="36"/>
        <v>897054.06</v>
      </c>
      <c r="N95" s="2091">
        <f t="shared" si="36"/>
        <v>354020.78400000004</v>
      </c>
      <c r="O95" s="2091">
        <f t="shared" si="36"/>
        <v>354333.66800000001</v>
      </c>
      <c r="P95" s="2091">
        <f t="shared" si="36"/>
        <v>147993.98499999999</v>
      </c>
      <c r="Q95" s="2091">
        <f t="shared" si="36"/>
        <v>653962.81999999983</v>
      </c>
      <c r="R95" s="2091">
        <f t="shared" si="36"/>
        <v>1964245.9920000001</v>
      </c>
      <c r="S95" s="2132">
        <f t="shared" si="12"/>
        <v>6808345.2530000005</v>
      </c>
      <c r="T95" s="2093"/>
      <c r="U95" s="2093"/>
      <c r="V95" s="2093"/>
      <c r="W95" s="2094"/>
      <c r="X95" s="2095"/>
      <c r="Y95" s="2096"/>
      <c r="Z95" s="2097"/>
      <c r="AA95" s="2098">
        <f t="shared" si="26"/>
        <v>6808.3452530000004</v>
      </c>
      <c r="AB95" s="2099"/>
    </row>
    <row r="96" spans="1:29" s="2098" customFormat="1" ht="26.25" hidden="1" outlineLevel="1">
      <c r="A96" s="2087"/>
      <c r="B96" s="2115" t="s">
        <v>3050</v>
      </c>
      <c r="C96" s="2089" t="str">
        <f>'Receitas (mensais)'!D106</f>
        <v>Taxas</v>
      </c>
      <c r="D96" s="2090"/>
      <c r="E96" s="2091"/>
      <c r="F96" s="2128">
        <f>F97+SUM(F101:F113)+F116</f>
        <v>6718062.8059999999</v>
      </c>
      <c r="G96" s="2091">
        <f>G97+SUM(G101:G113)+G116</f>
        <v>610415.11900000018</v>
      </c>
      <c r="H96" s="2091">
        <f>H97+SUM(H101:H113)+H116</f>
        <v>211834.14800000002</v>
      </c>
      <c r="I96" s="2091">
        <f t="shared" ref="I96:R96" si="37">I97+SUM(I101:I113)+I116</f>
        <v>120138.715</v>
      </c>
      <c r="J96" s="2091">
        <f t="shared" si="37"/>
        <v>207202.55100000001</v>
      </c>
      <c r="K96" s="2091">
        <f t="shared" si="37"/>
        <v>240890.81599999999</v>
      </c>
      <c r="L96" s="2091">
        <f t="shared" si="37"/>
        <v>631991.21000000008</v>
      </c>
      <c r="M96" s="2091">
        <f t="shared" si="37"/>
        <v>888979.59000000008</v>
      </c>
      <c r="N96" s="2091">
        <f t="shared" si="37"/>
        <v>228082.74300000005</v>
      </c>
      <c r="O96" s="2091">
        <f t="shared" si="37"/>
        <v>351491.79</v>
      </c>
      <c r="P96" s="2091">
        <f t="shared" si="37"/>
        <v>141813.136</v>
      </c>
      <c r="Q96" s="2091">
        <f t="shared" si="37"/>
        <v>651325.66899999988</v>
      </c>
      <c r="R96" s="2091">
        <f t="shared" si="37"/>
        <v>1958525.5720000002</v>
      </c>
      <c r="S96" s="2091">
        <f t="shared" si="12"/>
        <v>6242691.0590000004</v>
      </c>
      <c r="T96" s="2093"/>
      <c r="U96" s="2093"/>
      <c r="V96" s="2093"/>
      <c r="W96" s="2094"/>
      <c r="X96" s="2095"/>
      <c r="Y96" s="2096"/>
      <c r="Z96" s="2097"/>
      <c r="AB96" s="2099"/>
    </row>
    <row r="97" spans="1:27" s="2131" customFormat="1" ht="26.25" hidden="1">
      <c r="A97" s="2127"/>
      <c r="B97" s="2088" t="s">
        <v>3156</v>
      </c>
      <c r="C97" s="2100" t="str">
        <f>'Receitas (mensais)'!D107</f>
        <v>Licenças de Pesca</v>
      </c>
      <c r="D97" s="2126"/>
      <c r="E97" s="2128"/>
      <c r="F97" s="2128">
        <f>SUM(F98:F100)</f>
        <v>6444844.1529999999</v>
      </c>
      <c r="G97" s="2128">
        <f>SUM(G98:G100)</f>
        <v>578775.67100000009</v>
      </c>
      <c r="H97" s="2128">
        <f t="shared" ref="H97:R97" si="38">SUM(H98:H100)</f>
        <v>185593.59100000001</v>
      </c>
      <c r="I97" s="2128">
        <f t="shared" si="38"/>
        <v>100326.673</v>
      </c>
      <c r="J97" s="2128">
        <f t="shared" si="38"/>
        <v>185384.72</v>
      </c>
      <c r="K97" s="2128">
        <f t="shared" si="38"/>
        <v>113225.68800000001</v>
      </c>
      <c r="L97" s="2128">
        <f t="shared" si="38"/>
        <v>619371.52000000002</v>
      </c>
      <c r="M97" s="2128">
        <f t="shared" si="38"/>
        <v>873402.69300000009</v>
      </c>
      <c r="N97" s="2128">
        <f t="shared" si="38"/>
        <v>212923.19300000003</v>
      </c>
      <c r="O97" s="2128">
        <f t="shared" si="38"/>
        <v>326352.16200000001</v>
      </c>
      <c r="P97" s="2128">
        <f t="shared" si="38"/>
        <v>106354.931</v>
      </c>
      <c r="Q97" s="2128">
        <f t="shared" si="38"/>
        <v>627786.37399999995</v>
      </c>
      <c r="R97" s="2128">
        <f t="shared" si="38"/>
        <v>1940049.8730000001</v>
      </c>
      <c r="S97" s="2132">
        <f t="shared" si="12"/>
        <v>5869547.0889999997</v>
      </c>
      <c r="T97" s="2129"/>
      <c r="U97" s="2129"/>
      <c r="V97" s="2129"/>
      <c r="W97" s="2130"/>
      <c r="X97" s="2096"/>
      <c r="Y97" s="2097"/>
      <c r="AA97" s="2099"/>
    </row>
    <row r="98" spans="1:27" s="2131" customFormat="1" ht="26.25" hidden="1">
      <c r="A98" s="2127"/>
      <c r="B98" s="2088" t="s">
        <v>3296</v>
      </c>
      <c r="C98" s="2100" t="str">
        <f>'Receitas (mensais)'!D108</f>
        <v xml:space="preserve">          Licenças de Pesca</v>
      </c>
      <c r="D98" s="2126"/>
      <c r="E98" s="2128"/>
      <c r="F98" s="2128">
        <v>5385637.9160000002</v>
      </c>
      <c r="G98" s="2128">
        <f>'Receitas (mensais)'!E108</f>
        <v>473402.79000000004</v>
      </c>
      <c r="H98" s="2128">
        <f>'Receitas (mensais)'!F108</f>
        <v>147354.19700000001</v>
      </c>
      <c r="I98" s="2128">
        <f>'Receitas (mensais)'!G108</f>
        <v>80580.875</v>
      </c>
      <c r="J98" s="2128">
        <f>'Receitas (mensais)'!H108</f>
        <v>122922.818</v>
      </c>
      <c r="K98" s="2128">
        <f>'Receitas (mensais)'!I108</f>
        <v>99724.524000000005</v>
      </c>
      <c r="L98" s="2128">
        <f>'Receitas (mensais)'!J108</f>
        <v>526486.63300000003</v>
      </c>
      <c r="M98" s="2128">
        <f>'Receitas (mensais)'!K108</f>
        <v>567585.60700000008</v>
      </c>
      <c r="N98" s="2128">
        <f>'Receitas (mensais)'!L108</f>
        <v>179294.03700000001</v>
      </c>
      <c r="O98" s="2128">
        <f>'Receitas (mensais)'!M108</f>
        <v>222609.59600000002</v>
      </c>
      <c r="P98" s="2128">
        <f>'Receitas (mensais)'!N108</f>
        <v>90955.221999999994</v>
      </c>
      <c r="Q98" s="2128">
        <f>'Receitas (mensais)'!O108</f>
        <v>437940.83199999999</v>
      </c>
      <c r="R98" s="2128">
        <f>'Receitas (mensais)'!P108</f>
        <v>1383005.969</v>
      </c>
      <c r="S98" s="2132">
        <f t="shared" si="12"/>
        <v>4331863.0999999996</v>
      </c>
      <c r="T98" s="2129"/>
      <c r="U98" s="2129"/>
      <c r="V98" s="2129"/>
      <c r="W98" s="2130"/>
      <c r="X98" s="2096"/>
      <c r="Y98" s="2097"/>
      <c r="AA98" s="2099"/>
    </row>
    <row r="99" spans="1:27" s="2131" customFormat="1" ht="26.25" hidden="1">
      <c r="A99" s="2127"/>
      <c r="B99" s="2088" t="s">
        <v>3297</v>
      </c>
      <c r="C99" s="2100" t="str">
        <f>'Receitas (mensais)'!D109</f>
        <v xml:space="preserve">         Transbordo de Pescado</v>
      </c>
      <c r="D99" s="2126"/>
      <c r="E99" s="2128"/>
      <c r="F99" s="2128"/>
      <c r="G99" s="2128">
        <f>'Receitas (mensais)'!E109</f>
        <v>0</v>
      </c>
      <c r="H99" s="2128">
        <f>'Receitas (mensais)'!F109</f>
        <v>0</v>
      </c>
      <c r="I99" s="2128">
        <f>'Receitas (mensais)'!G109</f>
        <v>0</v>
      </c>
      <c r="J99" s="2128">
        <f>'Receitas (mensais)'!H109</f>
        <v>0</v>
      </c>
      <c r="K99" s="2128">
        <f>'Receitas (mensais)'!I109</f>
        <v>0</v>
      </c>
      <c r="L99" s="2128">
        <f>'Receitas (mensais)'!J109</f>
        <v>0</v>
      </c>
      <c r="M99" s="2128">
        <f>'Receitas (mensais)'!K109</f>
        <v>0</v>
      </c>
      <c r="N99" s="2128">
        <f>'Receitas (mensais)'!L109</f>
        <v>0</v>
      </c>
      <c r="O99" s="2128">
        <f>'Receitas (mensais)'!M109</f>
        <v>0</v>
      </c>
      <c r="P99" s="2128">
        <f>'Receitas (mensais)'!N109</f>
        <v>0</v>
      </c>
      <c r="Q99" s="2128">
        <f>'Receitas (mensais)'!O109</f>
        <v>0</v>
      </c>
      <c r="R99" s="2128">
        <f>'Receitas (mensais)'!P109</f>
        <v>0</v>
      </c>
      <c r="S99" s="2132">
        <f t="shared" si="12"/>
        <v>0</v>
      </c>
      <c r="T99" s="2129"/>
      <c r="U99" s="2129"/>
      <c r="V99" s="2129"/>
      <c r="W99" s="2130"/>
      <c r="X99" s="2096"/>
      <c r="Y99" s="2097"/>
      <c r="AA99" s="2099"/>
    </row>
    <row r="100" spans="1:27" s="2131" customFormat="1" ht="26.25" hidden="1">
      <c r="A100" s="2127"/>
      <c r="B100" s="2088" t="s">
        <v>3298</v>
      </c>
      <c r="C100" s="2100" t="str">
        <f>'Receitas (mensais)'!D110</f>
        <v xml:space="preserve">         Fundo de Gestão de Rec. Halieuticos</v>
      </c>
      <c r="D100" s="2126"/>
      <c r="E100" s="2128"/>
      <c r="F100" s="2128">
        <v>1059206.237</v>
      </c>
      <c r="G100" s="2128">
        <f>'Receitas (mensais)'!E110</f>
        <v>105372.88099999999</v>
      </c>
      <c r="H100" s="2128">
        <f>'Receitas (mensais)'!F110</f>
        <v>38239.394</v>
      </c>
      <c r="I100" s="2128">
        <f>'Receitas (mensais)'!G110</f>
        <v>19745.797999999999</v>
      </c>
      <c r="J100" s="2128">
        <f>'Receitas (mensais)'!H110</f>
        <v>62461.902000000002</v>
      </c>
      <c r="K100" s="2128">
        <f>'Receitas (mensais)'!I110</f>
        <v>13501.164000000001</v>
      </c>
      <c r="L100" s="2128">
        <f>'Receitas (mensais)'!J110</f>
        <v>92884.887000000002</v>
      </c>
      <c r="M100" s="2128">
        <f>'Receitas (mensais)'!K110</f>
        <v>305817.08600000001</v>
      </c>
      <c r="N100" s="2128">
        <f>'Receitas (mensais)'!L110</f>
        <v>33629.156000000003</v>
      </c>
      <c r="O100" s="2128">
        <f>'Receitas (mensais)'!M110</f>
        <v>103742.56600000001</v>
      </c>
      <c r="P100" s="2128">
        <f>'Receitas (mensais)'!N110</f>
        <v>15399.709000000001</v>
      </c>
      <c r="Q100" s="2128">
        <f>'Receitas (mensais)'!O110</f>
        <v>189845.54199999999</v>
      </c>
      <c r="R100" s="2128">
        <f>'Receitas (mensais)'!P110</f>
        <v>557043.90399999998</v>
      </c>
      <c r="S100" s="2132">
        <f t="shared" si="12"/>
        <v>1537683.9890000001</v>
      </c>
      <c r="T100" s="2129"/>
      <c r="U100" s="2129"/>
      <c r="V100" s="2129"/>
      <c r="W100" s="2130"/>
      <c r="X100" s="2096"/>
      <c r="Y100" s="2097"/>
      <c r="AA100" s="2099"/>
    </row>
    <row r="101" spans="1:27" s="2131" customFormat="1" ht="26.25" hidden="1">
      <c r="A101" s="2127"/>
      <c r="B101" s="2088" t="s">
        <v>3295</v>
      </c>
      <c r="C101" s="2100" t="str">
        <f>'Receitas (mensais)'!D111</f>
        <v xml:space="preserve">Abonos das actividades petroliferas </v>
      </c>
      <c r="D101" s="2126"/>
      <c r="E101" s="2128"/>
      <c r="F101" s="2128"/>
      <c r="G101" s="2128">
        <f>+'Receitas (mensais)'!E111</f>
        <v>0</v>
      </c>
      <c r="H101" s="2128">
        <f>+'Receitas (mensais)'!F111</f>
        <v>0</v>
      </c>
      <c r="I101" s="2128">
        <f>+'Receitas (mensais)'!G111</f>
        <v>0</v>
      </c>
      <c r="J101" s="2128">
        <f>+'Receitas (mensais)'!H111</f>
        <v>0</v>
      </c>
      <c r="K101" s="2128">
        <f>+'Receitas (mensais)'!I111</f>
        <v>0</v>
      </c>
      <c r="L101" s="2128">
        <f>+'Receitas (mensais)'!J111</f>
        <v>0</v>
      </c>
      <c r="M101" s="2128">
        <f>+'Receitas (mensais)'!K111</f>
        <v>0</v>
      </c>
      <c r="N101" s="2128">
        <f>+'Receitas (mensais)'!L111</f>
        <v>0</v>
      </c>
      <c r="O101" s="2128">
        <f>+'Receitas (mensais)'!M111</f>
        <v>0</v>
      </c>
      <c r="P101" s="2128">
        <f>+'Receitas (mensais)'!N111</f>
        <v>0</v>
      </c>
      <c r="Q101" s="2128">
        <f>+'Receitas (mensais)'!O111</f>
        <v>0</v>
      </c>
      <c r="R101" s="2128">
        <f>+'Receitas (mensais)'!P111</f>
        <v>0</v>
      </c>
      <c r="S101" s="2132">
        <f t="shared" si="12"/>
        <v>0</v>
      </c>
      <c r="T101" s="2129"/>
      <c r="U101" s="2129"/>
      <c r="V101" s="2129"/>
      <c r="W101" s="2130"/>
      <c r="X101" s="2096"/>
      <c r="Y101" s="2097"/>
      <c r="AA101" s="2099"/>
    </row>
    <row r="102" spans="1:27" s="2131" customFormat="1" ht="26.25" hidden="1">
      <c r="A102" s="2127"/>
      <c r="B102" s="2088" t="s">
        <v>3299</v>
      </c>
      <c r="C102" s="2100" t="str">
        <f>'Receitas (mensais)'!D112</f>
        <v>Licenças de Telecomunicações e outras</v>
      </c>
      <c r="D102" s="2126"/>
      <c r="E102" s="2128"/>
      <c r="F102" s="2128"/>
      <c r="G102" s="2128">
        <f>+'Receitas (mensais)'!E112</f>
        <v>0</v>
      </c>
      <c r="H102" s="2128">
        <f>+'Receitas (mensais)'!F112</f>
        <v>0</v>
      </c>
      <c r="I102" s="2128">
        <f>+'Receitas (mensais)'!G112</f>
        <v>0</v>
      </c>
      <c r="J102" s="2128">
        <f>+'Receitas (mensais)'!H112</f>
        <v>0</v>
      </c>
      <c r="K102" s="2128">
        <f>+'Receitas (mensais)'!I112</f>
        <v>0</v>
      </c>
      <c r="L102" s="2128">
        <f>+'Receitas (mensais)'!J112</f>
        <v>0</v>
      </c>
      <c r="M102" s="2128">
        <f>+'Receitas (mensais)'!K112</f>
        <v>0</v>
      </c>
      <c r="N102" s="2128">
        <f>+'Receitas (mensais)'!L112</f>
        <v>0</v>
      </c>
      <c r="O102" s="2128">
        <f>+'Receitas (mensais)'!M112</f>
        <v>0</v>
      </c>
      <c r="P102" s="2128">
        <f>+'Receitas (mensais)'!N112</f>
        <v>0</v>
      </c>
      <c r="Q102" s="2128">
        <f>+'Receitas (mensais)'!O112</f>
        <v>0</v>
      </c>
      <c r="R102" s="2128">
        <f>+'Receitas (mensais)'!P112</f>
        <v>0</v>
      </c>
      <c r="S102" s="2132">
        <f t="shared" si="12"/>
        <v>0</v>
      </c>
      <c r="T102" s="2129"/>
      <c r="U102" s="2129"/>
      <c r="V102" s="2129"/>
      <c r="W102" s="2130"/>
      <c r="X102" s="2096"/>
      <c r="Y102" s="2097"/>
      <c r="AA102" s="2099"/>
    </row>
    <row r="103" spans="1:27" s="2131" customFormat="1" ht="26.25" hidden="1">
      <c r="A103" s="2127"/>
      <c r="B103" s="2088" t="s">
        <v>3300</v>
      </c>
      <c r="C103" s="2100" t="str">
        <f>'Receitas (mensais)'!D113</f>
        <v>Taxa fundiaria</v>
      </c>
      <c r="D103" s="2126"/>
      <c r="E103" s="2128"/>
      <c r="F103" s="2128"/>
      <c r="G103" s="2128">
        <f>+'Receitas (mensais)'!E113</f>
        <v>0</v>
      </c>
      <c r="H103" s="2128">
        <f>+'Receitas (mensais)'!F113</f>
        <v>0</v>
      </c>
      <c r="I103" s="2128">
        <f>+'Receitas (mensais)'!G113</f>
        <v>0</v>
      </c>
      <c r="J103" s="2128">
        <f>+'Receitas (mensais)'!H113</f>
        <v>0</v>
      </c>
      <c r="K103" s="2128">
        <f>+'Receitas (mensais)'!I113</f>
        <v>0</v>
      </c>
      <c r="L103" s="2128">
        <f>+'Receitas (mensais)'!J113</f>
        <v>0</v>
      </c>
      <c r="M103" s="2128">
        <f>+'Receitas (mensais)'!K113</f>
        <v>0</v>
      </c>
      <c r="N103" s="2128">
        <f>+'Receitas (mensais)'!L113</f>
        <v>0</v>
      </c>
      <c r="O103" s="2128">
        <f>+'Receitas (mensais)'!M113</f>
        <v>0</v>
      </c>
      <c r="P103" s="2128">
        <f>+'Receitas (mensais)'!N113</f>
        <v>0</v>
      </c>
      <c r="Q103" s="2128">
        <f>+'Receitas (mensais)'!O113</f>
        <v>0</v>
      </c>
      <c r="R103" s="2128">
        <f>+'Receitas (mensais)'!P113</f>
        <v>0</v>
      </c>
      <c r="S103" s="2132">
        <f t="shared" si="12"/>
        <v>0</v>
      </c>
      <c r="T103" s="2129"/>
      <c r="U103" s="2129"/>
      <c r="V103" s="2129"/>
      <c r="W103" s="2130"/>
      <c r="X103" s="2096"/>
      <c r="Y103" s="2097"/>
      <c r="AA103" s="2099"/>
    </row>
    <row r="104" spans="1:27" s="2131" customFormat="1" ht="26.25" hidden="1">
      <c r="A104" s="2127"/>
      <c r="B104" s="2088" t="s">
        <v>3301</v>
      </c>
      <c r="C104" s="2100" t="str">
        <f>'Receitas (mensais)'!D114</f>
        <v>Emolumentos do Tribunal de Contas</v>
      </c>
      <c r="D104" s="2126"/>
      <c r="E104" s="2128"/>
      <c r="F104" s="2128"/>
      <c r="G104" s="2128">
        <f>+'Receitas (mensais)'!E114</f>
        <v>0</v>
      </c>
      <c r="H104" s="2128">
        <f>+'Receitas (mensais)'!F114</f>
        <v>0</v>
      </c>
      <c r="I104" s="2128">
        <f>+'Receitas (mensais)'!G114</f>
        <v>0</v>
      </c>
      <c r="J104" s="2128">
        <f>+'Receitas (mensais)'!H114</f>
        <v>0</v>
      </c>
      <c r="K104" s="2128">
        <f>+'Receitas (mensais)'!I114</f>
        <v>0</v>
      </c>
      <c r="L104" s="2128">
        <f>+'Receitas (mensais)'!J114</f>
        <v>0</v>
      </c>
      <c r="M104" s="2128">
        <f>+'Receitas (mensais)'!K114</f>
        <v>0</v>
      </c>
      <c r="N104" s="2128">
        <f>+'Receitas (mensais)'!L114</f>
        <v>0</v>
      </c>
      <c r="O104" s="2128">
        <f>+'Receitas (mensais)'!M114</f>
        <v>0</v>
      </c>
      <c r="P104" s="2128">
        <f>+'Receitas (mensais)'!N114</f>
        <v>0</v>
      </c>
      <c r="Q104" s="2128">
        <f>+'Receitas (mensais)'!O114</f>
        <v>0</v>
      </c>
      <c r="R104" s="2128">
        <f>+'Receitas (mensais)'!P114</f>
        <v>0</v>
      </c>
      <c r="S104" s="2132">
        <f t="shared" si="12"/>
        <v>0</v>
      </c>
      <c r="T104" s="2129"/>
      <c r="U104" s="2129"/>
      <c r="V104" s="2129"/>
      <c r="W104" s="2130"/>
      <c r="X104" s="2096"/>
      <c r="Y104" s="2097"/>
      <c r="AA104" s="2099"/>
    </row>
    <row r="105" spans="1:27" s="2131" customFormat="1" ht="26.25" hidden="1">
      <c r="A105" s="2127"/>
      <c r="B105" s="2088" t="s">
        <v>3302</v>
      </c>
      <c r="C105" s="2100" t="str">
        <f>'Receitas (mensais)'!D115</f>
        <v>Serviços florestais</v>
      </c>
      <c r="D105" s="2126"/>
      <c r="E105" s="2128"/>
      <c r="F105" s="2128"/>
      <c r="G105" s="2128">
        <f>+'Receitas (mensais)'!E115</f>
        <v>0</v>
      </c>
      <c r="H105" s="2128">
        <f>+'Receitas (mensais)'!F115</f>
        <v>0</v>
      </c>
      <c r="I105" s="2128">
        <f>+'Receitas (mensais)'!G115</f>
        <v>0</v>
      </c>
      <c r="J105" s="2128">
        <f>+'Receitas (mensais)'!H115</f>
        <v>0</v>
      </c>
      <c r="K105" s="2128">
        <f>+'Receitas (mensais)'!I115</f>
        <v>0</v>
      </c>
      <c r="L105" s="2128">
        <f>+'Receitas (mensais)'!J115</f>
        <v>0</v>
      </c>
      <c r="M105" s="2128">
        <f>+'Receitas (mensais)'!K115</f>
        <v>0</v>
      </c>
      <c r="N105" s="2128">
        <f>+'Receitas (mensais)'!L115</f>
        <v>0</v>
      </c>
      <c r="O105" s="2128">
        <f>+'Receitas (mensais)'!M115</f>
        <v>0</v>
      </c>
      <c r="P105" s="2128">
        <f>+'Receitas (mensais)'!N115</f>
        <v>0</v>
      </c>
      <c r="Q105" s="2128">
        <f>+'Receitas (mensais)'!O115</f>
        <v>0</v>
      </c>
      <c r="R105" s="2128">
        <f>+'Receitas (mensais)'!P115</f>
        <v>0</v>
      </c>
      <c r="S105" s="2132">
        <f t="shared" si="12"/>
        <v>0</v>
      </c>
      <c r="T105" s="2129"/>
      <c r="U105" s="2129"/>
      <c r="V105" s="2129"/>
      <c r="W105" s="2130"/>
      <c r="X105" s="2096"/>
      <c r="Y105" s="2097"/>
      <c r="AA105" s="2099"/>
    </row>
    <row r="106" spans="1:27" s="2131" customFormat="1" ht="26.25" hidden="1">
      <c r="A106" s="2127"/>
      <c r="B106" s="2088" t="s">
        <v>3303</v>
      </c>
      <c r="C106" s="2100" t="str">
        <f>'Receitas (mensais)'!D116</f>
        <v>Serviços de turismo</v>
      </c>
      <c r="D106" s="2126"/>
      <c r="E106" s="2128"/>
      <c r="F106" s="2128"/>
      <c r="G106" s="2128">
        <f>+'Receitas (mensais)'!E116</f>
        <v>0</v>
      </c>
      <c r="H106" s="2128">
        <f>+'Receitas (mensais)'!F116</f>
        <v>0</v>
      </c>
      <c r="I106" s="2128">
        <f>+'Receitas (mensais)'!G116</f>
        <v>0</v>
      </c>
      <c r="J106" s="2128">
        <f>+'Receitas (mensais)'!H116</f>
        <v>0</v>
      </c>
      <c r="K106" s="2128">
        <f>+'Receitas (mensais)'!I116</f>
        <v>0</v>
      </c>
      <c r="L106" s="2128">
        <f>+'Receitas (mensais)'!J116</f>
        <v>0</v>
      </c>
      <c r="M106" s="2128">
        <f>+'Receitas (mensais)'!K116</f>
        <v>0</v>
      </c>
      <c r="N106" s="2128">
        <f>+'Receitas (mensais)'!L116</f>
        <v>0</v>
      </c>
      <c r="O106" s="2128">
        <f>+'Receitas (mensais)'!M116</f>
        <v>0</v>
      </c>
      <c r="P106" s="2128">
        <f>+'Receitas (mensais)'!N116</f>
        <v>0</v>
      </c>
      <c r="Q106" s="2128">
        <f>+'Receitas (mensais)'!O116</f>
        <v>0</v>
      </c>
      <c r="R106" s="2128">
        <f>+'Receitas (mensais)'!P116</f>
        <v>0</v>
      </c>
      <c r="S106" s="2132">
        <f t="shared" si="12"/>
        <v>0</v>
      </c>
      <c r="T106" s="2129"/>
      <c r="U106" s="2129"/>
      <c r="V106" s="2129"/>
      <c r="W106" s="2130"/>
      <c r="X106" s="2096"/>
      <c r="Y106" s="2097"/>
      <c r="AA106" s="2099"/>
    </row>
    <row r="107" spans="1:27" s="2131" customFormat="1" ht="26.25" hidden="1">
      <c r="A107" s="2127"/>
      <c r="B107" s="2088" t="s">
        <v>3304</v>
      </c>
      <c r="C107" s="2100" t="str">
        <f>'Receitas (mensais)'!D117</f>
        <v>Serviços rodoviarios</v>
      </c>
      <c r="D107" s="2126"/>
      <c r="E107" s="2128"/>
      <c r="F107" s="2128"/>
      <c r="G107" s="2128">
        <f>+'Receitas (mensais)'!E117</f>
        <v>0</v>
      </c>
      <c r="H107" s="2128">
        <f>+'Receitas (mensais)'!F117</f>
        <v>0</v>
      </c>
      <c r="I107" s="2128">
        <f>+'Receitas (mensais)'!G117</f>
        <v>0</v>
      </c>
      <c r="J107" s="2128">
        <f>+'Receitas (mensais)'!H117</f>
        <v>0</v>
      </c>
      <c r="K107" s="2128">
        <f>+'Receitas (mensais)'!I117</f>
        <v>0</v>
      </c>
      <c r="L107" s="2128">
        <f>+'Receitas (mensais)'!J117</f>
        <v>0</v>
      </c>
      <c r="M107" s="2128">
        <f>+'Receitas (mensais)'!K117</f>
        <v>0</v>
      </c>
      <c r="N107" s="2128">
        <f>+'Receitas (mensais)'!L117</f>
        <v>0</v>
      </c>
      <c r="O107" s="2128">
        <f>+'Receitas (mensais)'!M117</f>
        <v>0</v>
      </c>
      <c r="P107" s="2128">
        <f>+'Receitas (mensais)'!N117</f>
        <v>0</v>
      </c>
      <c r="Q107" s="2128">
        <f>+'Receitas (mensais)'!O117</f>
        <v>0</v>
      </c>
      <c r="R107" s="2128">
        <f>+'Receitas (mensais)'!P117</f>
        <v>0</v>
      </c>
      <c r="S107" s="2132">
        <f t="shared" si="12"/>
        <v>0</v>
      </c>
      <c r="T107" s="2129"/>
      <c r="U107" s="2129"/>
      <c r="V107" s="2129"/>
      <c r="W107" s="2130"/>
      <c r="X107" s="2096"/>
      <c r="Y107" s="2097"/>
      <c r="AA107" s="2099"/>
    </row>
    <row r="108" spans="1:27" s="2131" customFormat="1" ht="26.25" hidden="1">
      <c r="A108" s="2127"/>
      <c r="B108" s="2088" t="s">
        <v>3305</v>
      </c>
      <c r="C108" s="2100" t="str">
        <f>'Receitas (mensais)'!D118</f>
        <v>Licença e Porte de Arma</v>
      </c>
      <c r="D108" s="2126"/>
      <c r="E108" s="2128"/>
      <c r="F108" s="2128"/>
      <c r="G108" s="2128">
        <f>+'Receitas (mensais)'!E118</f>
        <v>0</v>
      </c>
      <c r="H108" s="2128">
        <f>+'Receitas (mensais)'!F118</f>
        <v>0</v>
      </c>
      <c r="I108" s="2128">
        <f>+'Receitas (mensais)'!G118</f>
        <v>0</v>
      </c>
      <c r="J108" s="2128">
        <f>+'Receitas (mensais)'!H118</f>
        <v>0</v>
      </c>
      <c r="K108" s="2128">
        <f>+'Receitas (mensais)'!I118</f>
        <v>392.57100000000003</v>
      </c>
      <c r="L108" s="2128">
        <f>+'Receitas (mensais)'!J118</f>
        <v>182.5</v>
      </c>
      <c r="M108" s="2128">
        <f>+'Receitas (mensais)'!K118</f>
        <v>0</v>
      </c>
      <c r="N108" s="2128">
        <f>+'Receitas (mensais)'!L118</f>
        <v>0</v>
      </c>
      <c r="O108" s="2128">
        <f>+'Receitas (mensais)'!M118</f>
        <v>214.37799999999999</v>
      </c>
      <c r="P108" s="2128">
        <f>+'Receitas (mensais)'!N118</f>
        <v>166.25</v>
      </c>
      <c r="Q108" s="2128">
        <f>+'Receitas (mensais)'!O118</f>
        <v>0</v>
      </c>
      <c r="R108" s="2128">
        <f>+'Receitas (mensais)'!P118</f>
        <v>0</v>
      </c>
      <c r="S108" s="2132">
        <f t="shared" si="12"/>
        <v>955.69900000000007</v>
      </c>
      <c r="T108" s="2129"/>
      <c r="U108" s="2129"/>
      <c r="V108" s="2129"/>
      <c r="W108" s="2130"/>
      <c r="X108" s="2096"/>
      <c r="Y108" s="2097"/>
      <c r="AA108" s="2099"/>
    </row>
    <row r="109" spans="1:27" s="2131" customFormat="1" ht="26.25" hidden="1">
      <c r="A109" s="2127"/>
      <c r="B109" s="2088" t="s">
        <v>3306</v>
      </c>
      <c r="C109" s="2100" t="str">
        <f>'Receitas (mensais)'!D119</f>
        <v>Serviços de passaporte</v>
      </c>
      <c r="D109" s="2126"/>
      <c r="E109" s="2128"/>
      <c r="F109" s="2128"/>
      <c r="G109" s="2128">
        <f>+'Receitas (mensais)'!E119</f>
        <v>0</v>
      </c>
      <c r="H109" s="2128">
        <f>+'Receitas (mensais)'!F119</f>
        <v>0</v>
      </c>
      <c r="I109" s="2128">
        <f>+'Receitas (mensais)'!G119</f>
        <v>0</v>
      </c>
      <c r="J109" s="2128">
        <f>+'Receitas (mensais)'!H119</f>
        <v>0</v>
      </c>
      <c r="K109" s="2128">
        <f>+'Receitas (mensais)'!I119</f>
        <v>0</v>
      </c>
      <c r="L109" s="2128">
        <f>+'Receitas (mensais)'!J119</f>
        <v>0</v>
      </c>
      <c r="M109" s="2128">
        <f>+'Receitas (mensais)'!K119</f>
        <v>0</v>
      </c>
      <c r="N109" s="2128">
        <f>+'Receitas (mensais)'!L119</f>
        <v>0</v>
      </c>
      <c r="O109" s="2128">
        <f>+'Receitas (mensais)'!M119</f>
        <v>0</v>
      </c>
      <c r="P109" s="2128">
        <f>+'Receitas (mensais)'!N119</f>
        <v>0</v>
      </c>
      <c r="Q109" s="2128">
        <f>+'Receitas (mensais)'!O119</f>
        <v>0</v>
      </c>
      <c r="R109" s="2128">
        <f>+'Receitas (mensais)'!P119</f>
        <v>0</v>
      </c>
      <c r="S109" s="2132">
        <f t="shared" si="12"/>
        <v>0</v>
      </c>
      <c r="T109" s="2129"/>
      <c r="U109" s="2129"/>
      <c r="V109" s="2129"/>
      <c r="W109" s="2130"/>
      <c r="X109" s="2096"/>
      <c r="Y109" s="2097"/>
      <c r="AA109" s="2099"/>
    </row>
    <row r="110" spans="1:27" s="2131" customFormat="1" ht="26.25" hidden="1">
      <c r="A110" s="2127"/>
      <c r="B110" s="2088" t="s">
        <v>3307</v>
      </c>
      <c r="C110" s="2100" t="str">
        <f>'Receitas (mensais)'!D120</f>
        <v>Serviços migratorios</v>
      </c>
      <c r="D110" s="2126"/>
      <c r="E110" s="2128"/>
      <c r="F110" s="2128"/>
      <c r="G110" s="2128">
        <f>+'Receitas (mensais)'!E120</f>
        <v>7505.3320000000003</v>
      </c>
      <c r="H110" s="2128">
        <f>+'Receitas (mensais)'!F120</f>
        <v>6983.1</v>
      </c>
      <c r="I110" s="2128">
        <f>+'Receitas (mensais)'!G120</f>
        <v>5711.25</v>
      </c>
      <c r="J110" s="2128">
        <f>+'Receitas (mensais)'!H120</f>
        <v>10412.700000000001</v>
      </c>
      <c r="K110" s="2128">
        <f>+'Receitas (mensais)'!I120</f>
        <v>2527.0500000000002</v>
      </c>
      <c r="L110" s="2128">
        <f>+'Receitas (mensais)'!J120</f>
        <v>5064.3</v>
      </c>
      <c r="M110" s="2128">
        <f>+'Receitas (mensais)'!K120</f>
        <v>6514.4500000000007</v>
      </c>
      <c r="N110" s="2128">
        <f>+'Receitas (mensais)'!L120</f>
        <v>3698.85</v>
      </c>
      <c r="O110" s="2128">
        <f>+'Receitas (mensais)'!M120</f>
        <v>649.95000000000005</v>
      </c>
      <c r="P110" s="2128">
        <f>+'Receitas (mensais)'!N120</f>
        <v>5117.1000000000004</v>
      </c>
      <c r="Q110" s="2128">
        <f>+'Receitas (mensais)'!O120</f>
        <v>3800.8500000000004</v>
      </c>
      <c r="R110" s="2128">
        <f>+'Receitas (mensais)'!P120</f>
        <v>2178.9</v>
      </c>
      <c r="S110" s="2132">
        <f t="shared" si="12"/>
        <v>60163.831999999995</v>
      </c>
      <c r="T110" s="2129"/>
      <c r="U110" s="2129"/>
      <c r="V110" s="2129"/>
      <c r="W110" s="2130"/>
      <c r="X110" s="2096"/>
      <c r="Y110" s="2097"/>
      <c r="AA110" s="2099"/>
    </row>
    <row r="111" spans="1:27" s="2131" customFormat="1" ht="26.25" hidden="1">
      <c r="A111" s="2127"/>
      <c r="B111" s="2088" t="s">
        <v>3308</v>
      </c>
      <c r="C111" s="2100" t="str">
        <f>'Receitas (mensais)'!D121</f>
        <v>Serviços de Educaçao</v>
      </c>
      <c r="D111" s="2126"/>
      <c r="E111" s="2128"/>
      <c r="F111" s="2128"/>
      <c r="G111" s="2128">
        <f>+'Receitas (mensais)'!E121</f>
        <v>0</v>
      </c>
      <c r="H111" s="2128">
        <f>+'Receitas (mensais)'!F121</f>
        <v>0</v>
      </c>
      <c r="I111" s="2128">
        <f>+'Receitas (mensais)'!G121</f>
        <v>0</v>
      </c>
      <c r="J111" s="2128">
        <f>+'Receitas (mensais)'!H121</f>
        <v>0</v>
      </c>
      <c r="K111" s="2128">
        <f>+'Receitas (mensais)'!I121</f>
        <v>0</v>
      </c>
      <c r="L111" s="2128">
        <f>+'Receitas (mensais)'!J121</f>
        <v>0</v>
      </c>
      <c r="M111" s="2128">
        <f>+'Receitas (mensais)'!K121</f>
        <v>0</v>
      </c>
      <c r="N111" s="2128">
        <f>+'Receitas (mensais)'!L121</f>
        <v>0</v>
      </c>
      <c r="O111" s="2128">
        <f>+'Receitas (mensais)'!M121</f>
        <v>0</v>
      </c>
      <c r="P111" s="2128">
        <f>+'Receitas (mensais)'!N121</f>
        <v>0</v>
      </c>
      <c r="Q111" s="2128">
        <f>+'Receitas (mensais)'!O121</f>
        <v>0</v>
      </c>
      <c r="R111" s="2128">
        <f>+'Receitas (mensais)'!P121</f>
        <v>0</v>
      </c>
      <c r="S111" s="2132">
        <f t="shared" si="12"/>
        <v>0</v>
      </c>
      <c r="T111" s="2129"/>
      <c r="U111" s="2129"/>
      <c r="V111" s="2129"/>
      <c r="W111" s="2130"/>
      <c r="X111" s="2096"/>
      <c r="Y111" s="2097"/>
      <c r="AA111" s="2099"/>
    </row>
    <row r="112" spans="1:27" s="2131" customFormat="1" ht="26.25" hidden="1">
      <c r="A112" s="2127"/>
      <c r="B112" s="2088" t="s">
        <v>3309</v>
      </c>
      <c r="C112" s="2100" t="str">
        <f>'Receitas (mensais)'!D122</f>
        <v>Emolu. portos e capitanias</v>
      </c>
      <c r="D112" s="2126"/>
      <c r="E112" s="2128"/>
      <c r="F112" s="2128"/>
      <c r="G112" s="2128">
        <f>+'Receitas (mensais)'!E122</f>
        <v>0</v>
      </c>
      <c r="H112" s="2128">
        <f>+'Receitas (mensais)'!F122</f>
        <v>0</v>
      </c>
      <c r="I112" s="2128">
        <f>+'Receitas (mensais)'!G122</f>
        <v>0</v>
      </c>
      <c r="J112" s="2128">
        <f>+'Receitas (mensais)'!H122</f>
        <v>0</v>
      </c>
      <c r="K112" s="2128">
        <f>+'Receitas (mensais)'!I122</f>
        <v>780.17499999999995</v>
      </c>
      <c r="L112" s="2128">
        <f>+'Receitas (mensais)'!J122</f>
        <v>0</v>
      </c>
      <c r="M112" s="2128">
        <f>+'Receitas (mensais)'!K122</f>
        <v>0</v>
      </c>
      <c r="N112" s="2128">
        <f>+'Receitas (mensais)'!L122</f>
        <v>0</v>
      </c>
      <c r="O112" s="2128">
        <f>+'Receitas (mensais)'!M122</f>
        <v>0</v>
      </c>
      <c r="P112" s="2128">
        <f>+'Receitas (mensais)'!N122</f>
        <v>0</v>
      </c>
      <c r="Q112" s="2128">
        <f>+'Receitas (mensais)'!O122</f>
        <v>0</v>
      </c>
      <c r="R112" s="2128">
        <f>+'Receitas (mensais)'!P122</f>
        <v>0</v>
      </c>
      <c r="S112" s="2132">
        <f t="shared" si="12"/>
        <v>780.17499999999995</v>
      </c>
      <c r="T112" s="2129"/>
      <c r="U112" s="2129"/>
      <c r="V112" s="2129"/>
      <c r="W112" s="2130"/>
      <c r="X112" s="2096"/>
      <c r="Y112" s="2097"/>
      <c r="AA112" s="2099"/>
    </row>
    <row r="113" spans="1:27" s="2131" customFormat="1" ht="26.25" hidden="1">
      <c r="A113" s="2127"/>
      <c r="B113" s="2088" t="s">
        <v>3310</v>
      </c>
      <c r="C113" s="2100" t="str">
        <f>'Receitas (mensais)'!D123</f>
        <v>Rend. pontes cais</v>
      </c>
      <c r="D113" s="2126"/>
      <c r="E113" s="2128"/>
      <c r="F113" s="2128"/>
      <c r="G113" s="2128">
        <f>+G114+G115</f>
        <v>0</v>
      </c>
      <c r="H113" s="2128">
        <f t="shared" ref="H113:R113" si="39">+H114+H115</f>
        <v>0</v>
      </c>
      <c r="I113" s="2128">
        <f t="shared" si="39"/>
        <v>0</v>
      </c>
      <c r="J113" s="2128">
        <f t="shared" si="39"/>
        <v>0</v>
      </c>
      <c r="K113" s="2128">
        <f t="shared" si="39"/>
        <v>0</v>
      </c>
      <c r="L113" s="2128">
        <f t="shared" si="39"/>
        <v>0</v>
      </c>
      <c r="M113" s="2128">
        <f t="shared" si="39"/>
        <v>0</v>
      </c>
      <c r="N113" s="2128">
        <f t="shared" si="39"/>
        <v>0</v>
      </c>
      <c r="O113" s="2128">
        <f t="shared" si="39"/>
        <v>0</v>
      </c>
      <c r="P113" s="2128">
        <f t="shared" si="39"/>
        <v>0</v>
      </c>
      <c r="Q113" s="2128">
        <f t="shared" si="39"/>
        <v>0</v>
      </c>
      <c r="R113" s="2128">
        <f t="shared" si="39"/>
        <v>0</v>
      </c>
      <c r="S113" s="2132">
        <f t="shared" si="12"/>
        <v>0</v>
      </c>
      <c r="T113" s="2129"/>
      <c r="U113" s="2129"/>
      <c r="V113" s="2129"/>
      <c r="W113" s="2130"/>
      <c r="X113" s="2096"/>
      <c r="Y113" s="2097"/>
      <c r="AA113" s="2099"/>
    </row>
    <row r="114" spans="1:27" s="2131" customFormat="1" ht="26.25" hidden="1">
      <c r="A114" s="2127"/>
      <c r="B114" s="2088" t="s">
        <v>3312</v>
      </c>
      <c r="C114" s="2100" t="str">
        <f>'Receitas (mensais)'!D124</f>
        <v xml:space="preserve">      Taxas de Atracagem de Navios</v>
      </c>
      <c r="D114" s="2126"/>
      <c r="E114" s="2128"/>
      <c r="F114" s="2128"/>
      <c r="G114" s="2128">
        <f>+'Receitas (mensais)'!E124</f>
        <v>0</v>
      </c>
      <c r="H114" s="2128">
        <f>+'Receitas (mensais)'!F124</f>
        <v>0</v>
      </c>
      <c r="I114" s="2128">
        <f>+'Receitas (mensais)'!G124</f>
        <v>0</v>
      </c>
      <c r="J114" s="2128">
        <f>+'Receitas (mensais)'!H124</f>
        <v>0</v>
      </c>
      <c r="K114" s="2128">
        <f>+'Receitas (mensais)'!I124</f>
        <v>0</v>
      </c>
      <c r="L114" s="2128">
        <f>+'Receitas (mensais)'!J124</f>
        <v>0</v>
      </c>
      <c r="M114" s="2128">
        <f>+'Receitas (mensais)'!K124</f>
        <v>0</v>
      </c>
      <c r="N114" s="2128">
        <f>+'Receitas (mensais)'!L124</f>
        <v>0</v>
      </c>
      <c r="O114" s="2128">
        <f>+'Receitas (mensais)'!M124</f>
        <v>0</v>
      </c>
      <c r="P114" s="2128">
        <f>+'Receitas (mensais)'!N124</f>
        <v>0</v>
      </c>
      <c r="Q114" s="2128">
        <f>+'Receitas (mensais)'!O124</f>
        <v>0</v>
      </c>
      <c r="R114" s="2128">
        <f>+'Receitas (mensais)'!P124</f>
        <v>0</v>
      </c>
      <c r="S114" s="2132">
        <f t="shared" si="12"/>
        <v>0</v>
      </c>
      <c r="T114" s="2129"/>
      <c r="U114" s="2129"/>
      <c r="V114" s="2129"/>
      <c r="W114" s="2130"/>
      <c r="X114" s="2096"/>
      <c r="Y114" s="2097"/>
      <c r="AA114" s="2099"/>
    </row>
    <row r="115" spans="1:27" s="2131" customFormat="1" ht="26.25" hidden="1">
      <c r="A115" s="2127"/>
      <c r="B115" s="2088" t="s">
        <v>3313</v>
      </c>
      <c r="C115" s="2100" t="str">
        <f>'Receitas (mensais)'!D125</f>
        <v xml:space="preserve">     Taxas de Estacionamento de Navios</v>
      </c>
      <c r="D115" s="2126"/>
      <c r="E115" s="2128"/>
      <c r="F115" s="2128"/>
      <c r="G115" s="2128">
        <f>+'Receitas (mensais)'!E125</f>
        <v>0</v>
      </c>
      <c r="H115" s="2128">
        <f>+'Receitas (mensais)'!F125</f>
        <v>0</v>
      </c>
      <c r="I115" s="2128">
        <f>+'Receitas (mensais)'!G125</f>
        <v>0</v>
      </c>
      <c r="J115" s="2128">
        <f>+'Receitas (mensais)'!H125</f>
        <v>0</v>
      </c>
      <c r="K115" s="2128">
        <f>+'Receitas (mensais)'!I125</f>
        <v>0</v>
      </c>
      <c r="L115" s="2128">
        <f>+'Receitas (mensais)'!J125</f>
        <v>0</v>
      </c>
      <c r="M115" s="2128">
        <f>+'Receitas (mensais)'!K125</f>
        <v>0</v>
      </c>
      <c r="N115" s="2128">
        <f>+'Receitas (mensais)'!L125</f>
        <v>0</v>
      </c>
      <c r="O115" s="2128">
        <f>+'Receitas (mensais)'!M125</f>
        <v>0</v>
      </c>
      <c r="P115" s="2128">
        <f>+'Receitas (mensais)'!N125</f>
        <v>0</v>
      </c>
      <c r="Q115" s="2128">
        <f>+'Receitas (mensais)'!O125</f>
        <v>0</v>
      </c>
      <c r="R115" s="2128">
        <f>+'Receitas (mensais)'!P125</f>
        <v>0</v>
      </c>
      <c r="S115" s="2132">
        <f t="shared" si="12"/>
        <v>0</v>
      </c>
      <c r="T115" s="2129"/>
      <c r="U115" s="2129"/>
      <c r="V115" s="2129"/>
      <c r="W115" s="2130"/>
      <c r="X115" s="2096"/>
      <c r="Y115" s="2097"/>
      <c r="AA115" s="2099"/>
    </row>
    <row r="116" spans="1:27" s="2131" customFormat="1" ht="26.25" hidden="1">
      <c r="A116" s="2127"/>
      <c r="B116" s="2088" t="s">
        <v>3311</v>
      </c>
      <c r="C116" s="2100" t="str">
        <f>'Receitas (mensais)'!D126</f>
        <v>Outras taxas</v>
      </c>
      <c r="D116" s="2126"/>
      <c r="E116" s="2128"/>
      <c r="F116" s="2128">
        <f>+SUM(F117:F143)</f>
        <v>273218.65299999999</v>
      </c>
      <c r="G116" s="2128">
        <f>+SUM(G117:G143)</f>
        <v>24134.115999999998</v>
      </c>
      <c r="H116" s="2128">
        <f t="shared" ref="H116:R116" si="40">+SUM(H117:H143)</f>
        <v>19257.457000000002</v>
      </c>
      <c r="I116" s="2128">
        <f t="shared" si="40"/>
        <v>14100.792000000001</v>
      </c>
      <c r="J116" s="2128">
        <f t="shared" si="40"/>
        <v>11405.130999999999</v>
      </c>
      <c r="K116" s="2128">
        <f t="shared" si="40"/>
        <v>123965.33199999999</v>
      </c>
      <c r="L116" s="2128">
        <f t="shared" si="40"/>
        <v>7372.8899999999994</v>
      </c>
      <c r="M116" s="2128">
        <f t="shared" si="40"/>
        <v>9062.4470000000019</v>
      </c>
      <c r="N116" s="2128">
        <f t="shared" si="40"/>
        <v>11460.7</v>
      </c>
      <c r="O116" s="2128">
        <f t="shared" si="40"/>
        <v>24275.3</v>
      </c>
      <c r="P116" s="2128">
        <f t="shared" si="40"/>
        <v>30174.855</v>
      </c>
      <c r="Q116" s="2128">
        <f t="shared" si="40"/>
        <v>19738.445</v>
      </c>
      <c r="R116" s="2128">
        <f t="shared" si="40"/>
        <v>16296.798999999999</v>
      </c>
      <c r="S116" s="2132">
        <f t="shared" si="12"/>
        <v>311244.26400000002</v>
      </c>
      <c r="T116" s="2129"/>
      <c r="U116" s="2129"/>
      <c r="V116" s="2129"/>
      <c r="W116" s="2130"/>
      <c r="X116" s="2096"/>
      <c r="Y116" s="2097"/>
      <c r="AA116" s="2099"/>
    </row>
    <row r="117" spans="1:27" s="2131" customFormat="1" ht="26.25" hidden="1">
      <c r="A117" s="2127"/>
      <c r="B117" s="2088" t="s">
        <v>3314</v>
      </c>
      <c r="C117" s="2100" t="str">
        <f>'Receitas (mensais)'!D127</f>
        <v xml:space="preserve">       Taxa militar</v>
      </c>
      <c r="D117" s="2126"/>
      <c r="E117" s="2128"/>
      <c r="F117" s="2128"/>
      <c r="G117" s="2128">
        <f>+'Receitas (mensais)'!E127</f>
        <v>0</v>
      </c>
      <c r="H117" s="2128">
        <f>+'Receitas (mensais)'!F127</f>
        <v>0</v>
      </c>
      <c r="I117" s="2128">
        <f>+'Receitas (mensais)'!G127</f>
        <v>0</v>
      </c>
      <c r="J117" s="2128">
        <f>+'Receitas (mensais)'!H127</f>
        <v>0</v>
      </c>
      <c r="K117" s="2128">
        <f>+'Receitas (mensais)'!I127</f>
        <v>0</v>
      </c>
      <c r="L117" s="2128">
        <f>+'Receitas (mensais)'!J127</f>
        <v>0</v>
      </c>
      <c r="M117" s="2128">
        <f>+'Receitas (mensais)'!K127</f>
        <v>0</v>
      </c>
      <c r="N117" s="2128">
        <f>+'Receitas (mensais)'!L127</f>
        <v>0</v>
      </c>
      <c r="O117" s="2128">
        <f>+'Receitas (mensais)'!M127</f>
        <v>0</v>
      </c>
      <c r="P117" s="2128">
        <f>+'Receitas (mensais)'!N127</f>
        <v>0</v>
      </c>
      <c r="Q117" s="2128">
        <f>+'Receitas (mensais)'!O127</f>
        <v>0</v>
      </c>
      <c r="R117" s="2128">
        <f>+'Receitas (mensais)'!P127</f>
        <v>0</v>
      </c>
      <c r="S117" s="2132">
        <f t="shared" si="12"/>
        <v>0</v>
      </c>
      <c r="T117" s="2129"/>
      <c r="U117" s="2129"/>
      <c r="V117" s="2129"/>
      <c r="W117" s="2130"/>
      <c r="X117" s="2096"/>
      <c r="Y117" s="2097"/>
      <c r="AA117" s="2099"/>
    </row>
    <row r="118" spans="1:27" s="2131" customFormat="1" ht="26.25" hidden="1">
      <c r="A118" s="2127"/>
      <c r="B118" s="2088" t="s">
        <v>3315</v>
      </c>
      <c r="C118" s="2100" t="str">
        <f>'Receitas (mensais)'!D128</f>
        <v xml:space="preserve">      Taxa de selagem (aduan.)</v>
      </c>
      <c r="D118" s="2126"/>
      <c r="E118" s="2128"/>
      <c r="F118" s="2128"/>
      <c r="G118" s="2128">
        <f>+'Receitas (mensais)'!E128</f>
        <v>0</v>
      </c>
      <c r="H118" s="2128">
        <f>+'Receitas (mensais)'!F128</f>
        <v>0</v>
      </c>
      <c r="I118" s="2128">
        <f>+'Receitas (mensais)'!G128</f>
        <v>0</v>
      </c>
      <c r="J118" s="2128">
        <f>+'Receitas (mensais)'!H128</f>
        <v>0</v>
      </c>
      <c r="K118" s="2128">
        <f>+'Receitas (mensais)'!I128</f>
        <v>0</v>
      </c>
      <c r="L118" s="2128">
        <f>+'Receitas (mensais)'!J128</f>
        <v>0</v>
      </c>
      <c r="M118" s="2128">
        <f>+'Receitas (mensais)'!K128</f>
        <v>0</v>
      </c>
      <c r="N118" s="2128">
        <f>+'Receitas (mensais)'!L128</f>
        <v>0</v>
      </c>
      <c r="O118" s="2128">
        <f>+'Receitas (mensais)'!M128</f>
        <v>0</v>
      </c>
      <c r="P118" s="2128">
        <f>+'Receitas (mensais)'!N128</f>
        <v>0</v>
      </c>
      <c r="Q118" s="2128">
        <f>+'Receitas (mensais)'!O128</f>
        <v>0</v>
      </c>
      <c r="R118" s="2128">
        <f>+'Receitas (mensais)'!P128</f>
        <v>37.15</v>
      </c>
      <c r="S118" s="2132">
        <f t="shared" si="12"/>
        <v>37.15</v>
      </c>
      <c r="T118" s="2129"/>
      <c r="U118" s="2129"/>
      <c r="V118" s="2129"/>
      <c r="W118" s="2130"/>
      <c r="X118" s="2096"/>
      <c r="Y118" s="2097"/>
      <c r="AA118" s="2099"/>
    </row>
    <row r="119" spans="1:27" s="2131" customFormat="1" ht="26.25" hidden="1">
      <c r="A119" s="2127"/>
      <c r="B119" s="2088" t="s">
        <v>3316</v>
      </c>
      <c r="C119" s="2100" t="str">
        <f>'Receitas (mensais)'!D129</f>
        <v xml:space="preserve">      Registo civil</v>
      </c>
      <c r="D119" s="2126"/>
      <c r="E119" s="2128"/>
      <c r="F119" s="2128">
        <v>40025.055999999997</v>
      </c>
      <c r="G119" s="2128">
        <f>+'Receitas (mensais)'!E129</f>
        <v>491.01600000000002</v>
      </c>
      <c r="H119" s="2128">
        <f>+'Receitas (mensais)'!F129</f>
        <v>418.37599999999998</v>
      </c>
      <c r="I119" s="2128">
        <f>+'Receitas (mensais)'!G129</f>
        <v>697.40599999999995</v>
      </c>
      <c r="J119" s="2128">
        <f>+'Receitas (mensais)'!H129</f>
        <v>262.19900000000001</v>
      </c>
      <c r="K119" s="2128">
        <f>+'Receitas (mensais)'!I129</f>
        <v>3648.835</v>
      </c>
      <c r="L119" s="2128">
        <f>+'Receitas (mensais)'!J129</f>
        <v>1032.2629999999999</v>
      </c>
      <c r="M119" s="2128">
        <f>+'Receitas (mensais)'!K129</f>
        <v>2158.8830000000003</v>
      </c>
      <c r="N119" s="2128">
        <f>+'Receitas (mensais)'!L129</f>
        <v>2635.9450000000002</v>
      </c>
      <c r="O119" s="2128">
        <f>+'Receitas (mensais)'!M129</f>
        <v>3702.9630000000002</v>
      </c>
      <c r="P119" s="2128">
        <f>+'Receitas (mensais)'!N129</f>
        <v>3367.6529999999998</v>
      </c>
      <c r="Q119" s="2128">
        <f>+'Receitas (mensais)'!O129</f>
        <v>2380.64</v>
      </c>
      <c r="R119" s="2128">
        <f>+'Receitas (mensais)'!P129</f>
        <v>1303.9059999999999</v>
      </c>
      <c r="S119" s="2132">
        <f t="shared" si="12"/>
        <v>22100.084999999999</v>
      </c>
      <c r="T119" s="2129"/>
      <c r="U119" s="2129"/>
      <c r="V119" s="2129"/>
      <c r="W119" s="2130"/>
      <c r="X119" s="2096"/>
      <c r="Y119" s="2097"/>
      <c r="AA119" s="2099"/>
    </row>
    <row r="120" spans="1:27" s="2131" customFormat="1" ht="26.25" hidden="1">
      <c r="A120" s="2127"/>
      <c r="B120" s="2088" t="s">
        <v>3317</v>
      </c>
      <c r="C120" s="2100" t="str">
        <f>'Receitas (mensais)'!D130</f>
        <v xml:space="preserve">       I mposto de Justiça</v>
      </c>
      <c r="D120" s="2126"/>
      <c r="E120" s="2128"/>
      <c r="F120" s="2128">
        <v>734.97799999999995</v>
      </c>
      <c r="G120" s="2128">
        <f>+'Receitas (mensais)'!E130</f>
        <v>0</v>
      </c>
      <c r="H120" s="2128">
        <f>+'Receitas (mensais)'!F130</f>
        <v>0</v>
      </c>
      <c r="I120" s="2128">
        <f>+'Receitas (mensais)'!G130</f>
        <v>0</v>
      </c>
      <c r="J120" s="2128">
        <f>+'Receitas (mensais)'!H130</f>
        <v>0</v>
      </c>
      <c r="K120" s="2128">
        <f>+'Receitas (mensais)'!I130</f>
        <v>0</v>
      </c>
      <c r="L120" s="2128">
        <f>+'Receitas (mensais)'!J130</f>
        <v>0</v>
      </c>
      <c r="M120" s="2128">
        <f>+'Receitas (mensais)'!K130</f>
        <v>0</v>
      </c>
      <c r="N120" s="2128">
        <f>+'Receitas (mensais)'!L130</f>
        <v>0</v>
      </c>
      <c r="O120" s="2128">
        <f>+'Receitas (mensais)'!M130</f>
        <v>0</v>
      </c>
      <c r="P120" s="2128">
        <f>+'Receitas (mensais)'!N130</f>
        <v>0</v>
      </c>
      <c r="Q120" s="2128">
        <f>+'Receitas (mensais)'!O130</f>
        <v>0</v>
      </c>
      <c r="R120" s="2128">
        <f>+'Receitas (mensais)'!P130</f>
        <v>0</v>
      </c>
      <c r="S120" s="2132">
        <f t="shared" si="12"/>
        <v>0</v>
      </c>
      <c r="T120" s="2129"/>
      <c r="U120" s="2129"/>
      <c r="V120" s="2129"/>
      <c r="W120" s="2130"/>
      <c r="X120" s="2096"/>
      <c r="Y120" s="2097"/>
      <c r="AA120" s="2099"/>
    </row>
    <row r="121" spans="1:27" s="2131" customFormat="1" ht="26.25" hidden="1">
      <c r="A121" s="2127"/>
      <c r="B121" s="2088" t="s">
        <v>3318</v>
      </c>
      <c r="C121" s="2100" t="str">
        <f>'Receitas (mensais)'!D131</f>
        <v xml:space="preserve">       Emolum. dos Registos</v>
      </c>
      <c r="D121" s="2126"/>
      <c r="E121" s="2128"/>
      <c r="F121" s="2128">
        <v>33045.211000000003</v>
      </c>
      <c r="G121" s="2128">
        <f>+'Receitas (mensais)'!E131</f>
        <v>6846.3010000000004</v>
      </c>
      <c r="H121" s="2128">
        <f>+'Receitas (mensais)'!F131</f>
        <v>2000</v>
      </c>
      <c r="I121" s="2128">
        <f>+'Receitas (mensais)'!G131</f>
        <v>2853.1879999999996</v>
      </c>
      <c r="J121" s="2128">
        <f>+'Receitas (mensais)'!H131</f>
        <v>1285.6590000000001</v>
      </c>
      <c r="K121" s="2128">
        <f>+'Receitas (mensais)'!I131</f>
        <v>0</v>
      </c>
      <c r="L121" s="2128">
        <f>+'Receitas (mensais)'!J131</f>
        <v>0</v>
      </c>
      <c r="M121" s="2128">
        <f>+'Receitas (mensais)'!K131</f>
        <v>2304.011</v>
      </c>
      <c r="N121" s="2128">
        <f>+'Receitas (mensais)'!L131</f>
        <v>3330.51</v>
      </c>
      <c r="O121" s="2128">
        <f>+'Receitas (mensais)'!M131</f>
        <v>11120.295</v>
      </c>
      <c r="P121" s="2128">
        <f>+'Receitas (mensais)'!N131</f>
        <v>11446.021000000001</v>
      </c>
      <c r="Q121" s="2128">
        <f>+'Receitas (mensais)'!O131</f>
        <v>5729.4669999999996</v>
      </c>
      <c r="R121" s="2128">
        <f>+'Receitas (mensais)'!P131</f>
        <v>6188.5410000000002</v>
      </c>
      <c r="S121" s="2132">
        <f t="shared" si="12"/>
        <v>53103.992999999995</v>
      </c>
      <c r="T121" s="2129"/>
      <c r="U121" s="2129"/>
      <c r="V121" s="2129"/>
      <c r="W121" s="2130"/>
      <c r="X121" s="2096"/>
      <c r="Y121" s="2097"/>
      <c r="AA121" s="2099"/>
    </row>
    <row r="122" spans="1:27" s="2131" customFormat="1" ht="26.25" hidden="1">
      <c r="A122" s="2127"/>
      <c r="B122" s="2088" t="s">
        <v>3319</v>
      </c>
      <c r="C122" s="2100" t="str">
        <f>'Receitas (mensais)'!D132</f>
        <v xml:space="preserve">      Emol Trib Contencioso CI</v>
      </c>
      <c r="D122" s="2126"/>
      <c r="E122" s="2128"/>
      <c r="F122" s="2128"/>
      <c r="G122" s="2128">
        <f>+'Receitas (mensais)'!E132</f>
        <v>0</v>
      </c>
      <c r="H122" s="2128">
        <f>+'Receitas (mensais)'!F132</f>
        <v>0</v>
      </c>
      <c r="I122" s="2128">
        <f>+'Receitas (mensais)'!G132</f>
        <v>0</v>
      </c>
      <c r="J122" s="2128">
        <f>+'Receitas (mensais)'!H132</f>
        <v>0</v>
      </c>
      <c r="K122" s="2128">
        <f>+'Receitas (mensais)'!I132</f>
        <v>0</v>
      </c>
      <c r="L122" s="2128">
        <f>+'Receitas (mensais)'!J132</f>
        <v>0</v>
      </c>
      <c r="M122" s="2128">
        <f>+'Receitas (mensais)'!K132</f>
        <v>0</v>
      </c>
      <c r="N122" s="2128">
        <f>+'Receitas (mensais)'!L132</f>
        <v>0</v>
      </c>
      <c r="O122" s="2128">
        <f>+'Receitas (mensais)'!M132</f>
        <v>0</v>
      </c>
      <c r="P122" s="2128">
        <f>+'Receitas (mensais)'!N132</f>
        <v>0</v>
      </c>
      <c r="Q122" s="2128">
        <f>+'Receitas (mensais)'!O132</f>
        <v>0</v>
      </c>
      <c r="R122" s="2128">
        <f>+'Receitas (mensais)'!P132</f>
        <v>0</v>
      </c>
      <c r="S122" s="2132">
        <f t="shared" si="12"/>
        <v>0</v>
      </c>
      <c r="T122" s="2129"/>
      <c r="U122" s="2129"/>
      <c r="V122" s="2129"/>
      <c r="W122" s="2130"/>
      <c r="X122" s="2096"/>
      <c r="Y122" s="2097"/>
      <c r="AA122" s="2099"/>
    </row>
    <row r="123" spans="1:27" s="2131" customFormat="1" ht="26.25" hidden="1">
      <c r="A123" s="2127"/>
      <c r="B123" s="2088" t="s">
        <v>3320</v>
      </c>
      <c r="C123" s="2100" t="str">
        <f>'Receitas (mensais)'!D133</f>
        <v xml:space="preserve">     Serv. Identificaçao Civil</v>
      </c>
      <c r="D123" s="2126"/>
      <c r="E123" s="2128"/>
      <c r="F123" s="2128">
        <v>8698.7340000000004</v>
      </c>
      <c r="G123" s="2128">
        <f>+'Receitas (mensais)'!E133</f>
        <v>1984.0720000000001</v>
      </c>
      <c r="H123" s="2128">
        <f>+'Receitas (mensais)'!F133</f>
        <v>0</v>
      </c>
      <c r="I123" s="2128">
        <f>+'Receitas (mensais)'!G133</f>
        <v>1231.3599999999999</v>
      </c>
      <c r="J123" s="2128">
        <f>+'Receitas (mensais)'!H133</f>
        <v>0</v>
      </c>
      <c r="K123" s="2128">
        <f>+'Receitas (mensais)'!I133</f>
        <v>0</v>
      </c>
      <c r="L123" s="2128">
        <f>+'Receitas (mensais)'!J133</f>
        <v>0</v>
      </c>
      <c r="M123" s="2128">
        <f>+'Receitas (mensais)'!K133</f>
        <v>83.3</v>
      </c>
      <c r="N123" s="2128">
        <f>+'Receitas (mensais)'!L133</f>
        <v>3088.0740000000001</v>
      </c>
      <c r="O123" s="2128">
        <f>+'Receitas (mensais)'!M133</f>
        <v>2751.6309999999999</v>
      </c>
      <c r="P123" s="2128">
        <f>+'Receitas (mensais)'!N133</f>
        <v>4507.3809999999994</v>
      </c>
      <c r="Q123" s="2128">
        <f>+'Receitas (mensais)'!O133</f>
        <v>2503.1419999999998</v>
      </c>
      <c r="R123" s="2128">
        <f>+'Receitas (mensais)'!P133</f>
        <v>2088.848</v>
      </c>
      <c r="S123" s="2132">
        <f t="shared" si="12"/>
        <v>18237.807999999997</v>
      </c>
      <c r="T123" s="2129"/>
      <c r="U123" s="2129"/>
      <c r="V123" s="2129"/>
      <c r="W123" s="2130"/>
      <c r="X123" s="2096"/>
      <c r="Y123" s="2097"/>
      <c r="AA123" s="2099"/>
    </row>
    <row r="124" spans="1:27" s="2131" customFormat="1" ht="26.25" hidden="1">
      <c r="A124" s="2127"/>
      <c r="B124" s="2088" t="s">
        <v>3321</v>
      </c>
      <c r="C124" s="2100" t="str">
        <f>'Receitas (mensais)'!D134</f>
        <v xml:space="preserve">      Taxas de trafego</v>
      </c>
      <c r="D124" s="2126"/>
      <c r="E124" s="2128"/>
      <c r="F124" s="2128">
        <v>3213.2910000000002</v>
      </c>
      <c r="G124" s="2128">
        <f>+'Receitas (mensais)'!E134</f>
        <v>640.44799999999998</v>
      </c>
      <c r="H124" s="2128">
        <f>+'Receitas (mensais)'!F134</f>
        <v>980.44100000000003</v>
      </c>
      <c r="I124" s="2128">
        <f>+'Receitas (mensais)'!G134</f>
        <v>385.52</v>
      </c>
      <c r="J124" s="2128">
        <f>+'Receitas (mensais)'!H134</f>
        <v>649.01800000000003</v>
      </c>
      <c r="K124" s="2128">
        <f>+'Receitas (mensais)'!I134</f>
        <v>749.21500000000003</v>
      </c>
      <c r="L124" s="2128">
        <f>+'Receitas (mensais)'!J134</f>
        <v>829.00199999999995</v>
      </c>
      <c r="M124" s="2128">
        <f>+'Receitas (mensais)'!K134</f>
        <v>153.22800000000001</v>
      </c>
      <c r="N124" s="2128">
        <f>+'Receitas (mensais)'!L134</f>
        <v>120</v>
      </c>
      <c r="O124" s="2128">
        <f>+'Receitas (mensais)'!M134</f>
        <v>0</v>
      </c>
      <c r="P124" s="2128">
        <f>+'Receitas (mensais)'!N134</f>
        <v>396</v>
      </c>
      <c r="Q124" s="2128">
        <f>+'Receitas (mensais)'!O134</f>
        <v>555.846</v>
      </c>
      <c r="R124" s="2128">
        <f>+'Receitas (mensais)'!P134</f>
        <v>410.36799999999999</v>
      </c>
      <c r="S124" s="2132">
        <f t="shared" si="12"/>
        <v>5869.0860000000011</v>
      </c>
      <c r="T124" s="2129"/>
      <c r="U124" s="2129"/>
      <c r="V124" s="2129"/>
      <c r="W124" s="2130"/>
      <c r="X124" s="2096"/>
      <c r="Y124" s="2097"/>
      <c r="AA124" s="2099"/>
    </row>
    <row r="125" spans="1:27" s="2131" customFormat="1" ht="26.25" hidden="1">
      <c r="A125" s="2127"/>
      <c r="B125" s="2088" t="s">
        <v>3322</v>
      </c>
      <c r="C125" s="2100" t="str">
        <f>'Receitas (mensais)'!D135</f>
        <v xml:space="preserve">      Rend. Serv do Notariado</v>
      </c>
      <c r="D125" s="2126"/>
      <c r="E125" s="2128"/>
      <c r="F125" s="2128">
        <v>8173.9629999999997</v>
      </c>
      <c r="G125" s="2128">
        <f>+'Receitas (mensais)'!E135</f>
        <v>1510.6790000000001</v>
      </c>
      <c r="H125" s="2128">
        <f>+'Receitas (mensais)'!F135</f>
        <v>0</v>
      </c>
      <c r="I125" s="2128">
        <f>+'Receitas (mensais)'!G135</f>
        <v>1807.3430000000001</v>
      </c>
      <c r="J125" s="2128">
        <f>+'Receitas (mensais)'!H135</f>
        <v>691.56999999999994</v>
      </c>
      <c r="K125" s="2128">
        <f>+'Receitas (mensais)'!I135</f>
        <v>0</v>
      </c>
      <c r="L125" s="2128">
        <f>+'Receitas (mensais)'!J135</f>
        <v>0</v>
      </c>
      <c r="M125" s="2128">
        <f>+'Receitas (mensais)'!K135</f>
        <v>0</v>
      </c>
      <c r="N125" s="2128">
        <f>+'Receitas (mensais)'!L135</f>
        <v>738.68</v>
      </c>
      <c r="O125" s="2128">
        <f>+'Receitas (mensais)'!M135</f>
        <v>3916.942</v>
      </c>
      <c r="P125" s="2128">
        <f>+'Receitas (mensais)'!N135</f>
        <v>3828.6819999999998</v>
      </c>
      <c r="Q125" s="2128">
        <f>+'Receitas (mensais)'!O135</f>
        <v>1853.3100000000004</v>
      </c>
      <c r="R125" s="2128">
        <f>+'Receitas (mensais)'!P135</f>
        <v>1853.4530000000002</v>
      </c>
      <c r="S125" s="2132">
        <f t="shared" si="12"/>
        <v>16200.659000000001</v>
      </c>
      <c r="T125" s="2129"/>
      <c r="U125" s="2129"/>
      <c r="V125" s="2129"/>
      <c r="W125" s="2130"/>
      <c r="X125" s="2096"/>
      <c r="Y125" s="2097"/>
      <c r="AA125" s="2099"/>
    </row>
    <row r="126" spans="1:27" s="2131" customFormat="1" ht="26.25" hidden="1">
      <c r="A126" s="2127"/>
      <c r="B126" s="2088" t="s">
        <v>3323</v>
      </c>
      <c r="C126" s="2100" t="str">
        <f>'Receitas (mensais)'!D136</f>
        <v xml:space="preserve">       Emolum. de Secretaria</v>
      </c>
      <c r="D126" s="2126"/>
      <c r="E126" s="2128"/>
      <c r="F126" s="2128">
        <v>102064.621</v>
      </c>
      <c r="G126" s="2128">
        <f>+'Receitas (mensais)'!E136</f>
        <v>9688.1549999999988</v>
      </c>
      <c r="H126" s="2128">
        <f>+'Receitas (mensais)'!F136</f>
        <v>13469.679</v>
      </c>
      <c r="I126" s="2128">
        <f>+'Receitas (mensais)'!G136</f>
        <v>4921.8969999999999</v>
      </c>
      <c r="J126" s="2128">
        <f>+'Receitas (mensais)'!H136</f>
        <v>5320.5380000000005</v>
      </c>
      <c r="K126" s="2128">
        <f>+'Receitas (mensais)'!I136</f>
        <v>1830.6000000000001</v>
      </c>
      <c r="L126" s="2128">
        <f>+'Receitas (mensais)'!J136</f>
        <v>4675.2139999999999</v>
      </c>
      <c r="M126" s="2128">
        <f>+'Receitas (mensais)'!K136</f>
        <v>2208.8240000000001</v>
      </c>
      <c r="N126" s="2128">
        <f>+'Receitas (mensais)'!L136</f>
        <v>933.37099999999998</v>
      </c>
      <c r="O126" s="2128">
        <f>+'Receitas (mensais)'!M136</f>
        <v>1531.3140000000001</v>
      </c>
      <c r="P126" s="2128">
        <f>+'Receitas (mensais)'!N136</f>
        <v>5937.3770000000004</v>
      </c>
      <c r="Q126" s="2128">
        <f>+'Receitas (mensais)'!O136</f>
        <v>5788.3980000000001</v>
      </c>
      <c r="R126" s="2128">
        <f>+'Receitas (mensais)'!P136</f>
        <v>3140.2929999999997</v>
      </c>
      <c r="S126" s="2132">
        <f t="shared" si="12"/>
        <v>59445.659999999996</v>
      </c>
      <c r="T126" s="2129"/>
      <c r="U126" s="2129"/>
      <c r="V126" s="2129"/>
      <c r="W126" s="2130"/>
      <c r="X126" s="2096"/>
      <c r="Y126" s="2097"/>
      <c r="AA126" s="2099"/>
    </row>
    <row r="127" spans="1:27" s="2131" customFormat="1" ht="26.25" hidden="1">
      <c r="A127" s="2127"/>
      <c r="B127" s="2088" t="s">
        <v>3324</v>
      </c>
      <c r="C127" s="2100" t="str">
        <f>'Receitas (mensais)'!D137</f>
        <v xml:space="preserve">      Taxas aparelhos e recept.</v>
      </c>
      <c r="D127" s="2126"/>
      <c r="E127" s="2128"/>
      <c r="F127" s="2128"/>
      <c r="G127" s="2128">
        <f>+'Receitas (mensais)'!E137</f>
        <v>0</v>
      </c>
      <c r="H127" s="2128">
        <f>+'Receitas (mensais)'!F137</f>
        <v>0</v>
      </c>
      <c r="I127" s="2128">
        <f>+'Receitas (mensais)'!G137</f>
        <v>0</v>
      </c>
      <c r="J127" s="2128">
        <f>+'Receitas (mensais)'!H137</f>
        <v>0</v>
      </c>
      <c r="K127" s="2128">
        <f>+'Receitas (mensais)'!I137</f>
        <v>0</v>
      </c>
      <c r="L127" s="2128">
        <f>+'Receitas (mensais)'!J137</f>
        <v>0</v>
      </c>
      <c r="M127" s="2128">
        <f>+'Receitas (mensais)'!K137</f>
        <v>0</v>
      </c>
      <c r="N127" s="2128">
        <f>+'Receitas (mensais)'!L137</f>
        <v>0</v>
      </c>
      <c r="O127" s="2128">
        <f>+'Receitas (mensais)'!M137</f>
        <v>0</v>
      </c>
      <c r="P127" s="2128">
        <f>+'Receitas (mensais)'!N137</f>
        <v>0</v>
      </c>
      <c r="Q127" s="2128">
        <f>+'Receitas (mensais)'!O137</f>
        <v>0</v>
      </c>
      <c r="R127" s="2128">
        <f>+'Receitas (mensais)'!P137</f>
        <v>0</v>
      </c>
      <c r="S127" s="2132">
        <f t="shared" si="12"/>
        <v>0</v>
      </c>
      <c r="T127" s="2129"/>
      <c r="U127" s="2129"/>
      <c r="V127" s="2129"/>
      <c r="W127" s="2130"/>
      <c r="X127" s="2096"/>
      <c r="Y127" s="2097"/>
      <c r="AA127" s="2099"/>
    </row>
    <row r="128" spans="1:27" s="2131" customFormat="1" ht="26.25" hidden="1">
      <c r="A128" s="2127"/>
      <c r="B128" s="2088" t="s">
        <v>3325</v>
      </c>
      <c r="C128" s="2100" t="str">
        <f>'Receitas (mensais)'!D138</f>
        <v xml:space="preserve">      Taxas aparel fabric aguard</v>
      </c>
      <c r="D128" s="2126"/>
      <c r="E128" s="2128"/>
      <c r="F128" s="2128"/>
      <c r="G128" s="2128">
        <f>+'Receitas (mensais)'!E138</f>
        <v>0</v>
      </c>
      <c r="H128" s="2128">
        <f>+'Receitas (mensais)'!F138</f>
        <v>0</v>
      </c>
      <c r="I128" s="2128">
        <f>+'Receitas (mensais)'!G138</f>
        <v>0</v>
      </c>
      <c r="J128" s="2128">
        <f>+'Receitas (mensais)'!H138</f>
        <v>0</v>
      </c>
      <c r="K128" s="2128">
        <f>+'Receitas (mensais)'!I138</f>
        <v>0</v>
      </c>
      <c r="L128" s="2128">
        <f>+'Receitas (mensais)'!J138</f>
        <v>0</v>
      </c>
      <c r="M128" s="2128">
        <f>+'Receitas (mensais)'!K138</f>
        <v>0</v>
      </c>
      <c r="N128" s="2128">
        <f>+'Receitas (mensais)'!L138</f>
        <v>0</v>
      </c>
      <c r="O128" s="2128">
        <f>+'Receitas (mensais)'!M138</f>
        <v>0</v>
      </c>
      <c r="P128" s="2128">
        <f>+'Receitas (mensais)'!N138</f>
        <v>0</v>
      </c>
      <c r="Q128" s="2128">
        <f>+'Receitas (mensais)'!O138</f>
        <v>0</v>
      </c>
      <c r="R128" s="2128">
        <f>+'Receitas (mensais)'!P138</f>
        <v>0</v>
      </c>
      <c r="S128" s="2132">
        <f t="shared" si="12"/>
        <v>0</v>
      </c>
      <c r="T128" s="2129"/>
      <c r="U128" s="2129"/>
      <c r="V128" s="2129"/>
      <c r="W128" s="2130"/>
      <c r="X128" s="2096"/>
      <c r="Y128" s="2097"/>
      <c r="AA128" s="2099"/>
    </row>
    <row r="129" spans="1:28" s="2131" customFormat="1" ht="26.25" hidden="1">
      <c r="A129" s="2127"/>
      <c r="B129" s="2088" t="s">
        <v>3326</v>
      </c>
      <c r="C129" s="2100" t="str">
        <f>'Receitas (mensais)'!D139</f>
        <v xml:space="preserve">      Serv agric- Rend Veterin</v>
      </c>
      <c r="D129" s="2126"/>
      <c r="E129" s="2128"/>
      <c r="F129" s="2128">
        <v>5504.9920000000002</v>
      </c>
      <c r="G129" s="2128">
        <f>+'Receitas (mensais)'!E139</f>
        <v>339.05900000000003</v>
      </c>
      <c r="H129" s="2128">
        <f>+'Receitas (mensais)'!F139</f>
        <v>367.56100000000004</v>
      </c>
      <c r="I129" s="2128">
        <f>+'Receitas (mensais)'!G139</f>
        <v>590.52800000000002</v>
      </c>
      <c r="J129" s="2128">
        <f>+'Receitas (mensais)'!H139</f>
        <v>1381.2470000000001</v>
      </c>
      <c r="K129" s="2128">
        <f>+'Receitas (mensais)'!I139</f>
        <v>971.57499999999993</v>
      </c>
      <c r="L129" s="2128">
        <f>+'Receitas (mensais)'!J139</f>
        <v>110</v>
      </c>
      <c r="M129" s="2128">
        <f>+'Receitas (mensais)'!K139</f>
        <v>1744.905</v>
      </c>
      <c r="N129" s="2128">
        <f>+'Receitas (mensais)'!L139</f>
        <v>104.392</v>
      </c>
      <c r="O129" s="2128">
        <f>+'Receitas (mensais)'!M139</f>
        <v>333.952</v>
      </c>
      <c r="P129" s="2128">
        <f>+'Receitas (mensais)'!N139</f>
        <v>428.24400000000003</v>
      </c>
      <c r="Q129" s="2128">
        <f>+'Receitas (mensais)'!O139</f>
        <v>0</v>
      </c>
      <c r="R129" s="2128">
        <f>+'Receitas (mensais)'!P139</f>
        <v>929.96299999999997</v>
      </c>
      <c r="S129" s="2132">
        <f t="shared" si="12"/>
        <v>7301.4259999999995</v>
      </c>
      <c r="T129" s="2129"/>
      <c r="U129" s="2129"/>
      <c r="V129" s="2129"/>
      <c r="W129" s="2130"/>
      <c r="X129" s="2096"/>
      <c r="Y129" s="2097"/>
      <c r="AA129" s="2099"/>
    </row>
    <row r="130" spans="1:28" s="2131" customFormat="1" ht="26.25" hidden="1">
      <c r="A130" s="2127"/>
      <c r="B130" s="2088" t="s">
        <v>3327</v>
      </c>
      <c r="C130" s="2100" t="str">
        <f>'Receitas (mensais)'!D140</f>
        <v xml:space="preserve">      Serv agric - Inspecçao</v>
      </c>
      <c r="D130" s="2126"/>
      <c r="E130" s="2128"/>
      <c r="F130" s="2128">
        <v>12</v>
      </c>
      <c r="G130" s="2128">
        <f>+'Receitas (mensais)'!E140</f>
        <v>0</v>
      </c>
      <c r="H130" s="2128">
        <f>+'Receitas (mensais)'!F140</f>
        <v>0</v>
      </c>
      <c r="I130" s="2128">
        <f>+'Receitas (mensais)'!G140</f>
        <v>0</v>
      </c>
      <c r="J130" s="2128">
        <f>+'Receitas (mensais)'!H140</f>
        <v>0</v>
      </c>
      <c r="K130" s="2128">
        <f>+'Receitas (mensais)'!I140</f>
        <v>25.338999999999999</v>
      </c>
      <c r="L130" s="2128">
        <f>+'Receitas (mensais)'!J140</f>
        <v>0</v>
      </c>
      <c r="M130" s="2128">
        <f>+'Receitas (mensais)'!K140</f>
        <v>0</v>
      </c>
      <c r="N130" s="2128">
        <f>+'Receitas (mensais)'!L140</f>
        <v>0</v>
      </c>
      <c r="O130" s="2128">
        <f>+'Receitas (mensais)'!M140</f>
        <v>0</v>
      </c>
      <c r="P130" s="2128">
        <f>+'Receitas (mensais)'!N140</f>
        <v>0</v>
      </c>
      <c r="Q130" s="2128">
        <f>+'Receitas (mensais)'!O140</f>
        <v>0</v>
      </c>
      <c r="R130" s="2128">
        <f>+'Receitas (mensais)'!P140</f>
        <v>0</v>
      </c>
      <c r="S130" s="2132">
        <f t="shared" si="12"/>
        <v>25.338999999999999</v>
      </c>
      <c r="T130" s="2129"/>
      <c r="U130" s="2129"/>
      <c r="V130" s="2129"/>
      <c r="W130" s="2130"/>
      <c r="X130" s="2096"/>
      <c r="Y130" s="2097"/>
      <c r="AA130" s="2099"/>
    </row>
    <row r="131" spans="1:28" s="2131" customFormat="1" ht="26.25" hidden="1">
      <c r="A131" s="2127"/>
      <c r="B131" s="2088" t="s">
        <v>3328</v>
      </c>
      <c r="C131" s="2100" t="str">
        <f>'Receitas (mensais)'!D141</f>
        <v xml:space="preserve">      Outros rendimentos</v>
      </c>
      <c r="D131" s="2126"/>
      <c r="E131" s="2128"/>
      <c r="F131" s="2128"/>
      <c r="G131" s="2128">
        <f>+'Receitas (mensais)'!E141</f>
        <v>0</v>
      </c>
      <c r="H131" s="2128">
        <f>+'Receitas (mensais)'!F141</f>
        <v>0</v>
      </c>
      <c r="I131" s="2128">
        <f>+'Receitas (mensais)'!G141</f>
        <v>157.19999999999999</v>
      </c>
      <c r="J131" s="2128">
        <f>+'Receitas (mensais)'!H141</f>
        <v>0</v>
      </c>
      <c r="K131" s="2128">
        <f>+'Receitas (mensais)'!I141</f>
        <v>218.4</v>
      </c>
      <c r="L131" s="2128">
        <f>+'Receitas (mensais)'!J141</f>
        <v>0</v>
      </c>
      <c r="M131" s="2128">
        <f>+'Receitas (mensais)'!K141</f>
        <v>0</v>
      </c>
      <c r="N131" s="2128">
        <f>+'Receitas (mensais)'!L141</f>
        <v>174.51300000000001</v>
      </c>
      <c r="O131" s="2128">
        <f>+'Receitas (mensais)'!M141</f>
        <v>0</v>
      </c>
      <c r="P131" s="2128">
        <f>+'Receitas (mensais)'!N141</f>
        <v>0</v>
      </c>
      <c r="Q131" s="2128">
        <f>+'Receitas (mensais)'!O141</f>
        <v>128.61500000000001</v>
      </c>
      <c r="R131" s="2128">
        <f>+'Receitas (mensais)'!P141</f>
        <v>180.24600000000001</v>
      </c>
      <c r="S131" s="2132">
        <f t="shared" si="12"/>
        <v>858.97400000000005</v>
      </c>
      <c r="T131" s="2129"/>
      <c r="U131" s="2129"/>
      <c r="V131" s="2129"/>
      <c r="W131" s="2130"/>
      <c r="X131" s="2096"/>
      <c r="Y131" s="2097"/>
      <c r="AA131" s="2099"/>
    </row>
    <row r="132" spans="1:28" s="2131" customFormat="1" ht="26.25" hidden="1">
      <c r="A132" s="2127"/>
      <c r="B132" s="2088" t="s">
        <v>3329</v>
      </c>
      <c r="C132" s="2100" t="str">
        <f>'Receitas (mensais)'!D142</f>
        <v xml:space="preserve">       Imposto de Pilotagem</v>
      </c>
      <c r="D132" s="2126"/>
      <c r="E132" s="2128"/>
      <c r="F132" s="2128"/>
      <c r="G132" s="2128">
        <f>+'Receitas (mensais)'!E142</f>
        <v>0</v>
      </c>
      <c r="H132" s="2128">
        <f>+'Receitas (mensais)'!F142</f>
        <v>0</v>
      </c>
      <c r="I132" s="2128">
        <f>+'Receitas (mensais)'!G142</f>
        <v>0</v>
      </c>
      <c r="J132" s="2128">
        <f>+'Receitas (mensais)'!H142</f>
        <v>0</v>
      </c>
      <c r="K132" s="2128">
        <f>+'Receitas (mensais)'!I142</f>
        <v>0</v>
      </c>
      <c r="L132" s="2128">
        <f>+'Receitas (mensais)'!J142</f>
        <v>0</v>
      </c>
      <c r="M132" s="2128">
        <f>+'Receitas (mensais)'!K142</f>
        <v>0</v>
      </c>
      <c r="N132" s="2128">
        <f>+'Receitas (mensais)'!L142</f>
        <v>0</v>
      </c>
      <c r="O132" s="2128">
        <f>+'Receitas (mensais)'!M142</f>
        <v>0</v>
      </c>
      <c r="P132" s="2128">
        <f>+'Receitas (mensais)'!N142</f>
        <v>0</v>
      </c>
      <c r="Q132" s="2128">
        <f>+'Receitas (mensais)'!O142</f>
        <v>0</v>
      </c>
      <c r="R132" s="2128">
        <f>+'Receitas (mensais)'!P142</f>
        <v>0</v>
      </c>
      <c r="S132" s="2132">
        <f t="shared" si="12"/>
        <v>0</v>
      </c>
      <c r="T132" s="2129"/>
      <c r="U132" s="2129"/>
      <c r="V132" s="2129"/>
      <c r="W132" s="2130"/>
      <c r="X132" s="2096"/>
      <c r="Y132" s="2097"/>
      <c r="AA132" s="2099"/>
    </row>
    <row r="133" spans="1:28" s="2131" customFormat="1" ht="26.25" hidden="1">
      <c r="A133" s="2127"/>
      <c r="B133" s="2088" t="s">
        <v>3330</v>
      </c>
      <c r="C133" s="2100" t="str">
        <f>'Receitas (mensais)'!D143</f>
        <v xml:space="preserve">       I mposto de Farolagem</v>
      </c>
      <c r="D133" s="2126"/>
      <c r="E133" s="2128"/>
      <c r="F133" s="2128"/>
      <c r="G133" s="2128">
        <f>+'Receitas (mensais)'!E143</f>
        <v>0</v>
      </c>
      <c r="H133" s="2128">
        <f>+'Receitas (mensais)'!F143</f>
        <v>0</v>
      </c>
      <c r="I133" s="2128">
        <f>+'Receitas (mensais)'!G143</f>
        <v>0</v>
      </c>
      <c r="J133" s="2128">
        <f>+'Receitas (mensais)'!H143</f>
        <v>0</v>
      </c>
      <c r="K133" s="2128">
        <f>+'Receitas (mensais)'!I143</f>
        <v>0</v>
      </c>
      <c r="L133" s="2128">
        <f>+'Receitas (mensais)'!J143</f>
        <v>0</v>
      </c>
      <c r="M133" s="2128">
        <f>+'Receitas (mensais)'!K143</f>
        <v>0</v>
      </c>
      <c r="N133" s="2128">
        <f>+'Receitas (mensais)'!L143</f>
        <v>0</v>
      </c>
      <c r="O133" s="2128">
        <f>+'Receitas (mensais)'!M143</f>
        <v>0</v>
      </c>
      <c r="P133" s="2128">
        <f>+'Receitas (mensais)'!N143</f>
        <v>0</v>
      </c>
      <c r="Q133" s="2128">
        <f>+'Receitas (mensais)'!O143</f>
        <v>0</v>
      </c>
      <c r="R133" s="2128">
        <f>+'Receitas (mensais)'!P143</f>
        <v>0</v>
      </c>
      <c r="S133" s="2132">
        <f t="shared" si="12"/>
        <v>0</v>
      </c>
      <c r="T133" s="2129"/>
      <c r="U133" s="2129"/>
      <c r="V133" s="2129"/>
      <c r="W133" s="2130"/>
      <c r="X133" s="2096"/>
      <c r="Y133" s="2097"/>
      <c r="AA133" s="2099"/>
    </row>
    <row r="134" spans="1:28" s="2131" customFormat="1" ht="26.25" hidden="1">
      <c r="A134" s="2127"/>
      <c r="B134" s="2088" t="s">
        <v>3331</v>
      </c>
      <c r="C134" s="2100" t="str">
        <f>'Receitas (mensais)'!D144</f>
        <v xml:space="preserve">       Aerop.- T. ateragem, desc</v>
      </c>
      <c r="D134" s="2126"/>
      <c r="E134" s="2128"/>
      <c r="F134" s="2128"/>
      <c r="G134" s="2128">
        <f>+'Receitas (mensais)'!E144</f>
        <v>0</v>
      </c>
      <c r="H134" s="2128">
        <f>+'Receitas (mensais)'!F144</f>
        <v>0</v>
      </c>
      <c r="I134" s="2128">
        <f>+'Receitas (mensais)'!G144</f>
        <v>0</v>
      </c>
      <c r="J134" s="2128">
        <f>+'Receitas (mensais)'!H144</f>
        <v>0</v>
      </c>
      <c r="K134" s="2128">
        <f>+'Receitas (mensais)'!I144</f>
        <v>0</v>
      </c>
      <c r="L134" s="2128">
        <f>+'Receitas (mensais)'!J144</f>
        <v>0</v>
      </c>
      <c r="M134" s="2128">
        <f>+'Receitas (mensais)'!K144</f>
        <v>0</v>
      </c>
      <c r="N134" s="2128">
        <f>+'Receitas (mensais)'!L144</f>
        <v>0</v>
      </c>
      <c r="O134" s="2128">
        <f>+'Receitas (mensais)'!M144</f>
        <v>0</v>
      </c>
      <c r="P134" s="2128">
        <f>+'Receitas (mensais)'!N144</f>
        <v>0</v>
      </c>
      <c r="Q134" s="2128">
        <f>+'Receitas (mensais)'!O144</f>
        <v>0</v>
      </c>
      <c r="R134" s="2128">
        <f>+'Receitas (mensais)'!P144</f>
        <v>0</v>
      </c>
      <c r="S134" s="2132">
        <f t="shared" si="12"/>
        <v>0</v>
      </c>
      <c r="T134" s="2129"/>
      <c r="U134" s="2129"/>
      <c r="V134" s="2129"/>
      <c r="W134" s="2130"/>
      <c r="X134" s="2096"/>
      <c r="Y134" s="2097"/>
      <c r="AA134" s="2099"/>
    </row>
    <row r="135" spans="1:28" s="2131" customFormat="1" ht="26.25" hidden="1">
      <c r="A135" s="2127"/>
      <c r="B135" s="2088" t="s">
        <v>3332</v>
      </c>
      <c r="C135" s="2100" t="str">
        <f>'Receitas (mensais)'!D145</f>
        <v xml:space="preserve">       Aerop.- T do aeroporto</v>
      </c>
      <c r="D135" s="2126"/>
      <c r="E135" s="2128"/>
      <c r="F135" s="2128"/>
      <c r="G135" s="2128">
        <f>+'Receitas (mensais)'!E145</f>
        <v>0</v>
      </c>
      <c r="H135" s="2128">
        <f>+'Receitas (mensais)'!F145</f>
        <v>0</v>
      </c>
      <c r="I135" s="2128">
        <f>+'Receitas (mensais)'!G145</f>
        <v>0</v>
      </c>
      <c r="J135" s="2128">
        <f>+'Receitas (mensais)'!H145</f>
        <v>0</v>
      </c>
      <c r="K135" s="2128">
        <f>+'Receitas (mensais)'!I145</f>
        <v>0</v>
      </c>
      <c r="L135" s="2128">
        <f>+'Receitas (mensais)'!J145</f>
        <v>0</v>
      </c>
      <c r="M135" s="2128">
        <f>+'Receitas (mensais)'!K145</f>
        <v>0</v>
      </c>
      <c r="N135" s="2128">
        <f>+'Receitas (mensais)'!L145</f>
        <v>0</v>
      </c>
      <c r="O135" s="2128">
        <f>+'Receitas (mensais)'!M145</f>
        <v>0</v>
      </c>
      <c r="P135" s="2128">
        <f>+'Receitas (mensais)'!N145</f>
        <v>0</v>
      </c>
      <c r="Q135" s="2128">
        <f>+'Receitas (mensais)'!O145</f>
        <v>0</v>
      </c>
      <c r="R135" s="2128">
        <f>+'Receitas (mensais)'!P145</f>
        <v>0</v>
      </c>
      <c r="S135" s="2132">
        <f t="shared" si="12"/>
        <v>0</v>
      </c>
      <c r="T135" s="2129"/>
      <c r="U135" s="2129"/>
      <c r="V135" s="2129"/>
      <c r="W135" s="2130"/>
      <c r="X135" s="2096"/>
      <c r="Y135" s="2097"/>
      <c r="AA135" s="2099"/>
    </row>
    <row r="136" spans="1:28" s="2131" customFormat="1" ht="26.25" hidden="1">
      <c r="A136" s="2127"/>
      <c r="B136" s="2088" t="s">
        <v>3333</v>
      </c>
      <c r="C136" s="2100" t="str">
        <f>'Receitas (mensais)'!D146</f>
        <v xml:space="preserve">       Aerop.- T de embarque</v>
      </c>
      <c r="D136" s="2126"/>
      <c r="E136" s="2128"/>
      <c r="F136" s="2128"/>
      <c r="G136" s="2128">
        <f>+'Receitas (mensais)'!E146</f>
        <v>0</v>
      </c>
      <c r="H136" s="2128">
        <f>+'Receitas (mensais)'!F146</f>
        <v>0</v>
      </c>
      <c r="I136" s="2128">
        <f>+'Receitas (mensais)'!G146</f>
        <v>0</v>
      </c>
      <c r="J136" s="2128">
        <f>+'Receitas (mensais)'!H146</f>
        <v>0</v>
      </c>
      <c r="K136" s="2128">
        <f>+'Receitas (mensais)'!I146</f>
        <v>0</v>
      </c>
      <c r="L136" s="2128">
        <f>+'Receitas (mensais)'!J146</f>
        <v>0</v>
      </c>
      <c r="M136" s="2128">
        <f>+'Receitas (mensais)'!K146</f>
        <v>0</v>
      </c>
      <c r="N136" s="2128">
        <f>+'Receitas (mensais)'!L146</f>
        <v>0</v>
      </c>
      <c r="O136" s="2128">
        <f>+'Receitas (mensais)'!M146</f>
        <v>0</v>
      </c>
      <c r="P136" s="2128">
        <f>+'Receitas (mensais)'!N146</f>
        <v>0</v>
      </c>
      <c r="Q136" s="2128">
        <f>+'Receitas (mensais)'!O146</f>
        <v>0</v>
      </c>
      <c r="R136" s="2128">
        <f>+'Receitas (mensais)'!P146</f>
        <v>0</v>
      </c>
      <c r="S136" s="2132">
        <f t="shared" si="12"/>
        <v>0</v>
      </c>
      <c r="T136" s="2129"/>
      <c r="U136" s="2129"/>
      <c r="V136" s="2129"/>
      <c r="W136" s="2130"/>
      <c r="X136" s="2096"/>
      <c r="Y136" s="2097"/>
      <c r="AA136" s="2099"/>
    </row>
    <row r="137" spans="1:28" s="2131" customFormat="1" ht="26.25" hidden="1">
      <c r="A137" s="2127"/>
      <c r="B137" s="2088" t="s">
        <v>3334</v>
      </c>
      <c r="C137" s="2100" t="str">
        <f>'Receitas (mensais)'!D147</f>
        <v xml:space="preserve">       Aerop.- Outras taxas</v>
      </c>
      <c r="D137" s="2126"/>
      <c r="E137" s="2128"/>
      <c r="F137" s="2128"/>
      <c r="G137" s="2128">
        <f>+'Receitas (mensais)'!E147</f>
        <v>0</v>
      </c>
      <c r="H137" s="2128">
        <f>+'Receitas (mensais)'!F147</f>
        <v>0</v>
      </c>
      <c r="I137" s="2128">
        <f>+'Receitas (mensais)'!G147</f>
        <v>0</v>
      </c>
      <c r="J137" s="2128">
        <f>+'Receitas (mensais)'!H147</f>
        <v>0</v>
      </c>
      <c r="K137" s="2128">
        <f>+'Receitas (mensais)'!I147</f>
        <v>0</v>
      </c>
      <c r="L137" s="2128">
        <f>+'Receitas (mensais)'!J147</f>
        <v>0</v>
      </c>
      <c r="M137" s="2128">
        <f>+'Receitas (mensais)'!K147</f>
        <v>0</v>
      </c>
      <c r="N137" s="2128">
        <f>+'Receitas (mensais)'!L147</f>
        <v>0</v>
      </c>
      <c r="O137" s="2128">
        <f>+'Receitas (mensais)'!M147</f>
        <v>0</v>
      </c>
      <c r="P137" s="2128">
        <f>+'Receitas (mensais)'!N147</f>
        <v>0</v>
      </c>
      <c r="Q137" s="2128">
        <f>+'Receitas (mensais)'!O147</f>
        <v>0</v>
      </c>
      <c r="R137" s="2128">
        <f>+'Receitas (mensais)'!P147</f>
        <v>0</v>
      </c>
      <c r="S137" s="2132">
        <f t="shared" si="12"/>
        <v>0</v>
      </c>
      <c r="T137" s="2129"/>
      <c r="U137" s="2129"/>
      <c r="V137" s="2129"/>
      <c r="W137" s="2130"/>
      <c r="X137" s="2096"/>
      <c r="Y137" s="2097"/>
      <c r="AA137" s="2099"/>
    </row>
    <row r="138" spans="1:28" s="2131" customFormat="1" ht="26.25" hidden="1">
      <c r="A138" s="2127"/>
      <c r="B138" s="2088" t="s">
        <v>3335</v>
      </c>
      <c r="C138" s="2100" t="str">
        <f>'Receitas (mensais)'!D148</f>
        <v xml:space="preserve">      Taxa Nox de Cola (Estado)</v>
      </c>
      <c r="D138" s="2126"/>
      <c r="E138" s="2128"/>
      <c r="F138" s="2128"/>
      <c r="G138" s="2128">
        <f>+'Receitas (mensais)'!E148</f>
        <v>0</v>
      </c>
      <c r="H138" s="2128">
        <f>+'Receitas (mensais)'!F148</f>
        <v>0</v>
      </c>
      <c r="I138" s="2128">
        <f>+'Receitas (mensais)'!G148</f>
        <v>0</v>
      </c>
      <c r="J138" s="2128">
        <f>+'Receitas (mensais)'!H148</f>
        <v>0</v>
      </c>
      <c r="K138" s="2128">
        <f>+'Receitas (mensais)'!I148</f>
        <v>0</v>
      </c>
      <c r="L138" s="2128">
        <f>+'Receitas (mensais)'!J148</f>
        <v>0</v>
      </c>
      <c r="M138" s="2128">
        <f>+'Receitas (mensais)'!K148</f>
        <v>0</v>
      </c>
      <c r="N138" s="2128">
        <f>+'Receitas (mensais)'!L148</f>
        <v>0</v>
      </c>
      <c r="O138" s="2128">
        <f>+'Receitas (mensais)'!M148</f>
        <v>0</v>
      </c>
      <c r="P138" s="2128">
        <f>+'Receitas (mensais)'!N148</f>
        <v>0</v>
      </c>
      <c r="Q138" s="2128">
        <f>+'Receitas (mensais)'!O148</f>
        <v>0</v>
      </c>
      <c r="R138" s="2128">
        <f>+'Receitas (mensais)'!P148</f>
        <v>0</v>
      </c>
      <c r="S138" s="2132">
        <f t="shared" si="12"/>
        <v>0</v>
      </c>
      <c r="T138" s="2129"/>
      <c r="U138" s="2129"/>
      <c r="V138" s="2129"/>
      <c r="W138" s="2130"/>
      <c r="X138" s="2096"/>
      <c r="Y138" s="2097"/>
      <c r="AA138" s="2099"/>
    </row>
    <row r="139" spans="1:28" s="2131" customFormat="1" ht="26.25" hidden="1">
      <c r="A139" s="2127"/>
      <c r="B139" s="2088" t="s">
        <v>3336</v>
      </c>
      <c r="C139" s="2100" t="str">
        <f>'Receitas (mensais)'!D149</f>
        <v xml:space="preserve">      Taxa Nox de Cola (Comite)</v>
      </c>
      <c r="D139" s="2126"/>
      <c r="E139" s="2128"/>
      <c r="F139" s="2128"/>
      <c r="G139" s="2128">
        <f>+'Receitas (mensais)'!E149</f>
        <v>0</v>
      </c>
      <c r="H139" s="2128">
        <f>+'Receitas (mensais)'!F149</f>
        <v>0</v>
      </c>
      <c r="I139" s="2128">
        <f>+'Receitas (mensais)'!G149</f>
        <v>0</v>
      </c>
      <c r="J139" s="2128">
        <f>+'Receitas (mensais)'!H149</f>
        <v>0</v>
      </c>
      <c r="K139" s="2128">
        <f>+'Receitas (mensais)'!I149</f>
        <v>0</v>
      </c>
      <c r="L139" s="2128">
        <f>+'Receitas (mensais)'!J149</f>
        <v>0</v>
      </c>
      <c r="M139" s="2128">
        <f>+'Receitas (mensais)'!K149</f>
        <v>0</v>
      </c>
      <c r="N139" s="2128">
        <f>+'Receitas (mensais)'!L149</f>
        <v>0</v>
      </c>
      <c r="O139" s="2128">
        <f>+'Receitas (mensais)'!M149</f>
        <v>0</v>
      </c>
      <c r="P139" s="2128">
        <f>+'Receitas (mensais)'!N149</f>
        <v>0</v>
      </c>
      <c r="Q139" s="2128">
        <f>+'Receitas (mensais)'!O149</f>
        <v>0</v>
      </c>
      <c r="R139" s="2128">
        <f>+'Receitas (mensais)'!P149</f>
        <v>0</v>
      </c>
      <c r="S139" s="2132">
        <f t="shared" si="12"/>
        <v>0</v>
      </c>
      <c r="T139" s="2129"/>
      <c r="U139" s="2129"/>
      <c r="V139" s="2129"/>
      <c r="W139" s="2130"/>
      <c r="X139" s="2096"/>
      <c r="Y139" s="2097"/>
      <c r="AA139" s="2099"/>
    </row>
    <row r="140" spans="1:28" s="2131" customFormat="1" ht="26.25" hidden="1">
      <c r="A140" s="2127"/>
      <c r="B140" s="2088" t="s">
        <v>3337</v>
      </c>
      <c r="C140" s="2100" t="str">
        <f>'Receitas (mensais)'!D150</f>
        <v xml:space="preserve">      Viaçao- Imp. de Gasoleo</v>
      </c>
      <c r="D140" s="2126"/>
      <c r="E140" s="2128"/>
      <c r="F140" s="2128"/>
      <c r="G140" s="2128">
        <f>+'Receitas (mensais)'!E150</f>
        <v>0</v>
      </c>
      <c r="H140" s="2128">
        <f>+'Receitas (mensais)'!F150</f>
        <v>0</v>
      </c>
      <c r="I140" s="2128">
        <f>+'Receitas (mensais)'!G150</f>
        <v>0</v>
      </c>
      <c r="J140" s="2128">
        <f>+'Receitas (mensais)'!H150</f>
        <v>0</v>
      </c>
      <c r="K140" s="2128">
        <f>+'Receitas (mensais)'!I150</f>
        <v>0</v>
      </c>
      <c r="L140" s="2128">
        <f>+'Receitas (mensais)'!J150</f>
        <v>0</v>
      </c>
      <c r="M140" s="2128">
        <f>+'Receitas (mensais)'!K150</f>
        <v>0</v>
      </c>
      <c r="N140" s="2128">
        <f>+'Receitas (mensais)'!L150</f>
        <v>0</v>
      </c>
      <c r="O140" s="2128">
        <f>+'Receitas (mensais)'!M150</f>
        <v>0</v>
      </c>
      <c r="P140" s="2128">
        <f>+'Receitas (mensais)'!N150</f>
        <v>0</v>
      </c>
      <c r="Q140" s="2128">
        <f>+'Receitas (mensais)'!O150</f>
        <v>0</v>
      </c>
      <c r="R140" s="2128">
        <f>+'Receitas (mensais)'!P150</f>
        <v>0</v>
      </c>
      <c r="S140" s="2132">
        <f t="shared" si="12"/>
        <v>0</v>
      </c>
      <c r="T140" s="2129"/>
      <c r="U140" s="2129"/>
      <c r="V140" s="2129"/>
      <c r="W140" s="2130"/>
      <c r="X140" s="2096"/>
      <c r="Y140" s="2097"/>
      <c r="AA140" s="2099"/>
    </row>
    <row r="141" spans="1:28" s="2131" customFormat="1" ht="26.25" hidden="1">
      <c r="A141" s="2127"/>
      <c r="B141" s="2088" t="s">
        <v>3338</v>
      </c>
      <c r="C141" s="2100" t="str">
        <f>'Receitas (mensais)'!D151</f>
        <v xml:space="preserve">      Viaçao- Imp profissional</v>
      </c>
      <c r="D141" s="2126"/>
      <c r="E141" s="2128"/>
      <c r="F141" s="2128"/>
      <c r="G141" s="2128">
        <f>+'Receitas (mensais)'!E151</f>
        <v>0</v>
      </c>
      <c r="H141" s="2128">
        <f>+'Receitas (mensais)'!F151</f>
        <v>0</v>
      </c>
      <c r="I141" s="2128">
        <f>+'Receitas (mensais)'!G151</f>
        <v>0</v>
      </c>
      <c r="J141" s="2128">
        <f>+'Receitas (mensais)'!H151</f>
        <v>0</v>
      </c>
      <c r="K141" s="2128">
        <f>+'Receitas (mensais)'!I151</f>
        <v>0</v>
      </c>
      <c r="L141" s="2128">
        <f>+'Receitas (mensais)'!J151</f>
        <v>0</v>
      </c>
      <c r="M141" s="2128">
        <f>+'Receitas (mensais)'!K151</f>
        <v>0</v>
      </c>
      <c r="N141" s="2128">
        <f>+'Receitas (mensais)'!L151</f>
        <v>0</v>
      </c>
      <c r="O141" s="2128">
        <f>+'Receitas (mensais)'!M151</f>
        <v>0</v>
      </c>
      <c r="P141" s="2128">
        <f>+'Receitas (mensais)'!N151</f>
        <v>0</v>
      </c>
      <c r="Q141" s="2128">
        <f>+'Receitas (mensais)'!O151</f>
        <v>0</v>
      </c>
      <c r="R141" s="2128">
        <f>+'Receitas (mensais)'!P151</f>
        <v>0</v>
      </c>
      <c r="S141" s="2132">
        <f t="shared" si="12"/>
        <v>0</v>
      </c>
      <c r="T141" s="2129"/>
      <c r="U141" s="2129"/>
      <c r="V141" s="2129"/>
      <c r="W141" s="2130"/>
      <c r="X141" s="2096"/>
      <c r="Y141" s="2097"/>
      <c r="AA141" s="2099"/>
    </row>
    <row r="142" spans="1:28" s="2131" customFormat="1" ht="26.25" hidden="1">
      <c r="A142" s="2127"/>
      <c r="B142" s="2088" t="s">
        <v>3339</v>
      </c>
      <c r="C142" s="2100" t="str">
        <f>'Receitas (mensais)'!D152</f>
        <v xml:space="preserve">      Viaçao- Outros rendiment</v>
      </c>
      <c r="D142" s="2126"/>
      <c r="E142" s="2128"/>
      <c r="F142" s="2128"/>
      <c r="G142" s="2128">
        <f>+'Receitas (mensais)'!E152</f>
        <v>0</v>
      </c>
      <c r="H142" s="2128">
        <f>+'Receitas (mensais)'!F152</f>
        <v>0</v>
      </c>
      <c r="I142" s="2128">
        <f>+'Receitas (mensais)'!G152</f>
        <v>0</v>
      </c>
      <c r="J142" s="2128">
        <f>+'Receitas (mensais)'!H152</f>
        <v>0</v>
      </c>
      <c r="K142" s="2128">
        <f>+'Receitas (mensais)'!I152</f>
        <v>0</v>
      </c>
      <c r="L142" s="2128">
        <f>+'Receitas (mensais)'!J152</f>
        <v>0</v>
      </c>
      <c r="M142" s="2128">
        <f>+'Receitas (mensais)'!K152</f>
        <v>0</v>
      </c>
      <c r="N142" s="2128">
        <f>+'Receitas (mensais)'!L152</f>
        <v>0</v>
      </c>
      <c r="O142" s="2128">
        <f>+'Receitas (mensais)'!M152</f>
        <v>0</v>
      </c>
      <c r="P142" s="2128">
        <f>+'Receitas (mensais)'!N152</f>
        <v>0</v>
      </c>
      <c r="Q142" s="2128">
        <f>+'Receitas (mensais)'!O152</f>
        <v>0</v>
      </c>
      <c r="R142" s="2128">
        <f>+'Receitas (mensais)'!P152</f>
        <v>0</v>
      </c>
      <c r="S142" s="2132">
        <f t="shared" si="12"/>
        <v>0</v>
      </c>
      <c r="T142" s="2129"/>
      <c r="U142" s="2129"/>
      <c r="V142" s="2129"/>
      <c r="W142" s="2130"/>
      <c r="X142" s="2096"/>
      <c r="Y142" s="2097"/>
      <c r="AA142" s="2099"/>
    </row>
    <row r="143" spans="1:28" s="2131" customFormat="1" ht="26.25" hidden="1">
      <c r="A143" s="2127"/>
      <c r="B143" s="2088" t="s">
        <v>3340</v>
      </c>
      <c r="C143" s="2100" t="str">
        <f>'Receitas (mensais)'!D153</f>
        <v>Outros serviços</v>
      </c>
      <c r="D143" s="2126"/>
      <c r="E143" s="2128"/>
      <c r="F143" s="2128">
        <v>71745.807000000001</v>
      </c>
      <c r="G143" s="2128">
        <f>+'Receitas (mensais)'!E153</f>
        <v>2634.386</v>
      </c>
      <c r="H143" s="2128">
        <f>+'Receitas (mensais)'!F153</f>
        <v>2021.3999999999999</v>
      </c>
      <c r="I143" s="2128">
        <f>+'Receitas (mensais)'!G153</f>
        <v>1456.35</v>
      </c>
      <c r="J143" s="2128">
        <f>+'Receitas (mensais)'!H153</f>
        <v>1814.9</v>
      </c>
      <c r="K143" s="2128">
        <f>+'Receitas (mensais)'!I153</f>
        <v>116521.368</v>
      </c>
      <c r="L143" s="2128">
        <f>+'Receitas (mensais)'!J153</f>
        <v>726.41100000000006</v>
      </c>
      <c r="M143" s="2128">
        <f>+'Receitas (mensais)'!K153</f>
        <v>409.29599999999999</v>
      </c>
      <c r="N143" s="2128">
        <f>+'Receitas (mensais)'!L153</f>
        <v>335.21499999999997</v>
      </c>
      <c r="O143" s="2128">
        <f>+'Receitas (mensais)'!M153</f>
        <v>918.20299999999997</v>
      </c>
      <c r="P143" s="2128">
        <f>+'Receitas (mensais)'!N153</f>
        <v>263.49700000000001</v>
      </c>
      <c r="Q143" s="2128">
        <f>+'Receitas (mensais)'!O153</f>
        <v>799.02700000000004</v>
      </c>
      <c r="R143" s="2128">
        <f>+'Receitas (mensais)'!P153</f>
        <v>164.03100000000001</v>
      </c>
      <c r="S143" s="2132">
        <f t="shared" si="12"/>
        <v>128064.084</v>
      </c>
      <c r="T143" s="2129"/>
      <c r="U143" s="2129"/>
      <c r="V143" s="2129"/>
      <c r="W143" s="2130"/>
      <c r="X143" s="2096"/>
      <c r="Y143" s="2097"/>
      <c r="AA143" s="2099"/>
    </row>
    <row r="144" spans="1:28" s="2098" customFormat="1" ht="26.25" hidden="1" outlineLevel="1">
      <c r="A144" s="2087"/>
      <c r="B144" s="2115" t="s">
        <v>3051</v>
      </c>
      <c r="C144" s="2089" t="str">
        <f>'Receitas (mensais)'!D155</f>
        <v>Multas e penalidades</v>
      </c>
      <c r="D144" s="2090"/>
      <c r="E144" s="2091"/>
      <c r="F144" s="2128">
        <f>F145+F146+F147</f>
        <v>327928.011</v>
      </c>
      <c r="G144" s="2091">
        <f>G145+G146+G147</f>
        <v>3663.337</v>
      </c>
      <c r="H144" s="2091">
        <f t="shared" ref="H144:R144" si="41">H145+H146+H147</f>
        <v>77067.451000000001</v>
      </c>
      <c r="I144" s="2091">
        <f t="shared" si="41"/>
        <v>1484</v>
      </c>
      <c r="J144" s="2091">
        <f t="shared" si="41"/>
        <v>7468.2060000000001</v>
      </c>
      <c r="K144" s="2091">
        <f t="shared" si="41"/>
        <v>192305.641</v>
      </c>
      <c r="L144" s="2091">
        <f t="shared" si="41"/>
        <v>132272.75</v>
      </c>
      <c r="M144" s="2091">
        <f t="shared" si="41"/>
        <v>8074.4699999999993</v>
      </c>
      <c r="N144" s="2091">
        <f t="shared" si="41"/>
        <v>125938.041</v>
      </c>
      <c r="O144" s="2091">
        <f t="shared" si="41"/>
        <v>2841.8780000000002</v>
      </c>
      <c r="P144" s="2091">
        <f t="shared" si="41"/>
        <v>6180.8490000000002</v>
      </c>
      <c r="Q144" s="2091">
        <f t="shared" si="41"/>
        <v>2637.1509999999998</v>
      </c>
      <c r="R144" s="2091">
        <f t="shared" si="41"/>
        <v>5720.42</v>
      </c>
      <c r="S144" s="2092">
        <f>+SUM(G144:R144)</f>
        <v>565654.19400000002</v>
      </c>
      <c r="T144" s="2093"/>
      <c r="U144" s="2093"/>
      <c r="V144" s="2093"/>
      <c r="W144" s="2094"/>
      <c r="X144" s="2095"/>
      <c r="Y144" s="2096"/>
      <c r="Z144" s="2097"/>
      <c r="AB144" s="2099"/>
    </row>
    <row r="145" spans="1:28" s="2131" customFormat="1" ht="26.25" hidden="1">
      <c r="A145" s="2127"/>
      <c r="B145" s="2088" t="s">
        <v>3053</v>
      </c>
      <c r="C145" s="2100" t="str">
        <f>'Receitas (mensais)'!D156</f>
        <v>Apreensao de barcos</v>
      </c>
      <c r="D145" s="2126"/>
      <c r="E145" s="2128"/>
      <c r="F145" s="2128">
        <v>296872.03200000001</v>
      </c>
      <c r="G145" s="2128">
        <f>+'Receitas (mensais)'!E156</f>
        <v>0</v>
      </c>
      <c r="H145" s="2128">
        <f>'Receitas (mensais)'!F156</f>
        <v>70000</v>
      </c>
      <c r="I145" s="2128">
        <f>'Receitas (mensais)'!G156</f>
        <v>0</v>
      </c>
      <c r="J145" s="2128">
        <f>'Receitas (mensais)'!H156</f>
        <v>0</v>
      </c>
      <c r="K145" s="2128">
        <f>'Receitas (mensais)'!I156</f>
        <v>95000</v>
      </c>
      <c r="L145" s="2128">
        <f>'Receitas (mensais)'!J156</f>
        <v>125000</v>
      </c>
      <c r="M145" s="2128">
        <f>'Receitas (mensais)'!K156</f>
        <v>0</v>
      </c>
      <c r="N145" s="2128">
        <f>'Receitas (mensais)'!L156</f>
        <v>120000</v>
      </c>
      <c r="O145" s="2128">
        <f>'Receitas (mensais)'!M156</f>
        <v>0</v>
      </c>
      <c r="P145" s="2128">
        <f>'Receitas (mensais)'!N156</f>
        <v>0</v>
      </c>
      <c r="Q145" s="2128">
        <f>'Receitas (mensais)'!O156</f>
        <v>0</v>
      </c>
      <c r="R145" s="2128">
        <f>'Receitas (mensais)'!P156</f>
        <v>0</v>
      </c>
      <c r="S145" s="2132">
        <f t="shared" ref="S145:S208" si="42">+SUM(G145:R145)</f>
        <v>410000</v>
      </c>
      <c r="T145" s="2129"/>
      <c r="U145" s="2129"/>
      <c r="V145" s="2129"/>
      <c r="W145" s="2130"/>
      <c r="X145" s="2096"/>
      <c r="Y145" s="2097"/>
      <c r="AA145" s="2099"/>
    </row>
    <row r="146" spans="1:28" s="2131" customFormat="1" ht="26.25" hidden="1">
      <c r="A146" s="2127"/>
      <c r="B146" s="2088" t="s">
        <v>3054</v>
      </c>
      <c r="C146" s="2100" t="str">
        <f>'Receitas (mensais)'!D157</f>
        <v>Infraccoes ao cod/estr. e demais leg.</v>
      </c>
      <c r="D146" s="2126"/>
      <c r="E146" s="2128"/>
      <c r="F146" s="2128"/>
      <c r="G146" s="2128">
        <f>+'Receitas (mensais)'!E157</f>
        <v>0</v>
      </c>
      <c r="H146" s="2128">
        <f>'Receitas (mensais)'!F157</f>
        <v>0</v>
      </c>
      <c r="I146" s="2128">
        <f>'Receitas (mensais)'!G157</f>
        <v>0</v>
      </c>
      <c r="J146" s="2128">
        <f>'Receitas (mensais)'!H157</f>
        <v>0</v>
      </c>
      <c r="K146" s="2128">
        <f>'Receitas (mensais)'!I157</f>
        <v>0</v>
      </c>
      <c r="L146" s="2128">
        <f>'Receitas (mensais)'!J157</f>
        <v>0</v>
      </c>
      <c r="M146" s="2128">
        <f>'Receitas (mensais)'!K157</f>
        <v>726</v>
      </c>
      <c r="N146" s="2128">
        <f>'Receitas (mensais)'!L157</f>
        <v>0</v>
      </c>
      <c r="O146" s="2128">
        <f>'Receitas (mensais)'!M157</f>
        <v>0</v>
      </c>
      <c r="P146" s="2128">
        <f>'Receitas (mensais)'!N157</f>
        <v>0</v>
      </c>
      <c r="Q146" s="2128">
        <f>'Receitas (mensais)'!O157</f>
        <v>0</v>
      </c>
      <c r="R146" s="2128">
        <f>'Receitas (mensais)'!P157</f>
        <v>0</v>
      </c>
      <c r="S146" s="2132">
        <f t="shared" si="42"/>
        <v>726</v>
      </c>
      <c r="T146" s="2129"/>
      <c r="U146" s="2129"/>
      <c r="V146" s="2129"/>
      <c r="W146" s="2130"/>
      <c r="X146" s="2096"/>
      <c r="Y146" s="2097"/>
      <c r="AA146" s="2099"/>
    </row>
    <row r="147" spans="1:28" s="2131" customFormat="1" ht="26.25" hidden="1">
      <c r="A147" s="2127"/>
      <c r="B147" s="2088" t="s">
        <v>3159</v>
      </c>
      <c r="C147" s="2100" t="str">
        <f>'Receitas (mensais)'!D158</f>
        <v>Multas e penalidades diversas</v>
      </c>
      <c r="D147" s="2126"/>
      <c r="E147" s="2128"/>
      <c r="F147" s="2128">
        <f>SUM(F148:F151)</f>
        <v>31055.978999999999</v>
      </c>
      <c r="G147" s="2128">
        <f>SUM(G148:G151)</f>
        <v>3663.337</v>
      </c>
      <c r="H147" s="2128">
        <f t="shared" ref="H147:R147" si="43">SUM(H148:H151)</f>
        <v>7067.4510000000009</v>
      </c>
      <c r="I147" s="2128">
        <f t="shared" si="43"/>
        <v>1484</v>
      </c>
      <c r="J147" s="2128">
        <f t="shared" si="43"/>
        <v>7468.2060000000001</v>
      </c>
      <c r="K147" s="2128">
        <f t="shared" si="43"/>
        <v>97305.641000000003</v>
      </c>
      <c r="L147" s="2128">
        <f t="shared" si="43"/>
        <v>7272.75</v>
      </c>
      <c r="M147" s="2128">
        <f t="shared" si="43"/>
        <v>7348.4699999999993</v>
      </c>
      <c r="N147" s="2128">
        <f t="shared" si="43"/>
        <v>5938.0410000000002</v>
      </c>
      <c r="O147" s="2128">
        <f t="shared" si="43"/>
        <v>2841.8780000000002</v>
      </c>
      <c r="P147" s="2128">
        <f t="shared" si="43"/>
        <v>6180.8490000000002</v>
      </c>
      <c r="Q147" s="2128">
        <f t="shared" si="43"/>
        <v>2637.1509999999998</v>
      </c>
      <c r="R147" s="2128">
        <f t="shared" si="43"/>
        <v>5720.42</v>
      </c>
      <c r="S147" s="2132">
        <f t="shared" si="42"/>
        <v>154928.19400000002</v>
      </c>
      <c r="T147" s="2129"/>
      <c r="U147" s="2129"/>
      <c r="V147" s="2129"/>
      <c r="W147" s="2130"/>
      <c r="X147" s="2096"/>
      <c r="Y147" s="2097"/>
      <c r="AA147" s="2099"/>
    </row>
    <row r="148" spans="1:28" s="2131" customFormat="1" ht="26.25" hidden="1">
      <c r="A148" s="2127"/>
      <c r="B148" s="2088" t="s">
        <v>3161</v>
      </c>
      <c r="C148" s="2100" t="str">
        <f>'Receitas (mensais)'!D159</f>
        <v xml:space="preserve">        Juros de mora</v>
      </c>
      <c r="D148" s="2126"/>
      <c r="E148" s="2128"/>
      <c r="F148" s="2128"/>
      <c r="G148" s="2128">
        <f>+'Receitas (mensais)'!E159</f>
        <v>0</v>
      </c>
      <c r="H148" s="2128">
        <f>+'Receitas (mensais)'!F159</f>
        <v>0</v>
      </c>
      <c r="I148" s="2128">
        <f>+'Receitas (mensais)'!G159</f>
        <v>1484</v>
      </c>
      <c r="J148" s="2128">
        <f>+'Receitas (mensais)'!H159</f>
        <v>705</v>
      </c>
      <c r="K148" s="2128">
        <f>+'Receitas (mensais)'!I159</f>
        <v>0</v>
      </c>
      <c r="L148" s="2128">
        <f>+'Receitas (mensais)'!J159</f>
        <v>0</v>
      </c>
      <c r="M148" s="2128">
        <f>+'Receitas (mensais)'!K159</f>
        <v>0</v>
      </c>
      <c r="N148" s="2128">
        <f>+'Receitas (mensais)'!L159</f>
        <v>0</v>
      </c>
      <c r="O148" s="2128">
        <f>+'Receitas (mensais)'!M159</f>
        <v>0</v>
      </c>
      <c r="P148" s="2128">
        <f>+'Receitas (mensais)'!N159</f>
        <v>0</v>
      </c>
      <c r="Q148" s="2128">
        <f>+'Receitas (mensais)'!O159</f>
        <v>197.46299999999999</v>
      </c>
      <c r="R148" s="2128">
        <f>+'Receitas (mensais)'!P159</f>
        <v>42.225000000000001</v>
      </c>
      <c r="S148" s="2132">
        <f t="shared" si="42"/>
        <v>2428.6880000000001</v>
      </c>
      <c r="T148" s="2129"/>
      <c r="U148" s="2129"/>
      <c r="V148" s="2129"/>
      <c r="W148" s="2130"/>
      <c r="X148" s="2096"/>
      <c r="Y148" s="2097"/>
      <c r="AA148" s="2099"/>
    </row>
    <row r="149" spans="1:28" s="2131" customFormat="1" ht="26.25" hidden="1">
      <c r="A149" s="2127"/>
      <c r="B149" s="2088" t="s">
        <v>3162</v>
      </c>
      <c r="C149" s="2100" t="str">
        <f>'Receitas (mensais)'!D160</f>
        <v xml:space="preserve">        Taxa de relaxe</v>
      </c>
      <c r="D149" s="2126"/>
      <c r="E149" s="2128"/>
      <c r="F149" s="2128"/>
      <c r="G149" s="2128">
        <f>+'Receitas (mensais)'!E160</f>
        <v>0</v>
      </c>
      <c r="H149" s="2128">
        <f>+'Receitas (mensais)'!F160</f>
        <v>0</v>
      </c>
      <c r="I149" s="2128">
        <f>+'Receitas (mensais)'!G160</f>
        <v>0</v>
      </c>
      <c r="J149" s="2128">
        <f>+'Receitas (mensais)'!H160</f>
        <v>0</v>
      </c>
      <c r="K149" s="2128">
        <f>+'Receitas (mensais)'!I160</f>
        <v>0</v>
      </c>
      <c r="L149" s="2128">
        <f>+'Receitas (mensais)'!J160</f>
        <v>0</v>
      </c>
      <c r="M149" s="2128">
        <f>+'Receitas (mensais)'!K160</f>
        <v>0</v>
      </c>
      <c r="N149" s="2128">
        <f>+'Receitas (mensais)'!L160</f>
        <v>0</v>
      </c>
      <c r="O149" s="2128">
        <f>+'Receitas (mensais)'!M160</f>
        <v>0</v>
      </c>
      <c r="P149" s="2128">
        <f>+'Receitas (mensais)'!N160</f>
        <v>641.303</v>
      </c>
      <c r="Q149" s="2128">
        <f>+'Receitas (mensais)'!O160</f>
        <v>98.837999999999994</v>
      </c>
      <c r="R149" s="2128">
        <f>+'Receitas (mensais)'!P160</f>
        <v>1114.518</v>
      </c>
      <c r="S149" s="2132">
        <f t="shared" si="42"/>
        <v>1854.6590000000001</v>
      </c>
      <c r="T149" s="2129"/>
      <c r="U149" s="2129"/>
      <c r="V149" s="2129"/>
      <c r="W149" s="2130"/>
      <c r="X149" s="2096"/>
      <c r="Y149" s="2097"/>
      <c r="AA149" s="2099"/>
    </row>
    <row r="150" spans="1:28" s="2131" customFormat="1" ht="26.25" hidden="1">
      <c r="A150" s="2127"/>
      <c r="B150" s="2088" t="s">
        <v>3245</v>
      </c>
      <c r="C150" s="2100" t="str">
        <f>'Receitas (mensais)'!D161</f>
        <v xml:space="preserve">        Infrac Codigo Contr Impost</v>
      </c>
      <c r="D150" s="2126"/>
      <c r="E150" s="2128"/>
      <c r="F150" s="2128"/>
      <c r="G150" s="2128">
        <f>+'Receitas (mensais)'!E161</f>
        <v>0</v>
      </c>
      <c r="H150" s="2128">
        <f>+'Receitas (mensais)'!F161</f>
        <v>0</v>
      </c>
      <c r="I150" s="2128">
        <f>+'Receitas (mensais)'!G161</f>
        <v>0</v>
      </c>
      <c r="J150" s="2128">
        <f>+'Receitas (mensais)'!H161</f>
        <v>0</v>
      </c>
      <c r="K150" s="2128">
        <f>+'Receitas (mensais)'!I161</f>
        <v>0</v>
      </c>
      <c r="L150" s="2128">
        <f>+'Receitas (mensais)'!J161</f>
        <v>0</v>
      </c>
      <c r="M150" s="2128">
        <f>+'Receitas (mensais)'!K161</f>
        <v>0</v>
      </c>
      <c r="N150" s="2128">
        <f>+'Receitas (mensais)'!L161</f>
        <v>0</v>
      </c>
      <c r="O150" s="2128">
        <f>+'Receitas (mensais)'!M161</f>
        <v>0</v>
      </c>
      <c r="P150" s="2128">
        <f>+'Receitas (mensais)'!N161</f>
        <v>0</v>
      </c>
      <c r="Q150" s="2128">
        <f>+'Receitas (mensais)'!O161</f>
        <v>0</v>
      </c>
      <c r="R150" s="2128">
        <f>+'Receitas (mensais)'!P161</f>
        <v>0</v>
      </c>
      <c r="S150" s="2132">
        <f t="shared" si="42"/>
        <v>0</v>
      </c>
      <c r="T150" s="2129"/>
      <c r="U150" s="2129"/>
      <c r="V150" s="2129"/>
      <c r="W150" s="2130"/>
      <c r="X150" s="2096"/>
      <c r="Y150" s="2097"/>
      <c r="AA150" s="2099"/>
    </row>
    <row r="151" spans="1:28" s="2131" customFormat="1" ht="26.25" hidden="1">
      <c r="A151" s="2127"/>
      <c r="B151" s="2088" t="s">
        <v>3246</v>
      </c>
      <c r="C151" s="2100" t="str">
        <f>'Receitas (mensais)'!D162</f>
        <v xml:space="preserve">        Outras multas</v>
      </c>
      <c r="D151" s="2126"/>
      <c r="E151" s="2128"/>
      <c r="F151" s="2128">
        <v>31055.978999999999</v>
      </c>
      <c r="G151" s="2128">
        <f>+'Receitas (mensais)'!E162</f>
        <v>3663.337</v>
      </c>
      <c r="H151" s="2128">
        <f>+'Receitas (mensais)'!F162</f>
        <v>7067.4510000000009</v>
      </c>
      <c r="I151" s="2128">
        <f>+'Receitas (mensais)'!G162</f>
        <v>0</v>
      </c>
      <c r="J151" s="2128">
        <f>+'Receitas (mensais)'!H162</f>
        <v>6763.2060000000001</v>
      </c>
      <c r="K151" s="2128">
        <f>+'Receitas (mensais)'!I162</f>
        <v>97305.641000000003</v>
      </c>
      <c r="L151" s="2128">
        <f>+'Receitas (mensais)'!J162</f>
        <v>7272.75</v>
      </c>
      <c r="M151" s="2128">
        <f>+'Receitas (mensais)'!K162</f>
        <v>7348.4699999999993</v>
      </c>
      <c r="N151" s="2128">
        <f>+'Receitas (mensais)'!L162</f>
        <v>5938.0410000000002</v>
      </c>
      <c r="O151" s="2128">
        <f>+'Receitas (mensais)'!M162</f>
        <v>2841.8780000000002</v>
      </c>
      <c r="P151" s="2128">
        <f>+'Receitas (mensais)'!N162</f>
        <v>5539.5460000000003</v>
      </c>
      <c r="Q151" s="2128">
        <f>+'Receitas (mensais)'!O162</f>
        <v>2340.85</v>
      </c>
      <c r="R151" s="2128">
        <f>+'Receitas (mensais)'!P162</f>
        <v>4563.6769999999997</v>
      </c>
      <c r="S151" s="2132">
        <f t="shared" si="42"/>
        <v>150644.84700000001</v>
      </c>
      <c r="T151" s="2129"/>
      <c r="U151" s="2129"/>
      <c r="V151" s="2129"/>
      <c r="W151" s="2130"/>
      <c r="X151" s="2096"/>
      <c r="Y151" s="2097"/>
      <c r="AA151" s="2099"/>
    </row>
    <row r="152" spans="1:28" s="2098" customFormat="1" ht="26.25">
      <c r="A152" s="2087"/>
      <c r="B152" s="2088" t="s">
        <v>414</v>
      </c>
      <c r="C152" s="2112" t="s">
        <v>3341</v>
      </c>
      <c r="D152" s="2090"/>
      <c r="E152" s="2091">
        <f>+[28]Tofe!$Q$18</f>
        <v>1918903.7240000002</v>
      </c>
      <c r="F152" s="2128">
        <f>+F153+F155+F169+F170+F171+F172+F173</f>
        <v>11905369.969999999</v>
      </c>
      <c r="G152" s="2091">
        <f>+G153+G155+G169+G170+G171+G172+G173</f>
        <v>133849.89499999999</v>
      </c>
      <c r="H152" s="2091">
        <f t="shared" ref="H152:R152" si="44">+H153+H155+H169+H170+H171+H172+H173</f>
        <v>270965.929</v>
      </c>
      <c r="I152" s="2091">
        <f t="shared" si="44"/>
        <v>120221.42700000001</v>
      </c>
      <c r="J152" s="2091">
        <f t="shared" si="44"/>
        <v>140832.15099999998</v>
      </c>
      <c r="K152" s="2091">
        <f t="shared" si="44"/>
        <v>115878.861</v>
      </c>
      <c r="L152" s="2091">
        <f t="shared" si="44"/>
        <v>166755.94799999997</v>
      </c>
      <c r="M152" s="2091">
        <f t="shared" si="44"/>
        <v>221472.44200000001</v>
      </c>
      <c r="N152" s="2091">
        <f t="shared" si="44"/>
        <v>142206.76500000001</v>
      </c>
      <c r="O152" s="2091">
        <f t="shared" si="44"/>
        <v>133562.93599999999</v>
      </c>
      <c r="P152" s="2091">
        <f t="shared" si="44"/>
        <v>7772202.0779999997</v>
      </c>
      <c r="Q152" s="2091">
        <f t="shared" si="44"/>
        <v>1442256.4110000001</v>
      </c>
      <c r="R152" s="2091">
        <f t="shared" si="44"/>
        <v>161256.266</v>
      </c>
      <c r="S152" s="2132">
        <f>+SUM(G152:R152)</f>
        <v>10821461.109000001</v>
      </c>
      <c r="T152" s="2093"/>
      <c r="U152" s="2093"/>
      <c r="V152" s="2093"/>
      <c r="W152" s="2094"/>
      <c r="X152" s="2095"/>
      <c r="Y152" s="2096"/>
      <c r="Z152" s="2097"/>
      <c r="AA152" s="2098">
        <f t="shared" si="26"/>
        <v>10821.461109000002</v>
      </c>
      <c r="AB152" s="2099"/>
    </row>
    <row r="153" spans="1:28" s="2098" customFormat="1" ht="26.25" hidden="1" outlineLevel="1">
      <c r="A153" s="2087"/>
      <c r="B153" s="2115" t="s">
        <v>3164</v>
      </c>
      <c r="C153" s="2089" t="str">
        <f>'Receitas (mensais)'!D202</f>
        <v>Soc. e quais-soc. nao financeiras</v>
      </c>
      <c r="D153" s="2090"/>
      <c r="E153" s="2091"/>
      <c r="F153" s="2128">
        <f>F154</f>
        <v>0</v>
      </c>
      <c r="G153" s="2091">
        <f>G154</f>
        <v>0</v>
      </c>
      <c r="H153" s="2091">
        <f t="shared" ref="H153:R153" si="45">H154</f>
        <v>0</v>
      </c>
      <c r="I153" s="2091">
        <f t="shared" si="45"/>
        <v>0</v>
      </c>
      <c r="J153" s="2091">
        <f t="shared" si="45"/>
        <v>0</v>
      </c>
      <c r="K153" s="2091">
        <f t="shared" si="45"/>
        <v>0</v>
      </c>
      <c r="L153" s="2091">
        <f t="shared" si="45"/>
        <v>0</v>
      </c>
      <c r="M153" s="2091">
        <f t="shared" si="45"/>
        <v>0</v>
      </c>
      <c r="N153" s="2091">
        <f t="shared" si="45"/>
        <v>0</v>
      </c>
      <c r="O153" s="2091">
        <f t="shared" si="45"/>
        <v>0</v>
      </c>
      <c r="P153" s="2091">
        <f t="shared" si="45"/>
        <v>0</v>
      </c>
      <c r="Q153" s="2091">
        <f t="shared" si="45"/>
        <v>0</v>
      </c>
      <c r="R153" s="2091">
        <f t="shared" si="45"/>
        <v>0</v>
      </c>
      <c r="S153" s="2091">
        <f t="shared" si="42"/>
        <v>0</v>
      </c>
      <c r="T153" s="2093"/>
      <c r="U153" s="2093"/>
      <c r="V153" s="2093"/>
      <c r="W153" s="2094"/>
      <c r="X153" s="2095"/>
      <c r="Y153" s="2096"/>
      <c r="Z153" s="2097"/>
      <c r="AB153" s="2099"/>
    </row>
    <row r="154" spans="1:28" s="2131" customFormat="1" ht="26.25" hidden="1">
      <c r="A154" s="2127"/>
      <c r="B154" s="2088" t="s">
        <v>3171</v>
      </c>
      <c r="C154" s="2100" t="str">
        <f>'Receitas (mensais)'!D203</f>
        <v>Empresas publicas, mistas ou equip</v>
      </c>
      <c r="D154" s="2126"/>
      <c r="E154" s="2128"/>
      <c r="F154" s="2128"/>
      <c r="G154" s="2128">
        <f>+'Receitas (mensais)'!E203</f>
        <v>0</v>
      </c>
      <c r="H154" s="2128">
        <f>+'Receitas (mensais)'!F203</f>
        <v>0</v>
      </c>
      <c r="I154" s="2128">
        <f>+'Receitas (mensais)'!G203</f>
        <v>0</v>
      </c>
      <c r="J154" s="2128">
        <f>+'Receitas (mensais)'!H203</f>
        <v>0</v>
      </c>
      <c r="K154" s="2128">
        <f>+'Receitas (mensais)'!I203</f>
        <v>0</v>
      </c>
      <c r="L154" s="2128">
        <f>+'Receitas (mensais)'!J203</f>
        <v>0</v>
      </c>
      <c r="M154" s="2128">
        <f>+'Receitas (mensais)'!K203</f>
        <v>0</v>
      </c>
      <c r="N154" s="2128">
        <f>+'Receitas (mensais)'!L203</f>
        <v>0</v>
      </c>
      <c r="O154" s="2128">
        <f>+'Receitas (mensais)'!M203</f>
        <v>0</v>
      </c>
      <c r="P154" s="2128">
        <f>+'Receitas (mensais)'!N203</f>
        <v>0</v>
      </c>
      <c r="Q154" s="2128">
        <f>+'Receitas (mensais)'!O203</f>
        <v>0</v>
      </c>
      <c r="R154" s="2128">
        <f>+'Receitas (mensais)'!P203</f>
        <v>0</v>
      </c>
      <c r="S154" s="2132">
        <f t="shared" si="42"/>
        <v>0</v>
      </c>
      <c r="T154" s="2129"/>
      <c r="U154" s="2129"/>
      <c r="V154" s="2129"/>
      <c r="W154" s="2130"/>
      <c r="X154" s="2096"/>
      <c r="Y154" s="2097"/>
      <c r="AA154" s="2099"/>
    </row>
    <row r="155" spans="1:28" s="2098" customFormat="1" ht="26.25" hidden="1" outlineLevel="1">
      <c r="A155" s="2087"/>
      <c r="B155" s="2115" t="s">
        <v>3170</v>
      </c>
      <c r="C155" s="2089" t="str">
        <f>'Receitas (mensais)'!D205</f>
        <v>Administraçoes publicas</v>
      </c>
      <c r="D155" s="2090"/>
      <c r="E155" s="2091"/>
      <c r="F155" s="2128">
        <f>F156+F160+F161+F162</f>
        <v>1672440.77</v>
      </c>
      <c r="G155" s="2091">
        <f>G156+G160+G161+G162</f>
        <v>133849.89499999999</v>
      </c>
      <c r="H155" s="2091">
        <f t="shared" ref="H155:R155" si="46">H156+H160+H161+H162</f>
        <v>270965.929</v>
      </c>
      <c r="I155" s="2091">
        <f t="shared" si="46"/>
        <v>120221.42700000001</v>
      </c>
      <c r="J155" s="2091">
        <f t="shared" si="46"/>
        <v>140832.15099999998</v>
      </c>
      <c r="K155" s="2091">
        <f t="shared" si="46"/>
        <v>115878.861</v>
      </c>
      <c r="L155" s="2091">
        <f t="shared" si="46"/>
        <v>166755.94799999997</v>
      </c>
      <c r="M155" s="2091">
        <f t="shared" si="46"/>
        <v>221472.44200000001</v>
      </c>
      <c r="N155" s="2091">
        <f t="shared" si="46"/>
        <v>142206.76500000001</v>
      </c>
      <c r="O155" s="2091">
        <f t="shared" si="46"/>
        <v>133562.93599999999</v>
      </c>
      <c r="P155" s="2091">
        <f t="shared" si="46"/>
        <v>163100.878</v>
      </c>
      <c r="Q155" s="2091">
        <f t="shared" si="46"/>
        <v>130342.41100000001</v>
      </c>
      <c r="R155" s="2091">
        <f t="shared" si="46"/>
        <v>161256.266</v>
      </c>
      <c r="S155" s="2091">
        <f t="shared" si="42"/>
        <v>1900445.9090000002</v>
      </c>
      <c r="T155" s="2093"/>
      <c r="U155" s="2093"/>
      <c r="V155" s="2093"/>
      <c r="W155" s="2094"/>
      <c r="X155" s="2095"/>
      <c r="Y155" s="2096"/>
      <c r="Z155" s="2097"/>
      <c r="AB155" s="2099"/>
    </row>
    <row r="156" spans="1:28" s="2131" customFormat="1" ht="26.25" hidden="1">
      <c r="A156" s="2127"/>
      <c r="B156" s="2088" t="s">
        <v>3249</v>
      </c>
      <c r="C156" s="2100" t="str">
        <f>'Receitas (mensais)'!D206</f>
        <v>Fundos autonomos</v>
      </c>
      <c r="D156" s="2126"/>
      <c r="E156" s="2128"/>
      <c r="F156" s="2128">
        <f>+SUM(F157:F159)</f>
        <v>300420.38099999999</v>
      </c>
      <c r="G156" s="2128">
        <f>+SUM(G157:G159)</f>
        <v>18706.599999999999</v>
      </c>
      <c r="H156" s="2128">
        <f t="shared" ref="H156:R156" si="47">+SUM(H157:H159)</f>
        <v>113931.261</v>
      </c>
      <c r="I156" s="2128">
        <f t="shared" si="47"/>
        <v>7559.65</v>
      </c>
      <c r="J156" s="2128">
        <f t="shared" si="47"/>
        <v>5399.4000000000005</v>
      </c>
      <c r="K156" s="2128">
        <f t="shared" si="47"/>
        <v>2504.973</v>
      </c>
      <c r="L156" s="2128">
        <f t="shared" si="47"/>
        <v>1482.0900000000001</v>
      </c>
      <c r="M156" s="2128">
        <f t="shared" si="47"/>
        <v>100810.5</v>
      </c>
      <c r="N156" s="2128">
        <f t="shared" si="47"/>
        <v>762.66499999999996</v>
      </c>
      <c r="O156" s="2128">
        <f t="shared" si="47"/>
        <v>2994.9520000000002</v>
      </c>
      <c r="P156" s="2128">
        <f t="shared" si="47"/>
        <v>4643.5470000000005</v>
      </c>
      <c r="Q156" s="2128">
        <f t="shared" si="47"/>
        <v>1329.2179999999998</v>
      </c>
      <c r="R156" s="2128">
        <f t="shared" si="47"/>
        <v>4428.3999999999996</v>
      </c>
      <c r="S156" s="2132">
        <f t="shared" si="42"/>
        <v>264553.25599999999</v>
      </c>
      <c r="T156" s="2129"/>
      <c r="U156" s="2129"/>
      <c r="V156" s="2129"/>
      <c r="W156" s="2130"/>
      <c r="X156" s="2096"/>
      <c r="Y156" s="2097"/>
      <c r="AA156" s="2099"/>
    </row>
    <row r="157" spans="1:28" s="2131" customFormat="1" ht="26.25" hidden="1">
      <c r="A157" s="2127"/>
      <c r="B157" s="2088" t="s">
        <v>3251</v>
      </c>
      <c r="C157" s="2100" t="str">
        <f>'Receitas (mensais)'!D207</f>
        <v>-           Fundo  de Turismo</v>
      </c>
      <c r="D157" s="2126"/>
      <c r="E157" s="2128"/>
      <c r="F157" s="2128">
        <v>19023.650000000001</v>
      </c>
      <c r="G157" s="2128">
        <f>+'Receitas (mensais)'!E207</f>
        <v>530</v>
      </c>
      <c r="H157" s="2128">
        <f>+'Receitas (mensais)'!F207</f>
        <v>271.815</v>
      </c>
      <c r="I157" s="2128">
        <f>+'Receitas (mensais)'!G207</f>
        <v>205.5</v>
      </c>
      <c r="J157" s="2128">
        <f>+'Receitas (mensais)'!H207</f>
        <v>650</v>
      </c>
      <c r="K157" s="2128">
        <f>+'Receitas (mensais)'!I207</f>
        <v>150</v>
      </c>
      <c r="L157" s="2128">
        <f>+'Receitas (mensais)'!J207</f>
        <v>135</v>
      </c>
      <c r="M157" s="2128">
        <f>+'Receitas (mensais)'!K207</f>
        <v>209</v>
      </c>
      <c r="N157" s="2128">
        <f>+'Receitas (mensais)'!L207</f>
        <v>19.625</v>
      </c>
      <c r="O157" s="2128">
        <f>+'Receitas (mensais)'!M207</f>
        <v>1287.75</v>
      </c>
      <c r="P157" s="2128">
        <f>+'Receitas (mensais)'!N207</f>
        <v>3766.75</v>
      </c>
      <c r="Q157" s="2128">
        <f>+'Receitas (mensais)'!O207</f>
        <v>0</v>
      </c>
      <c r="R157" s="2128">
        <f>+'Receitas (mensais)'!P207</f>
        <v>0</v>
      </c>
      <c r="S157" s="2132">
        <f t="shared" si="42"/>
        <v>7225.4400000000005</v>
      </c>
      <c r="T157" s="2129"/>
      <c r="U157" s="2129"/>
      <c r="V157" s="2129"/>
      <c r="W157" s="2130"/>
      <c r="X157" s="2096"/>
      <c r="Y157" s="2097"/>
      <c r="AA157" s="2099"/>
    </row>
    <row r="158" spans="1:28" s="2131" customFormat="1" ht="26.25" hidden="1">
      <c r="A158" s="2127"/>
      <c r="B158" s="2088" t="s">
        <v>3252</v>
      </c>
      <c r="C158" s="2100" t="str">
        <f>'Receitas (mensais)'!D208</f>
        <v>-           Fundo florestal</v>
      </c>
      <c r="D158" s="2126"/>
      <c r="E158" s="2128"/>
      <c r="F158" s="2128">
        <v>147125.58600000001</v>
      </c>
      <c r="G158" s="2128">
        <f>+'Receitas (mensais)'!E208</f>
        <v>18176.599999999999</v>
      </c>
      <c r="H158" s="2128">
        <f>+'Receitas (mensais)'!F208</f>
        <v>113659.446</v>
      </c>
      <c r="I158" s="2128">
        <f>+'Receitas (mensais)'!G208</f>
        <v>7354.15</v>
      </c>
      <c r="J158" s="2128">
        <f>+'Receitas (mensais)'!H208</f>
        <v>4749.4000000000005</v>
      </c>
      <c r="K158" s="2128">
        <f>+'Receitas (mensais)'!I208</f>
        <v>2354.973</v>
      </c>
      <c r="L158" s="2128">
        <f>+'Receitas (mensais)'!J208</f>
        <v>1347.0900000000001</v>
      </c>
      <c r="M158" s="2128">
        <f>+'Receitas (mensais)'!K208</f>
        <v>100601.5</v>
      </c>
      <c r="N158" s="2128">
        <f>+'Receitas (mensais)'!L208</f>
        <v>743.04</v>
      </c>
      <c r="O158" s="2128">
        <f>+'Receitas (mensais)'!M208</f>
        <v>1707.202</v>
      </c>
      <c r="P158" s="2128">
        <f>+'Receitas (mensais)'!N208</f>
        <v>876.79700000000003</v>
      </c>
      <c r="Q158" s="2128">
        <f>+'Receitas (mensais)'!O208</f>
        <v>1329.2179999999998</v>
      </c>
      <c r="R158" s="2128">
        <f>+'Receitas (mensais)'!P208</f>
        <v>4428.3999999999996</v>
      </c>
      <c r="S158" s="2132">
        <f t="shared" si="42"/>
        <v>257327.81599999996</v>
      </c>
      <c r="T158" s="2129"/>
      <c r="U158" s="2129"/>
      <c r="V158" s="2129"/>
      <c r="W158" s="2130"/>
      <c r="X158" s="2096"/>
      <c r="Y158" s="2097"/>
      <c r="AA158" s="2099"/>
    </row>
    <row r="159" spans="1:28" s="2131" customFormat="1" ht="26.25" hidden="1">
      <c r="A159" s="2127"/>
      <c r="B159" s="2088" t="s">
        <v>3342</v>
      </c>
      <c r="C159" s="2100" t="str">
        <f>'Receitas (mensais)'!D209</f>
        <v>-         Fundo Rodoviario</v>
      </c>
      <c r="D159" s="2126"/>
      <c r="E159" s="2128"/>
      <c r="F159" s="2128">
        <v>134271.14499999999</v>
      </c>
      <c r="G159" s="2128">
        <f>+'Receitas (mensais)'!E209</f>
        <v>0</v>
      </c>
      <c r="H159" s="2128">
        <f>+'Receitas (mensais)'!F209</f>
        <v>0</v>
      </c>
      <c r="I159" s="2128">
        <f>+'Receitas (mensais)'!G209</f>
        <v>0</v>
      </c>
      <c r="J159" s="2128">
        <f>+'Receitas (mensais)'!H209</f>
        <v>0</v>
      </c>
      <c r="K159" s="2128">
        <f>+'Receitas (mensais)'!I209</f>
        <v>0</v>
      </c>
      <c r="L159" s="2128">
        <f>+'Receitas (mensais)'!J209</f>
        <v>0</v>
      </c>
      <c r="M159" s="2128">
        <f>+'Receitas (mensais)'!K209</f>
        <v>0</v>
      </c>
      <c r="N159" s="2128">
        <f>+'Receitas (mensais)'!L209</f>
        <v>0</v>
      </c>
      <c r="O159" s="2128">
        <f>+'Receitas (mensais)'!M209</f>
        <v>0</v>
      </c>
      <c r="P159" s="2128">
        <f>+'Receitas (mensais)'!N209</f>
        <v>0</v>
      </c>
      <c r="Q159" s="2128">
        <f>+'Receitas (mensais)'!O209</f>
        <v>0</v>
      </c>
      <c r="R159" s="2128">
        <f>+'Receitas (mensais)'!P209</f>
        <v>0</v>
      </c>
      <c r="S159" s="2132">
        <f t="shared" si="42"/>
        <v>0</v>
      </c>
      <c r="T159" s="2129"/>
      <c r="U159" s="2129"/>
      <c r="V159" s="2129"/>
      <c r="W159" s="2130"/>
      <c r="X159" s="2096"/>
      <c r="Y159" s="2097"/>
      <c r="AA159" s="2099"/>
    </row>
    <row r="160" spans="1:28" s="2131" customFormat="1" ht="26.25" hidden="1">
      <c r="A160" s="2127"/>
      <c r="B160" s="2088" t="s">
        <v>3250</v>
      </c>
      <c r="C160" s="2100" t="str">
        <f>'Receitas (mensais)'!D210</f>
        <v>Serviços autonomos</v>
      </c>
      <c r="D160" s="2126"/>
      <c r="E160" s="2128"/>
      <c r="F160" s="2128">
        <v>137321.266</v>
      </c>
      <c r="G160" s="2128">
        <f>+'Receitas (mensais)'!E210</f>
        <v>922.98700000000008</v>
      </c>
      <c r="H160" s="2128">
        <f>+'Receitas (mensais)'!F210</f>
        <v>1563.201</v>
      </c>
      <c r="I160" s="2128">
        <f>+'Receitas (mensais)'!G210</f>
        <v>274.2</v>
      </c>
      <c r="J160" s="2128">
        <f>+'Receitas (mensais)'!H210</f>
        <v>735.72499999999991</v>
      </c>
      <c r="K160" s="2128">
        <f>+'Receitas (mensais)'!I210</f>
        <v>0</v>
      </c>
      <c r="L160" s="2128">
        <f>+'Receitas (mensais)'!J210</f>
        <v>0</v>
      </c>
      <c r="M160" s="2128">
        <f>+'Receitas (mensais)'!K210</f>
        <v>54</v>
      </c>
      <c r="N160" s="2128">
        <f>+'Receitas (mensais)'!L210</f>
        <v>0</v>
      </c>
      <c r="O160" s="2128">
        <f>+'Receitas (mensais)'!M210</f>
        <v>0</v>
      </c>
      <c r="P160" s="2128">
        <f>+'Receitas (mensais)'!N210</f>
        <v>120.401</v>
      </c>
      <c r="Q160" s="2128">
        <f>+'Receitas (mensais)'!O210</f>
        <v>3165.2400000000002</v>
      </c>
      <c r="R160" s="2128">
        <f>+'Receitas (mensais)'!P210</f>
        <v>615.39499999999998</v>
      </c>
      <c r="S160" s="2132">
        <f t="shared" si="42"/>
        <v>7451.1489999999994</v>
      </c>
      <c r="T160" s="2129"/>
      <c r="U160" s="2129"/>
      <c r="V160" s="2129"/>
      <c r="W160" s="2130"/>
      <c r="X160" s="2096"/>
      <c r="Y160" s="2097"/>
      <c r="AA160" s="2099"/>
    </row>
    <row r="161" spans="1:28" s="2131" customFormat="1" ht="26.25" hidden="1">
      <c r="A161" s="2127"/>
      <c r="B161" s="2088" t="s">
        <v>3343</v>
      </c>
      <c r="C161" s="2100" t="str">
        <f>'Receitas (mensais)'!D211</f>
        <v>Administraçao local</v>
      </c>
      <c r="D161" s="2126"/>
      <c r="E161" s="2128"/>
      <c r="F161" s="2128"/>
      <c r="G161" s="2128">
        <f>+'Receitas (mensais)'!E211</f>
        <v>0</v>
      </c>
      <c r="H161" s="2128">
        <f>+'Receitas (mensais)'!F211</f>
        <v>0</v>
      </c>
      <c r="I161" s="2128">
        <f>+'Receitas (mensais)'!G211</f>
        <v>0</v>
      </c>
      <c r="J161" s="2128">
        <f>+'Receitas (mensais)'!H211</f>
        <v>0</v>
      </c>
      <c r="K161" s="2128">
        <f>+'Receitas (mensais)'!I211</f>
        <v>0</v>
      </c>
      <c r="L161" s="2128">
        <f>+'Receitas (mensais)'!J211</f>
        <v>0</v>
      </c>
      <c r="M161" s="2128">
        <f>+'Receitas (mensais)'!K211</f>
        <v>0</v>
      </c>
      <c r="N161" s="2128">
        <f>+'Receitas (mensais)'!L211</f>
        <v>0</v>
      </c>
      <c r="O161" s="2128">
        <f>+'Receitas (mensais)'!M211</f>
        <v>0</v>
      </c>
      <c r="P161" s="2128">
        <f>+'Receitas (mensais)'!N211</f>
        <v>0</v>
      </c>
      <c r="Q161" s="2128">
        <f>+'Receitas (mensais)'!O211</f>
        <v>0</v>
      </c>
      <c r="R161" s="2128">
        <f>+'Receitas (mensais)'!P211</f>
        <v>0</v>
      </c>
      <c r="S161" s="2132">
        <f t="shared" si="42"/>
        <v>0</v>
      </c>
      <c r="T161" s="2129"/>
      <c r="U161" s="2129"/>
      <c r="V161" s="2129"/>
      <c r="W161" s="2130"/>
      <c r="X161" s="2096"/>
      <c r="Y161" s="2097"/>
      <c r="AA161" s="2099"/>
    </row>
    <row r="162" spans="1:28" s="2131" customFormat="1" ht="26.25" hidden="1">
      <c r="A162" s="2127"/>
      <c r="B162" s="2088" t="s">
        <v>3344</v>
      </c>
      <c r="C162" s="2100" t="str">
        <f>'Receitas (mensais)'!D212</f>
        <v>Segurança social</v>
      </c>
      <c r="D162" s="2126"/>
      <c r="E162" s="2128"/>
      <c r="F162" s="2128">
        <f>+SUM(F163:F168)</f>
        <v>1234699.1230000001</v>
      </c>
      <c r="G162" s="2128">
        <f>+SUM(G163:G168)</f>
        <v>114220.30799999999</v>
      </c>
      <c r="H162" s="2128">
        <f t="shared" ref="H162:R162" si="48">+SUM(H163:H168)</f>
        <v>155471.467</v>
      </c>
      <c r="I162" s="2128">
        <f t="shared" si="48"/>
        <v>112387.577</v>
      </c>
      <c r="J162" s="2128">
        <f t="shared" si="48"/>
        <v>134697.02599999998</v>
      </c>
      <c r="K162" s="2128">
        <f t="shared" si="48"/>
        <v>113373.88800000001</v>
      </c>
      <c r="L162" s="2128">
        <f t="shared" si="48"/>
        <v>165273.85799999998</v>
      </c>
      <c r="M162" s="2128">
        <f t="shared" si="48"/>
        <v>120607.94200000001</v>
      </c>
      <c r="N162" s="2128">
        <f t="shared" si="48"/>
        <v>141444.1</v>
      </c>
      <c r="O162" s="2128">
        <f t="shared" si="48"/>
        <v>130567.984</v>
      </c>
      <c r="P162" s="2128">
        <f t="shared" si="48"/>
        <v>158336.93</v>
      </c>
      <c r="Q162" s="2128">
        <f t="shared" si="48"/>
        <v>125847.95300000001</v>
      </c>
      <c r="R162" s="2128">
        <f t="shared" si="48"/>
        <v>156212.47099999999</v>
      </c>
      <c r="S162" s="2132">
        <f t="shared" si="42"/>
        <v>1628441.504</v>
      </c>
      <c r="T162" s="2129"/>
      <c r="U162" s="2129"/>
      <c r="V162" s="2129"/>
      <c r="W162" s="2130"/>
      <c r="X162" s="2096"/>
      <c r="Y162" s="2097"/>
      <c r="AA162" s="2099"/>
    </row>
    <row r="163" spans="1:28" s="2131" customFormat="1" ht="26.25" hidden="1">
      <c r="A163" s="2127"/>
      <c r="B163" s="2088" t="s">
        <v>3345</v>
      </c>
      <c r="C163" s="2100" t="str">
        <f>'Receitas (mensais)'!D213</f>
        <v xml:space="preserve">          Compens. Aposentaçao</v>
      </c>
      <c r="D163" s="2126"/>
      <c r="E163" s="2128"/>
      <c r="F163" s="2128">
        <v>1143541.3330000001</v>
      </c>
      <c r="G163" s="2128">
        <f>+'Receitas (mensais)'!E213</f>
        <v>104696.4</v>
      </c>
      <c r="H163" s="2128">
        <f>+'Receitas (mensais)'!F213</f>
        <v>145750.41500000001</v>
      </c>
      <c r="I163" s="2128">
        <f>+'Receitas (mensais)'!G213</f>
        <v>102748.247</v>
      </c>
      <c r="J163" s="2128">
        <f>+'Receitas (mensais)'!H213</f>
        <v>125038.52099999999</v>
      </c>
      <c r="K163" s="2128">
        <f>+'Receitas (mensais)'!I213</f>
        <v>103868.00600000001</v>
      </c>
      <c r="L163" s="2128">
        <f>+'Receitas (mensais)'!J213</f>
        <v>155064.83299999998</v>
      </c>
      <c r="M163" s="2128">
        <f>+'Receitas (mensais)'!K213</f>
        <v>111093.486</v>
      </c>
      <c r="N163" s="2128">
        <f>+'Receitas (mensais)'!L213</f>
        <v>131175.99799999999</v>
      </c>
      <c r="O163" s="2128">
        <f>+'Receitas (mensais)'!M213</f>
        <v>120323.485</v>
      </c>
      <c r="P163" s="2128">
        <f>+'Receitas (mensais)'!N213</f>
        <v>148361.94699999999</v>
      </c>
      <c r="Q163" s="2128">
        <f>+'Receitas (mensais)'!O213</f>
        <v>116020.10500000001</v>
      </c>
      <c r="R163" s="2128">
        <f>+'Receitas (mensais)'!P213</f>
        <v>145930.13099999999</v>
      </c>
      <c r="S163" s="2132">
        <f t="shared" si="42"/>
        <v>1510071.574</v>
      </c>
      <c r="T163" s="2129"/>
      <c r="U163" s="2129"/>
      <c r="V163" s="2129"/>
      <c r="W163" s="2130"/>
      <c r="X163" s="2096"/>
      <c r="Y163" s="2097"/>
      <c r="AA163" s="2099"/>
    </row>
    <row r="164" spans="1:28" s="2131" customFormat="1" ht="26.25" hidden="1">
      <c r="A164" s="2127"/>
      <c r="B164" s="2088" t="s">
        <v>3346</v>
      </c>
      <c r="C164" s="2100" t="str">
        <f>'Receitas (mensais)'!D214</f>
        <v xml:space="preserve">         Comp Aposent/Atrasados</v>
      </c>
      <c r="D164" s="2126"/>
      <c r="E164" s="2128"/>
      <c r="F164" s="2128">
        <v>91157.79</v>
      </c>
      <c r="G164" s="2128">
        <f>+'Receitas (mensais)'!E214</f>
        <v>0</v>
      </c>
      <c r="H164" s="2128">
        <f>+'Receitas (mensais)'!F214</f>
        <v>0</v>
      </c>
      <c r="I164" s="2128">
        <f>+'Receitas (mensais)'!G214</f>
        <v>0</v>
      </c>
      <c r="J164" s="2128">
        <f>+'Receitas (mensais)'!H214</f>
        <v>0</v>
      </c>
      <c r="K164" s="2128">
        <f>+'Receitas (mensais)'!I214</f>
        <v>0</v>
      </c>
      <c r="L164" s="2128">
        <f>+'Receitas (mensais)'!J214</f>
        <v>0</v>
      </c>
      <c r="M164" s="2128">
        <f>+'Receitas (mensais)'!K214</f>
        <v>0</v>
      </c>
      <c r="N164" s="2128">
        <f>+'Receitas (mensais)'!L214</f>
        <v>0</v>
      </c>
      <c r="O164" s="2128">
        <f>+'Receitas (mensais)'!M214</f>
        <v>0</v>
      </c>
      <c r="P164" s="2128">
        <f>+'Receitas (mensais)'!N214</f>
        <v>0</v>
      </c>
      <c r="Q164" s="2128">
        <f>+'Receitas (mensais)'!O214</f>
        <v>0</v>
      </c>
      <c r="R164" s="2128">
        <f>+'Receitas (mensais)'!P214</f>
        <v>0</v>
      </c>
      <c r="S164" s="2132">
        <f t="shared" si="42"/>
        <v>0</v>
      </c>
      <c r="T164" s="2129"/>
      <c r="U164" s="2129"/>
      <c r="V164" s="2129"/>
      <c r="W164" s="2130"/>
      <c r="X164" s="2096"/>
      <c r="Y164" s="2097"/>
      <c r="AA164" s="2099"/>
    </row>
    <row r="165" spans="1:28" s="2131" customFormat="1" ht="26.25" hidden="1">
      <c r="A165" s="2127"/>
      <c r="B165" s="2088" t="s">
        <v>3347</v>
      </c>
      <c r="C165" s="2100" t="str">
        <f>'Receitas (mensais)'!D215</f>
        <v xml:space="preserve">         Compens. Sobrevivência</v>
      </c>
      <c r="D165" s="2126"/>
      <c r="E165" s="2128"/>
      <c r="F165" s="2128"/>
      <c r="G165" s="2128">
        <f>+'Receitas (mensais)'!E215</f>
        <v>0</v>
      </c>
      <c r="H165" s="2128">
        <f>+'Receitas (mensais)'!F215</f>
        <v>0</v>
      </c>
      <c r="I165" s="2128">
        <f>+'Receitas (mensais)'!G215</f>
        <v>0</v>
      </c>
      <c r="J165" s="2128">
        <f>+'Receitas (mensais)'!H215</f>
        <v>0</v>
      </c>
      <c r="K165" s="2128">
        <f>+'Receitas (mensais)'!I215</f>
        <v>0</v>
      </c>
      <c r="L165" s="2128">
        <f>+'Receitas (mensais)'!J215</f>
        <v>0</v>
      </c>
      <c r="M165" s="2128">
        <f>+'Receitas (mensais)'!K215</f>
        <v>0</v>
      </c>
      <c r="N165" s="2128">
        <f>+'Receitas (mensais)'!L215</f>
        <v>0</v>
      </c>
      <c r="O165" s="2128">
        <f>+'Receitas (mensais)'!M215</f>
        <v>0</v>
      </c>
      <c r="P165" s="2128">
        <f>+'Receitas (mensais)'!N215</f>
        <v>0</v>
      </c>
      <c r="Q165" s="2128">
        <f>+'Receitas (mensais)'!O215</f>
        <v>0</v>
      </c>
      <c r="R165" s="2128">
        <f>+'Receitas (mensais)'!P215</f>
        <v>0</v>
      </c>
      <c r="S165" s="2132">
        <f t="shared" si="42"/>
        <v>0</v>
      </c>
      <c r="T165" s="2129"/>
      <c r="U165" s="2129"/>
      <c r="V165" s="2129"/>
      <c r="W165" s="2130"/>
      <c r="X165" s="2096"/>
      <c r="Y165" s="2097"/>
      <c r="AA165" s="2099"/>
    </row>
    <row r="166" spans="1:28" s="2131" customFormat="1" ht="26.25" hidden="1">
      <c r="A166" s="2127"/>
      <c r="B166" s="2088" t="s">
        <v>3348</v>
      </c>
      <c r="C166" s="2100" t="str">
        <f>'Receitas (mensais)'!D216</f>
        <v xml:space="preserve">         Comp Sobreviv/Atrasados</v>
      </c>
      <c r="D166" s="2126"/>
      <c r="E166" s="2128"/>
      <c r="F166" s="2128"/>
      <c r="G166" s="2128">
        <f>+'Receitas (mensais)'!E216</f>
        <v>0</v>
      </c>
      <c r="H166" s="2128">
        <f>+'Receitas (mensais)'!F216</f>
        <v>0</v>
      </c>
      <c r="I166" s="2128">
        <f>+'Receitas (mensais)'!G216</f>
        <v>0</v>
      </c>
      <c r="J166" s="2128">
        <f>+'Receitas (mensais)'!H216</f>
        <v>0</v>
      </c>
      <c r="K166" s="2128">
        <f>+'Receitas (mensais)'!I216</f>
        <v>0</v>
      </c>
      <c r="L166" s="2128">
        <f>+'Receitas (mensais)'!J216</f>
        <v>0</v>
      </c>
      <c r="M166" s="2128">
        <f>+'Receitas (mensais)'!K216</f>
        <v>0</v>
      </c>
      <c r="N166" s="2128">
        <f>+'Receitas (mensais)'!L216</f>
        <v>0</v>
      </c>
      <c r="O166" s="2128">
        <f>+'Receitas (mensais)'!M216</f>
        <v>0</v>
      </c>
      <c r="P166" s="2128">
        <f>+'Receitas (mensais)'!N216</f>
        <v>0</v>
      </c>
      <c r="Q166" s="2128">
        <f>+'Receitas (mensais)'!O216</f>
        <v>0</v>
      </c>
      <c r="R166" s="2128">
        <f>+'Receitas (mensais)'!P216</f>
        <v>0</v>
      </c>
      <c r="S166" s="2132">
        <f t="shared" si="42"/>
        <v>0</v>
      </c>
      <c r="T166" s="2129"/>
      <c r="U166" s="2129"/>
      <c r="V166" s="2129"/>
      <c r="W166" s="2130"/>
      <c r="X166" s="2096"/>
      <c r="Y166" s="2097"/>
      <c r="AA166" s="2099"/>
    </row>
    <row r="167" spans="1:28" s="2131" customFormat="1" ht="26.25" hidden="1">
      <c r="A167" s="2127"/>
      <c r="B167" s="2088" t="s">
        <v>3349</v>
      </c>
      <c r="C167" s="2100" t="str">
        <f>'Receitas (mensais)'!D217</f>
        <v xml:space="preserve">         Assistência Func. Tuberc</v>
      </c>
      <c r="D167" s="2126"/>
      <c r="E167" s="2128"/>
      <c r="F167" s="2128"/>
      <c r="G167" s="2128">
        <f>+'Receitas (mensais)'!E217</f>
        <v>0</v>
      </c>
      <c r="H167" s="2128">
        <f>+'Receitas (mensais)'!F217</f>
        <v>0</v>
      </c>
      <c r="I167" s="2128">
        <f>+'Receitas (mensais)'!G217</f>
        <v>0</v>
      </c>
      <c r="J167" s="2128">
        <f>+'Receitas (mensais)'!H217</f>
        <v>0</v>
      </c>
      <c r="K167" s="2128">
        <f>+'Receitas (mensais)'!I217</f>
        <v>0</v>
      </c>
      <c r="L167" s="2128">
        <f>+'Receitas (mensais)'!J217</f>
        <v>0</v>
      </c>
      <c r="M167" s="2128">
        <f>+'Receitas (mensais)'!K217</f>
        <v>0</v>
      </c>
      <c r="N167" s="2128">
        <f>+'Receitas (mensais)'!L217</f>
        <v>0</v>
      </c>
      <c r="O167" s="2128">
        <f>+'Receitas (mensais)'!M217</f>
        <v>0</v>
      </c>
      <c r="P167" s="2128">
        <f>+'Receitas (mensais)'!N217</f>
        <v>0</v>
      </c>
      <c r="Q167" s="2128">
        <f>+'Receitas (mensais)'!O217</f>
        <v>0</v>
      </c>
      <c r="R167" s="2128">
        <f>+'Receitas (mensais)'!P217</f>
        <v>0</v>
      </c>
      <c r="S167" s="2132">
        <f t="shared" si="42"/>
        <v>0</v>
      </c>
      <c r="T167" s="2129"/>
      <c r="U167" s="2129"/>
      <c r="V167" s="2129"/>
      <c r="W167" s="2130"/>
      <c r="X167" s="2096"/>
      <c r="Y167" s="2097"/>
      <c r="AA167" s="2099"/>
    </row>
    <row r="168" spans="1:28" s="2131" customFormat="1" ht="26.25" hidden="1">
      <c r="A168" s="2127"/>
      <c r="B168" s="2088" t="s">
        <v>3350</v>
      </c>
      <c r="C168" s="2100" t="str">
        <f>'Receitas (mensais)'!D218</f>
        <v xml:space="preserve">        Assist Trab F.P. no Exter</v>
      </c>
      <c r="D168" s="2126"/>
      <c r="E168" s="2128"/>
      <c r="F168" s="2128"/>
      <c r="G168" s="2128">
        <f>+'Receitas (mensais)'!E218</f>
        <v>9523.9079999999994</v>
      </c>
      <c r="H168" s="2128">
        <f>+'Receitas (mensais)'!F218</f>
        <v>9721.0519999999997</v>
      </c>
      <c r="I168" s="2128">
        <f>+'Receitas (mensais)'!G218</f>
        <v>9639.33</v>
      </c>
      <c r="J168" s="2128">
        <f>+'Receitas (mensais)'!H218</f>
        <v>9658.5049999999992</v>
      </c>
      <c r="K168" s="2128">
        <f>+'Receitas (mensais)'!I218</f>
        <v>9505.8819999999996</v>
      </c>
      <c r="L168" s="2128">
        <f>+'Receitas (mensais)'!J218</f>
        <v>10209.025</v>
      </c>
      <c r="M168" s="2128">
        <f>+'Receitas (mensais)'!K218</f>
        <v>9514.4560000000001</v>
      </c>
      <c r="N168" s="2128">
        <f>+'Receitas (mensais)'!L218</f>
        <v>10268.102000000001</v>
      </c>
      <c r="O168" s="2128">
        <f>+'Receitas (mensais)'!M218</f>
        <v>10244.499</v>
      </c>
      <c r="P168" s="2128">
        <f>+'Receitas (mensais)'!N218</f>
        <v>9974.9830000000002</v>
      </c>
      <c r="Q168" s="2128">
        <f>+'Receitas (mensais)'!O218</f>
        <v>9827.848</v>
      </c>
      <c r="R168" s="2128">
        <f>+'Receitas (mensais)'!P218</f>
        <v>10282.34</v>
      </c>
      <c r="S168" s="2132">
        <f t="shared" si="42"/>
        <v>118369.93</v>
      </c>
      <c r="T168" s="2129"/>
      <c r="U168" s="2129"/>
      <c r="V168" s="2129"/>
      <c r="W168" s="2130"/>
      <c r="X168" s="2096"/>
      <c r="Y168" s="2097"/>
      <c r="AA168" s="2099"/>
    </row>
    <row r="169" spans="1:28" s="2098" customFormat="1" ht="26.25" hidden="1" outlineLevel="1">
      <c r="A169" s="2087"/>
      <c r="B169" s="2115" t="s">
        <v>3187</v>
      </c>
      <c r="C169" s="2089" t="str">
        <f>+'Receitas (mensais)'!D220</f>
        <v>Administraçoes privadas</v>
      </c>
      <c r="D169" s="2090"/>
      <c r="E169" s="2091"/>
      <c r="F169" s="2128"/>
      <c r="G169" s="2091">
        <f>+'Receitas (mensais)'!E220</f>
        <v>0</v>
      </c>
      <c r="H169" s="2091">
        <f>+'Receitas (mensais)'!F220</f>
        <v>0</v>
      </c>
      <c r="I169" s="2091">
        <f>+'Receitas (mensais)'!G220</f>
        <v>0</v>
      </c>
      <c r="J169" s="2091">
        <f>+'Receitas (mensais)'!H220</f>
        <v>0</v>
      </c>
      <c r="K169" s="2091">
        <f>+'Receitas (mensais)'!I220</f>
        <v>0</v>
      </c>
      <c r="L169" s="2091">
        <f>+'Receitas (mensais)'!J220</f>
        <v>0</v>
      </c>
      <c r="M169" s="2091">
        <f>+'Receitas (mensais)'!K220</f>
        <v>0</v>
      </c>
      <c r="N169" s="2091">
        <f>+'Receitas (mensais)'!L220</f>
        <v>0</v>
      </c>
      <c r="O169" s="2091">
        <f>+'Receitas (mensais)'!M220</f>
        <v>0</v>
      </c>
      <c r="P169" s="2091">
        <f>+'Receitas (mensais)'!N220</f>
        <v>0</v>
      </c>
      <c r="Q169" s="2091">
        <f>+'Receitas (mensais)'!O220</f>
        <v>0</v>
      </c>
      <c r="R169" s="2091">
        <f>+'Receitas (mensais)'!P220</f>
        <v>0</v>
      </c>
      <c r="S169" s="2091">
        <f t="shared" si="42"/>
        <v>0</v>
      </c>
      <c r="T169" s="2093"/>
      <c r="U169" s="2093"/>
      <c r="V169" s="2093"/>
      <c r="W169" s="2094"/>
      <c r="X169" s="2095"/>
      <c r="Y169" s="2096"/>
      <c r="Z169" s="2097"/>
      <c r="AB169" s="2099"/>
    </row>
    <row r="170" spans="1:28" s="2098" customFormat="1" ht="26.25" hidden="1" outlineLevel="1">
      <c r="A170" s="2087"/>
      <c r="B170" s="2115" t="s">
        <v>3188</v>
      </c>
      <c r="C170" s="2089" t="str">
        <f>+'Receitas (mensais)'!D223</f>
        <v>Instituiçoes de credito</v>
      </c>
      <c r="D170" s="2090"/>
      <c r="E170" s="2091"/>
      <c r="F170" s="2128"/>
      <c r="G170" s="2091">
        <f>+'Receitas (mensais)'!E223</f>
        <v>0</v>
      </c>
      <c r="H170" s="2091">
        <f>+'Receitas (mensais)'!F223</f>
        <v>0</v>
      </c>
      <c r="I170" s="2091">
        <f>+'Receitas (mensais)'!G223</f>
        <v>0</v>
      </c>
      <c r="J170" s="2091">
        <f>+'Receitas (mensais)'!H223</f>
        <v>0</v>
      </c>
      <c r="K170" s="2091">
        <f>+'Receitas (mensais)'!I223</f>
        <v>0</v>
      </c>
      <c r="L170" s="2091">
        <f>+'Receitas (mensais)'!J223</f>
        <v>0</v>
      </c>
      <c r="M170" s="2091">
        <f>+'Receitas (mensais)'!K223</f>
        <v>0</v>
      </c>
      <c r="N170" s="2091">
        <f>+'Receitas (mensais)'!L223</f>
        <v>0</v>
      </c>
      <c r="O170" s="2091">
        <f>+'Receitas (mensais)'!M223</f>
        <v>0</v>
      </c>
      <c r="P170" s="2091">
        <f>+'Receitas (mensais)'!N223</f>
        <v>0</v>
      </c>
      <c r="Q170" s="2091">
        <f>+'Receitas (mensais)'!O223</f>
        <v>0</v>
      </c>
      <c r="R170" s="2091">
        <f>+'Receitas (mensais)'!P223</f>
        <v>0</v>
      </c>
      <c r="S170" s="2091">
        <f t="shared" si="42"/>
        <v>0</v>
      </c>
      <c r="T170" s="2093"/>
      <c r="U170" s="2093"/>
      <c r="V170" s="2093"/>
      <c r="W170" s="2094"/>
      <c r="X170" s="2095"/>
      <c r="Y170" s="2096"/>
      <c r="Z170" s="2097"/>
      <c r="AB170" s="2099"/>
    </row>
    <row r="171" spans="1:28" s="2098" customFormat="1" ht="26.25" hidden="1" outlineLevel="1">
      <c r="A171" s="2087"/>
      <c r="B171" s="2115" t="s">
        <v>3351</v>
      </c>
      <c r="C171" s="2089" t="str">
        <f>+'Receitas (mensais)'!D227</f>
        <v>Empresas de seguros</v>
      </c>
      <c r="D171" s="2090"/>
      <c r="E171" s="2091"/>
      <c r="F171" s="2128"/>
      <c r="G171" s="2091">
        <f>+'Receitas (mensais)'!E227</f>
        <v>0</v>
      </c>
      <c r="H171" s="2091">
        <f>+'Receitas (mensais)'!F227</f>
        <v>0</v>
      </c>
      <c r="I171" s="2091">
        <f>+'Receitas (mensais)'!G227</f>
        <v>0</v>
      </c>
      <c r="J171" s="2091">
        <f>+'Receitas (mensais)'!H227</f>
        <v>0</v>
      </c>
      <c r="K171" s="2091">
        <f>+'Receitas (mensais)'!I227</f>
        <v>0</v>
      </c>
      <c r="L171" s="2091">
        <f>+'Receitas (mensais)'!J227</f>
        <v>0</v>
      </c>
      <c r="M171" s="2091">
        <f>+'Receitas (mensais)'!K227</f>
        <v>0</v>
      </c>
      <c r="N171" s="2091">
        <f>+'Receitas (mensais)'!L227</f>
        <v>0</v>
      </c>
      <c r="O171" s="2091">
        <f>+'Receitas (mensais)'!M227</f>
        <v>0</v>
      </c>
      <c r="P171" s="2091">
        <f>+'Receitas (mensais)'!N227</f>
        <v>0</v>
      </c>
      <c r="Q171" s="2091">
        <f>+'Receitas (mensais)'!O227</f>
        <v>0</v>
      </c>
      <c r="R171" s="2091">
        <f>+'Receitas (mensais)'!P227</f>
        <v>0</v>
      </c>
      <c r="S171" s="2091">
        <f t="shared" si="42"/>
        <v>0</v>
      </c>
      <c r="T171" s="2093"/>
      <c r="U171" s="2093"/>
      <c r="V171" s="2093"/>
      <c r="W171" s="2094"/>
      <c r="X171" s="2095"/>
      <c r="Y171" s="2096"/>
      <c r="Z171" s="2097"/>
      <c r="AB171" s="2099"/>
    </row>
    <row r="172" spans="1:28" s="2098" customFormat="1" ht="26.25" hidden="1" outlineLevel="1">
      <c r="A172" s="2087"/>
      <c r="B172" s="2115" t="s">
        <v>3352</v>
      </c>
      <c r="C172" s="2089" t="str">
        <f>+'Receitas (mensais)'!D230</f>
        <v>Familias</v>
      </c>
      <c r="D172" s="2090"/>
      <c r="E172" s="2091"/>
      <c r="F172" s="2128"/>
      <c r="G172" s="2091">
        <f>+'Receitas (mensais)'!E230</f>
        <v>0</v>
      </c>
      <c r="H172" s="2091">
        <f>+'Receitas (mensais)'!F230</f>
        <v>0</v>
      </c>
      <c r="I172" s="2091">
        <f>+'Receitas (mensais)'!G230</f>
        <v>0</v>
      </c>
      <c r="J172" s="2091">
        <f>+'Receitas (mensais)'!H230</f>
        <v>0</v>
      </c>
      <c r="K172" s="2091">
        <f>+'Receitas (mensais)'!I230</f>
        <v>0</v>
      </c>
      <c r="L172" s="2091">
        <f>+'Receitas (mensais)'!J230</f>
        <v>0</v>
      </c>
      <c r="M172" s="2091">
        <f>+'Receitas (mensais)'!K230</f>
        <v>0</v>
      </c>
      <c r="N172" s="2091">
        <f>+'Receitas (mensais)'!L230</f>
        <v>0</v>
      </c>
      <c r="O172" s="2091">
        <f>+'Receitas (mensais)'!M230</f>
        <v>0</v>
      </c>
      <c r="P172" s="2091">
        <f>+'Receitas (mensais)'!N230</f>
        <v>0</v>
      </c>
      <c r="Q172" s="2091">
        <f>+'Receitas (mensais)'!O230</f>
        <v>0</v>
      </c>
      <c r="R172" s="2091">
        <f>+'Receitas (mensais)'!P230</f>
        <v>0</v>
      </c>
      <c r="S172" s="2091">
        <f t="shared" si="42"/>
        <v>0</v>
      </c>
      <c r="T172" s="2093"/>
      <c r="U172" s="2093"/>
      <c r="V172" s="2093"/>
      <c r="W172" s="2094"/>
      <c r="X172" s="2095"/>
      <c r="Y172" s="2096"/>
      <c r="Z172" s="2097"/>
      <c r="AB172" s="2099"/>
    </row>
    <row r="173" spans="1:28" s="2098" customFormat="1" ht="26.25" hidden="1" outlineLevel="1">
      <c r="A173" s="2087"/>
      <c r="B173" s="2115" t="s">
        <v>3353</v>
      </c>
      <c r="C173" s="2089" t="str">
        <f>+'Receitas (mensais)'!D233</f>
        <v>Exterior</v>
      </c>
      <c r="D173" s="2090"/>
      <c r="E173" s="2091"/>
      <c r="F173" s="2128">
        <f>+F174+F175+F176+F179</f>
        <v>10232929.199999999</v>
      </c>
      <c r="G173" s="2091">
        <f>+G174+G175+G176+G179</f>
        <v>0</v>
      </c>
      <c r="H173" s="2091">
        <f t="shared" ref="H173:R173" si="49">+H174+H175+H176+H179</f>
        <v>0</v>
      </c>
      <c r="I173" s="2091">
        <f t="shared" si="49"/>
        <v>0</v>
      </c>
      <c r="J173" s="2091">
        <f t="shared" si="49"/>
        <v>0</v>
      </c>
      <c r="K173" s="2091">
        <f t="shared" si="49"/>
        <v>0</v>
      </c>
      <c r="L173" s="2091">
        <f t="shared" si="49"/>
        <v>0</v>
      </c>
      <c r="M173" s="2091">
        <f t="shared" si="49"/>
        <v>0</v>
      </c>
      <c r="N173" s="2091">
        <f t="shared" si="49"/>
        <v>0</v>
      </c>
      <c r="O173" s="2091">
        <f t="shared" si="49"/>
        <v>0</v>
      </c>
      <c r="P173" s="2091">
        <f t="shared" si="49"/>
        <v>7609101.2000000002</v>
      </c>
      <c r="Q173" s="2091">
        <f t="shared" si="49"/>
        <v>1311914</v>
      </c>
      <c r="R173" s="2091">
        <f t="shared" si="49"/>
        <v>0</v>
      </c>
      <c r="S173" s="2091">
        <f t="shared" si="42"/>
        <v>8921015.1999999993</v>
      </c>
      <c r="T173" s="2093"/>
      <c r="U173" s="2093"/>
      <c r="V173" s="2093"/>
      <c r="W173" s="2094"/>
      <c r="X173" s="2095"/>
      <c r="Y173" s="2096"/>
      <c r="Z173" s="2097"/>
      <c r="AB173" s="2099"/>
    </row>
    <row r="174" spans="1:28" s="2131" customFormat="1" ht="26.25" hidden="1">
      <c r="A174" s="2127"/>
      <c r="B174" s="2088" t="s">
        <v>3354</v>
      </c>
      <c r="C174" s="2100" t="str">
        <f>+'Receitas (mensais)'!D234</f>
        <v>Serviços Consulares</v>
      </c>
      <c r="D174" s="2126"/>
      <c r="E174" s="2128"/>
      <c r="F174" s="2128"/>
      <c r="G174" s="2128">
        <f>+'Receitas (mensais)'!E234</f>
        <v>0</v>
      </c>
      <c r="H174" s="2128">
        <f>+'Receitas (mensais)'!F234</f>
        <v>0</v>
      </c>
      <c r="I174" s="2128">
        <f>+'Receitas (mensais)'!G234</f>
        <v>0</v>
      </c>
      <c r="J174" s="2128">
        <f>+'Receitas (mensais)'!H234</f>
        <v>0</v>
      </c>
      <c r="K174" s="2128">
        <f>+'Receitas (mensais)'!I234</f>
        <v>0</v>
      </c>
      <c r="L174" s="2128">
        <f>+'Receitas (mensais)'!J234</f>
        <v>0</v>
      </c>
      <c r="M174" s="2128">
        <f>+'Receitas (mensais)'!K234</f>
        <v>0</v>
      </c>
      <c r="N174" s="2128">
        <f>+'Receitas (mensais)'!L234</f>
        <v>0</v>
      </c>
      <c r="O174" s="2128">
        <f>+'Receitas (mensais)'!M234</f>
        <v>0</v>
      </c>
      <c r="P174" s="2128">
        <f>+'Receitas (mensais)'!N234</f>
        <v>0</v>
      </c>
      <c r="Q174" s="2128">
        <f>+'Receitas (mensais)'!O234</f>
        <v>0</v>
      </c>
      <c r="R174" s="2128">
        <f>+'Receitas (mensais)'!P234</f>
        <v>0</v>
      </c>
      <c r="S174" s="2132">
        <f t="shared" si="42"/>
        <v>0</v>
      </c>
      <c r="T174" s="2129"/>
      <c r="U174" s="2129"/>
      <c r="V174" s="2129"/>
      <c r="W174" s="2130"/>
      <c r="X174" s="2096"/>
      <c r="Y174" s="2097"/>
      <c r="AA174" s="2099"/>
    </row>
    <row r="175" spans="1:28" s="2131" customFormat="1" ht="26.25" hidden="1">
      <c r="A175" s="2127"/>
      <c r="B175" s="2088" t="s">
        <v>3355</v>
      </c>
      <c r="C175" s="2100" t="str">
        <f>+'Receitas (mensais)'!D235</f>
        <v>Diversos serviços</v>
      </c>
      <c r="D175" s="2126"/>
      <c r="E175" s="2128"/>
      <c r="F175" s="2128"/>
      <c r="G175" s="2128">
        <f>+'Receitas (mensais)'!E235</f>
        <v>0</v>
      </c>
      <c r="H175" s="2128">
        <f>+'Receitas (mensais)'!F235</f>
        <v>0</v>
      </c>
      <c r="I175" s="2128">
        <f>+'Receitas (mensais)'!G235</f>
        <v>0</v>
      </c>
      <c r="J175" s="2128">
        <f>+'Receitas (mensais)'!H235</f>
        <v>0</v>
      </c>
      <c r="K175" s="2128">
        <f>+'Receitas (mensais)'!I235</f>
        <v>0</v>
      </c>
      <c r="L175" s="2128">
        <f>+'Receitas (mensais)'!J235</f>
        <v>0</v>
      </c>
      <c r="M175" s="2128">
        <f>+'Receitas (mensais)'!K235</f>
        <v>0</v>
      </c>
      <c r="N175" s="2128">
        <f>+'Receitas (mensais)'!L235</f>
        <v>0</v>
      </c>
      <c r="O175" s="2128">
        <f>+'Receitas (mensais)'!M235</f>
        <v>0</v>
      </c>
      <c r="P175" s="2128">
        <f>+'Receitas (mensais)'!N235</f>
        <v>0</v>
      </c>
      <c r="Q175" s="2128">
        <f>+'Receitas (mensais)'!O235</f>
        <v>0</v>
      </c>
      <c r="R175" s="2128">
        <f>+'Receitas (mensais)'!P235</f>
        <v>0</v>
      </c>
      <c r="S175" s="2132">
        <f t="shared" si="42"/>
        <v>0</v>
      </c>
      <c r="T175" s="2129"/>
      <c r="U175" s="2129"/>
      <c r="V175" s="2129"/>
      <c r="W175" s="2130"/>
      <c r="X175" s="2096"/>
      <c r="Y175" s="2097"/>
      <c r="AA175" s="2099"/>
    </row>
    <row r="176" spans="1:28" s="2131" customFormat="1" ht="26.25" hidden="1">
      <c r="A176" s="2127"/>
      <c r="B176" s="2088" t="s">
        <v>3356</v>
      </c>
      <c r="C176" s="2100" t="str">
        <f>+'Receitas (mensais)'!D236</f>
        <v>C.E.E.</v>
      </c>
      <c r="D176" s="2126"/>
      <c r="E176" s="2128"/>
      <c r="F176" s="2128">
        <f>+F177+F178</f>
        <v>10232929.199999999</v>
      </c>
      <c r="G176" s="2128">
        <f>+G177+G178</f>
        <v>0</v>
      </c>
      <c r="H176" s="2128">
        <f t="shared" ref="H176:R176" si="50">+H177+H178</f>
        <v>0</v>
      </c>
      <c r="I176" s="2128">
        <f t="shared" si="50"/>
        <v>0</v>
      </c>
      <c r="J176" s="2128">
        <f t="shared" si="50"/>
        <v>0</v>
      </c>
      <c r="K176" s="2128">
        <f t="shared" si="50"/>
        <v>0</v>
      </c>
      <c r="L176" s="2128">
        <f t="shared" si="50"/>
        <v>0</v>
      </c>
      <c r="M176" s="2128">
        <f t="shared" si="50"/>
        <v>0</v>
      </c>
      <c r="N176" s="2128">
        <f t="shared" si="50"/>
        <v>0</v>
      </c>
      <c r="O176" s="2128">
        <f t="shared" si="50"/>
        <v>0</v>
      </c>
      <c r="P176" s="2128">
        <f t="shared" si="50"/>
        <v>7609101.2000000002</v>
      </c>
      <c r="Q176" s="2128">
        <f t="shared" si="50"/>
        <v>1311914</v>
      </c>
      <c r="R176" s="2128">
        <f t="shared" si="50"/>
        <v>0</v>
      </c>
      <c r="S176" s="2132">
        <f t="shared" si="42"/>
        <v>8921015.1999999993</v>
      </c>
      <c r="T176" s="2129"/>
      <c r="U176" s="2129"/>
      <c r="V176" s="2129"/>
      <c r="W176" s="2130"/>
      <c r="X176" s="2096"/>
      <c r="Y176" s="2097"/>
      <c r="AA176" s="2099"/>
    </row>
    <row r="177" spans="1:28" s="2131" customFormat="1" ht="26.25" hidden="1">
      <c r="A177" s="2127"/>
      <c r="B177" s="2088" t="s">
        <v>3358</v>
      </c>
      <c r="C177" s="2100" t="str">
        <f>+'Receitas (mensais)'!D237</f>
        <v>-       Compensaçao financeira</v>
      </c>
      <c r="D177" s="2126"/>
      <c r="E177" s="2128"/>
      <c r="F177" s="2128">
        <v>10232929.199999999</v>
      </c>
      <c r="G177" s="2128">
        <f>+'Receitas (mensais)'!E237</f>
        <v>0</v>
      </c>
      <c r="H177" s="2128">
        <f>+'Receitas (mensais)'!F237</f>
        <v>0</v>
      </c>
      <c r="I177" s="2128">
        <f>+'Receitas (mensais)'!G237</f>
        <v>0</v>
      </c>
      <c r="J177" s="2128">
        <f>+'Receitas (mensais)'!H237</f>
        <v>0</v>
      </c>
      <c r="K177" s="2128">
        <f>+'Receitas (mensais)'!I237</f>
        <v>0</v>
      </c>
      <c r="L177" s="2128">
        <f>+'Receitas (mensais)'!J237</f>
        <v>0</v>
      </c>
      <c r="M177" s="2128">
        <f>+'Receitas (mensais)'!K237</f>
        <v>0</v>
      </c>
      <c r="N177" s="2128">
        <f>+'Receitas (mensais)'!L237</f>
        <v>0</v>
      </c>
      <c r="O177" s="2128">
        <f>+'Receitas (mensais)'!M237</f>
        <v>0</v>
      </c>
      <c r="P177" s="2128">
        <f>+'Receitas (mensais)'!N237</f>
        <v>7609101.2000000002</v>
      </c>
      <c r="Q177" s="2128">
        <f>+'Receitas (mensais)'!O237</f>
        <v>1311914</v>
      </c>
      <c r="R177" s="2128">
        <f>+'Receitas (mensais)'!P237</f>
        <v>0</v>
      </c>
      <c r="S177" s="2132">
        <f t="shared" si="42"/>
        <v>8921015.1999999993</v>
      </c>
      <c r="T177" s="2129"/>
      <c r="U177" s="2129"/>
      <c r="V177" s="2129"/>
      <c r="W177" s="2130"/>
      <c r="X177" s="2096"/>
      <c r="Y177" s="2097"/>
      <c r="AA177" s="2099"/>
    </row>
    <row r="178" spans="1:28" s="2131" customFormat="1" ht="26.25" hidden="1">
      <c r="A178" s="2127"/>
      <c r="B178" s="2088" t="s">
        <v>3359</v>
      </c>
      <c r="C178" s="2100" t="str">
        <f>+'Receitas (mensais)'!D238</f>
        <v>-       Outra (Prog. cientifico)ou Apoio Sectorial/CNF</v>
      </c>
      <c r="D178" s="2126"/>
      <c r="E178" s="2128"/>
      <c r="F178" s="2128"/>
      <c r="G178" s="2128">
        <f>+'Receitas (mensais)'!E238</f>
        <v>0</v>
      </c>
      <c r="H178" s="2128">
        <f>+'Receitas (mensais)'!F238</f>
        <v>0</v>
      </c>
      <c r="I178" s="2128">
        <f>+'Receitas (mensais)'!G238</f>
        <v>0</v>
      </c>
      <c r="J178" s="2128">
        <f>+'Receitas (mensais)'!H238</f>
        <v>0</v>
      </c>
      <c r="K178" s="2128">
        <f>+'Receitas (mensais)'!I238</f>
        <v>0</v>
      </c>
      <c r="L178" s="2128">
        <f>+'Receitas (mensais)'!J238</f>
        <v>0</v>
      </c>
      <c r="M178" s="2128">
        <f>+'Receitas (mensais)'!K238</f>
        <v>0</v>
      </c>
      <c r="N178" s="2128">
        <f>+'Receitas (mensais)'!L238</f>
        <v>0</v>
      </c>
      <c r="O178" s="2128">
        <f>+'Receitas (mensais)'!M238</f>
        <v>0</v>
      </c>
      <c r="P178" s="2128">
        <f>+'Receitas (mensais)'!N238</f>
        <v>0</v>
      </c>
      <c r="Q178" s="2128">
        <f>+'Receitas (mensais)'!O238</f>
        <v>0</v>
      </c>
      <c r="R178" s="2128">
        <f>+'Receitas (mensais)'!P238</f>
        <v>0</v>
      </c>
      <c r="S178" s="2132">
        <f t="shared" si="42"/>
        <v>0</v>
      </c>
      <c r="T178" s="2129"/>
      <c r="U178" s="2129"/>
      <c r="V178" s="2129"/>
      <c r="W178" s="2130"/>
      <c r="X178" s="2096"/>
      <c r="Y178" s="2097"/>
      <c r="AA178" s="2099"/>
    </row>
    <row r="179" spans="1:28" s="2131" customFormat="1" ht="26.25" hidden="1">
      <c r="A179" s="2127"/>
      <c r="B179" s="2088" t="s">
        <v>3357</v>
      </c>
      <c r="C179" s="2100" t="str">
        <f>+'Receitas (mensais)'!D239</f>
        <v>Diversas</v>
      </c>
      <c r="D179" s="2126"/>
      <c r="E179" s="2128"/>
      <c r="F179" s="2128"/>
      <c r="G179" s="2128">
        <f>+'Receitas (mensais)'!E239</f>
        <v>0</v>
      </c>
      <c r="H179" s="2128">
        <f>+'Receitas (mensais)'!F239</f>
        <v>0</v>
      </c>
      <c r="I179" s="2128">
        <f>+'Receitas (mensais)'!G239</f>
        <v>0</v>
      </c>
      <c r="J179" s="2128">
        <f>+'Receitas (mensais)'!H239</f>
        <v>0</v>
      </c>
      <c r="K179" s="2128">
        <f>+'Receitas (mensais)'!I239</f>
        <v>0</v>
      </c>
      <c r="L179" s="2128">
        <f>+'Receitas (mensais)'!J239</f>
        <v>0</v>
      </c>
      <c r="M179" s="2128">
        <f>+'Receitas (mensais)'!K239</f>
        <v>0</v>
      </c>
      <c r="N179" s="2128">
        <f>+'Receitas (mensais)'!L239</f>
        <v>0</v>
      </c>
      <c r="O179" s="2128">
        <f>+'Receitas (mensais)'!M239</f>
        <v>0</v>
      </c>
      <c r="P179" s="2128">
        <f>+'Receitas (mensais)'!N239</f>
        <v>0</v>
      </c>
      <c r="Q179" s="2128">
        <f>+'Receitas (mensais)'!O239</f>
        <v>0</v>
      </c>
      <c r="R179" s="2128">
        <f>+'Receitas (mensais)'!P239</f>
        <v>0</v>
      </c>
      <c r="S179" s="2132">
        <f t="shared" si="42"/>
        <v>0</v>
      </c>
      <c r="T179" s="2129"/>
      <c r="U179" s="2129"/>
      <c r="V179" s="2129"/>
      <c r="W179" s="2130"/>
      <c r="X179" s="2096"/>
      <c r="Y179" s="2097"/>
      <c r="AA179" s="2099"/>
    </row>
    <row r="180" spans="1:28" s="2098" customFormat="1" ht="26.25">
      <c r="A180" s="2087"/>
      <c r="B180" s="2088" t="s">
        <v>417</v>
      </c>
      <c r="C180" s="2112" t="s">
        <v>3438</v>
      </c>
      <c r="D180" s="2090"/>
      <c r="E180" s="2091">
        <f>+[28]Tofe!$Q$20</f>
        <v>8072121.2470000004</v>
      </c>
      <c r="F180" s="2128">
        <f>+F181+F184+F199+F227</f>
        <v>4013228.6260000002</v>
      </c>
      <c r="G180" s="2091">
        <f>+G181+G184+G199+G227</f>
        <v>139456.443</v>
      </c>
      <c r="H180" s="2091">
        <f t="shared" ref="H180:R180" si="51">+H181+H184+H199+H227</f>
        <v>203825.76100000003</v>
      </c>
      <c r="I180" s="2091">
        <f t="shared" si="51"/>
        <v>188232.32800000001</v>
      </c>
      <c r="J180" s="2091">
        <f t="shared" si="51"/>
        <v>184663.11499999999</v>
      </c>
      <c r="K180" s="2091">
        <f t="shared" si="51"/>
        <v>355859.13</v>
      </c>
      <c r="L180" s="2091">
        <f t="shared" si="51"/>
        <v>603162.54</v>
      </c>
      <c r="M180" s="2091">
        <f t="shared" si="51"/>
        <v>496498.39899999998</v>
      </c>
      <c r="N180" s="2091">
        <f t="shared" si="51"/>
        <v>327981.26300000004</v>
      </c>
      <c r="O180" s="2091">
        <f t="shared" si="51"/>
        <v>224603.21600000001</v>
      </c>
      <c r="P180" s="2091">
        <f t="shared" si="51"/>
        <v>173659.01700000002</v>
      </c>
      <c r="Q180" s="2091">
        <f t="shared" si="51"/>
        <v>109055.25199999999</v>
      </c>
      <c r="R180" s="2091">
        <f t="shared" si="51"/>
        <v>191007.60499999998</v>
      </c>
      <c r="S180" s="2132">
        <f t="shared" si="42"/>
        <v>3198004.0690000001</v>
      </c>
      <c r="T180" s="2093"/>
      <c r="U180" s="2093"/>
      <c r="V180" s="2093"/>
      <c r="W180" s="2094"/>
      <c r="X180" s="2096"/>
      <c r="Y180" s="2096"/>
      <c r="Z180" s="2097"/>
      <c r="AA180" s="2098">
        <f t="shared" si="26"/>
        <v>3198.0040690000001</v>
      </c>
      <c r="AB180" s="2099"/>
    </row>
    <row r="181" spans="1:28" s="2089" customFormat="1" ht="26.25" hidden="1">
      <c r="B181" s="2115" t="s">
        <v>3059</v>
      </c>
      <c r="C181" s="2089" t="str">
        <f>'Receitas (mensais)'!D243</f>
        <v>Venda de bens duradouros</v>
      </c>
      <c r="F181" s="2147">
        <f>+F182+F183</f>
        <v>0</v>
      </c>
      <c r="G181" s="2133">
        <f>+G182+G183</f>
        <v>0</v>
      </c>
      <c r="H181" s="2133">
        <f t="shared" ref="H181:R181" si="52">+H182+H183</f>
        <v>0</v>
      </c>
      <c r="I181" s="2133">
        <f t="shared" si="52"/>
        <v>0</v>
      </c>
      <c r="J181" s="2133">
        <f t="shared" si="52"/>
        <v>0</v>
      </c>
      <c r="K181" s="2133">
        <f t="shared" si="52"/>
        <v>0</v>
      </c>
      <c r="L181" s="2133">
        <f t="shared" si="52"/>
        <v>0</v>
      </c>
      <c r="M181" s="2133">
        <f t="shared" si="52"/>
        <v>0</v>
      </c>
      <c r="N181" s="2133">
        <f t="shared" si="52"/>
        <v>0</v>
      </c>
      <c r="O181" s="2133">
        <f t="shared" si="52"/>
        <v>0</v>
      </c>
      <c r="P181" s="2133">
        <f t="shared" si="52"/>
        <v>0</v>
      </c>
      <c r="Q181" s="2133">
        <f t="shared" si="52"/>
        <v>0</v>
      </c>
      <c r="R181" s="2133">
        <f t="shared" si="52"/>
        <v>0</v>
      </c>
      <c r="S181" s="2134">
        <f t="shared" si="42"/>
        <v>0</v>
      </c>
      <c r="T181" s="2135"/>
      <c r="X181" s="2096"/>
    </row>
    <row r="182" spans="1:28" s="2131" customFormat="1" ht="26.25" hidden="1">
      <c r="A182" s="2127"/>
      <c r="B182" s="2088" t="s">
        <v>3064</v>
      </c>
      <c r="C182" s="2100" t="str">
        <f>'Receitas (mensais)'!D244</f>
        <v>Administraçoes publicas</v>
      </c>
      <c r="D182" s="2126"/>
      <c r="E182" s="2128"/>
      <c r="F182" s="2128"/>
      <c r="G182" s="2128">
        <f>+'Receitas (mensais)'!E244</f>
        <v>0</v>
      </c>
      <c r="H182" s="2128">
        <f>+'Receitas (mensais)'!F244</f>
        <v>0</v>
      </c>
      <c r="I182" s="2128">
        <f>+'Receitas (mensais)'!G244</f>
        <v>0</v>
      </c>
      <c r="J182" s="2128">
        <f>+'Receitas (mensais)'!H244</f>
        <v>0</v>
      </c>
      <c r="K182" s="2128">
        <f>+'Receitas (mensais)'!I244</f>
        <v>0</v>
      </c>
      <c r="L182" s="2128">
        <f>+'Receitas (mensais)'!J244</f>
        <v>0</v>
      </c>
      <c r="M182" s="2128">
        <f>+'Receitas (mensais)'!K244</f>
        <v>0</v>
      </c>
      <c r="N182" s="2128">
        <f>+'Receitas (mensais)'!L244</f>
        <v>0</v>
      </c>
      <c r="O182" s="2128">
        <f>+'Receitas (mensais)'!M244</f>
        <v>0</v>
      </c>
      <c r="P182" s="2128">
        <f>+'Receitas (mensais)'!N244</f>
        <v>0</v>
      </c>
      <c r="Q182" s="2128">
        <f>+'Receitas (mensais)'!O244</f>
        <v>0</v>
      </c>
      <c r="R182" s="2128">
        <f>+'Receitas (mensais)'!P244</f>
        <v>0</v>
      </c>
      <c r="S182" s="2132">
        <f t="shared" si="42"/>
        <v>0</v>
      </c>
      <c r="T182" s="2136"/>
      <c r="U182" s="2129"/>
      <c r="V182" s="2129"/>
      <c r="W182" s="2130"/>
      <c r="X182" s="2096"/>
      <c r="Y182" s="2097"/>
      <c r="AA182" s="2099"/>
    </row>
    <row r="183" spans="1:28" s="2131" customFormat="1" ht="26.25" hidden="1">
      <c r="A183" s="2127"/>
      <c r="B183" s="2088" t="s">
        <v>3065</v>
      </c>
      <c r="C183" s="2100" t="str">
        <f>'Receitas (mensais)'!D245</f>
        <v>Outros sectores</v>
      </c>
      <c r="D183" s="2126"/>
      <c r="E183" s="2128"/>
      <c r="F183" s="2128"/>
      <c r="G183" s="2128">
        <f>+'Receitas (mensais)'!E245</f>
        <v>0</v>
      </c>
      <c r="H183" s="2128">
        <f>+'Receitas (mensais)'!F245</f>
        <v>0</v>
      </c>
      <c r="I183" s="2128">
        <f>+'Receitas (mensais)'!G245</f>
        <v>0</v>
      </c>
      <c r="J183" s="2128">
        <f>+'Receitas (mensais)'!H245</f>
        <v>0</v>
      </c>
      <c r="K183" s="2128">
        <f>+'Receitas (mensais)'!I245</f>
        <v>0</v>
      </c>
      <c r="L183" s="2128">
        <f>+'Receitas (mensais)'!J245</f>
        <v>0</v>
      </c>
      <c r="M183" s="2128">
        <f>+'Receitas (mensais)'!K245</f>
        <v>0</v>
      </c>
      <c r="N183" s="2128">
        <f>+'Receitas (mensais)'!L245</f>
        <v>0</v>
      </c>
      <c r="O183" s="2128">
        <f>+'Receitas (mensais)'!M245</f>
        <v>0</v>
      </c>
      <c r="P183" s="2128">
        <f>+'Receitas (mensais)'!N245</f>
        <v>0</v>
      </c>
      <c r="Q183" s="2128">
        <f>+'Receitas (mensais)'!O245</f>
        <v>0</v>
      </c>
      <c r="R183" s="2128">
        <f>+'Receitas (mensais)'!P245</f>
        <v>0</v>
      </c>
      <c r="S183" s="2132">
        <f t="shared" si="42"/>
        <v>0</v>
      </c>
      <c r="T183" s="2136"/>
      <c r="U183" s="2129"/>
      <c r="V183" s="2129"/>
      <c r="W183" s="2130"/>
      <c r="X183" s="2096"/>
      <c r="Y183" s="2097"/>
      <c r="AA183" s="2099"/>
    </row>
    <row r="184" spans="1:28" s="2089" customFormat="1" ht="26.25" hidden="1">
      <c r="B184" s="2115" t="s">
        <v>3060</v>
      </c>
      <c r="C184" s="2089" t="str">
        <f>'Receitas (mensais)'!D247</f>
        <v>Venda de bens nao duradouros</v>
      </c>
      <c r="F184" s="2147">
        <f>F185+F198</f>
        <v>2000</v>
      </c>
      <c r="G184" s="2133">
        <f>G185+G198</f>
        <v>0</v>
      </c>
      <c r="H184" s="2133">
        <f t="shared" ref="H184:R184" si="53">H185+H198</f>
        <v>0</v>
      </c>
      <c r="I184" s="2133">
        <f t="shared" si="53"/>
        <v>3</v>
      </c>
      <c r="J184" s="2133">
        <f t="shared" si="53"/>
        <v>1</v>
      </c>
      <c r="K184" s="2133">
        <f t="shared" si="53"/>
        <v>5.5</v>
      </c>
      <c r="L184" s="2133">
        <f t="shared" si="53"/>
        <v>113.5</v>
      </c>
      <c r="M184" s="2133">
        <f t="shared" si="53"/>
        <v>0</v>
      </c>
      <c r="N184" s="2133">
        <f t="shared" si="53"/>
        <v>0</v>
      </c>
      <c r="O184" s="2133">
        <f t="shared" si="53"/>
        <v>0</v>
      </c>
      <c r="P184" s="2133">
        <f t="shared" si="53"/>
        <v>0</v>
      </c>
      <c r="Q184" s="2133">
        <f t="shared" si="53"/>
        <v>0</v>
      </c>
      <c r="R184" s="2133">
        <f t="shared" si="53"/>
        <v>0</v>
      </c>
      <c r="S184" s="2137">
        <f t="shared" si="42"/>
        <v>123</v>
      </c>
      <c r="T184" s="2135"/>
      <c r="X184" s="2096"/>
    </row>
    <row r="185" spans="1:28" s="2131" customFormat="1" ht="26.25" hidden="1">
      <c r="A185" s="2127"/>
      <c r="B185" s="2088" t="s">
        <v>3061</v>
      </c>
      <c r="C185" s="2100" t="str">
        <f>'Receitas (mensais)'!D248</f>
        <v>Publicaçoes e impressos</v>
      </c>
      <c r="D185" s="2126"/>
      <c r="E185" s="2128"/>
      <c r="F185" s="2128">
        <f>+SUM(F186:F197)</f>
        <v>2000</v>
      </c>
      <c r="G185" s="2128">
        <f>+SUM(G186:G197)</f>
        <v>0</v>
      </c>
      <c r="H185" s="2128">
        <f t="shared" ref="H185:R185" si="54">+SUM(H186:H197)</f>
        <v>0</v>
      </c>
      <c r="I185" s="2128">
        <f t="shared" si="54"/>
        <v>3</v>
      </c>
      <c r="J185" s="2128">
        <f t="shared" si="54"/>
        <v>1</v>
      </c>
      <c r="K185" s="2128">
        <f t="shared" si="54"/>
        <v>5.5</v>
      </c>
      <c r="L185" s="2128">
        <f t="shared" si="54"/>
        <v>113.5</v>
      </c>
      <c r="M185" s="2128">
        <f t="shared" si="54"/>
        <v>0</v>
      </c>
      <c r="N185" s="2128">
        <f t="shared" si="54"/>
        <v>0</v>
      </c>
      <c r="O185" s="2128">
        <f t="shared" si="54"/>
        <v>0</v>
      </c>
      <c r="P185" s="2128">
        <f t="shared" si="54"/>
        <v>0</v>
      </c>
      <c r="Q185" s="2128">
        <f t="shared" si="54"/>
        <v>0</v>
      </c>
      <c r="R185" s="2128">
        <f t="shared" si="54"/>
        <v>0</v>
      </c>
      <c r="S185" s="2132">
        <f t="shared" si="42"/>
        <v>123</v>
      </c>
      <c r="T185" s="2129"/>
      <c r="U185" s="2129"/>
      <c r="V185" s="2129"/>
      <c r="W185" s="2130"/>
      <c r="X185" s="2096"/>
      <c r="Y185" s="2097"/>
      <c r="AA185" s="2099"/>
    </row>
    <row r="186" spans="1:28" s="2131" customFormat="1" ht="26.25" hidden="1">
      <c r="A186" s="2127"/>
      <c r="B186" s="2088" t="s">
        <v>3068</v>
      </c>
      <c r="C186" s="2100" t="str">
        <f>'Receitas (mensais)'!D249</f>
        <v xml:space="preserve">           Serviços da Cultura</v>
      </c>
      <c r="D186" s="2126"/>
      <c r="E186" s="2128"/>
      <c r="F186" s="2128"/>
      <c r="G186" s="2128">
        <f>+'Receitas (mensais)'!E249</f>
        <v>0</v>
      </c>
      <c r="H186" s="2128">
        <f>+'Receitas (mensais)'!F249</f>
        <v>0</v>
      </c>
      <c r="I186" s="2128">
        <f>+'Receitas (mensais)'!G249</f>
        <v>0</v>
      </c>
      <c r="J186" s="2128">
        <f>+'Receitas (mensais)'!H249</f>
        <v>0</v>
      </c>
      <c r="K186" s="2128">
        <f>+'Receitas (mensais)'!I249</f>
        <v>0</v>
      </c>
      <c r="L186" s="2128">
        <f>+'Receitas (mensais)'!J249</f>
        <v>0</v>
      </c>
      <c r="M186" s="2128">
        <f>+'Receitas (mensais)'!K249</f>
        <v>0</v>
      </c>
      <c r="N186" s="2128">
        <f>+'Receitas (mensais)'!L249</f>
        <v>0</v>
      </c>
      <c r="O186" s="2128">
        <f>+'Receitas (mensais)'!M249</f>
        <v>0</v>
      </c>
      <c r="P186" s="2128">
        <f>+'Receitas (mensais)'!N249</f>
        <v>0</v>
      </c>
      <c r="Q186" s="2128">
        <f>+'Receitas (mensais)'!O249</f>
        <v>0</v>
      </c>
      <c r="R186" s="2128">
        <f>+'Receitas (mensais)'!P249</f>
        <v>0</v>
      </c>
      <c r="S186" s="2132">
        <f t="shared" si="42"/>
        <v>0</v>
      </c>
      <c r="T186" s="2129"/>
      <c r="U186" s="2129"/>
      <c r="V186" s="2129"/>
      <c r="W186" s="2130"/>
      <c r="X186" s="2096"/>
      <c r="Y186" s="2097"/>
      <c r="AA186" s="2099"/>
    </row>
    <row r="187" spans="1:28" s="2131" customFormat="1" ht="26.25" hidden="1">
      <c r="A187" s="2127"/>
      <c r="B187" s="2088" t="s">
        <v>3069</v>
      </c>
      <c r="C187" s="2100" t="str">
        <f>'Receitas (mensais)'!D250</f>
        <v xml:space="preserve">           Serviços Militares</v>
      </c>
      <c r="D187" s="2126"/>
      <c r="E187" s="2128"/>
      <c r="F187" s="2128"/>
      <c r="G187" s="2128">
        <f>+'Receitas (mensais)'!E250</f>
        <v>0</v>
      </c>
      <c r="H187" s="2128">
        <f>+'Receitas (mensais)'!F250</f>
        <v>0</v>
      </c>
      <c r="I187" s="2128">
        <f>+'Receitas (mensais)'!G250</f>
        <v>0</v>
      </c>
      <c r="J187" s="2128">
        <f>+'Receitas (mensais)'!H250</f>
        <v>0</v>
      </c>
      <c r="K187" s="2128">
        <f>+'Receitas (mensais)'!I250</f>
        <v>0</v>
      </c>
      <c r="L187" s="2128">
        <f>+'Receitas (mensais)'!J250</f>
        <v>0</v>
      </c>
      <c r="M187" s="2128">
        <f>+'Receitas (mensais)'!K250</f>
        <v>0</v>
      </c>
      <c r="N187" s="2128">
        <f>+'Receitas (mensais)'!L250</f>
        <v>0</v>
      </c>
      <c r="O187" s="2128">
        <f>+'Receitas (mensais)'!M250</f>
        <v>0</v>
      </c>
      <c r="P187" s="2128">
        <f>+'Receitas (mensais)'!N250</f>
        <v>0</v>
      </c>
      <c r="Q187" s="2128">
        <f>+'Receitas (mensais)'!O250</f>
        <v>0</v>
      </c>
      <c r="R187" s="2128">
        <f>+'Receitas (mensais)'!P250</f>
        <v>0</v>
      </c>
      <c r="S187" s="2132">
        <f t="shared" si="42"/>
        <v>0</v>
      </c>
      <c r="T187" s="2129"/>
      <c r="U187" s="2129"/>
      <c r="V187" s="2129"/>
      <c r="W187" s="2130"/>
      <c r="X187" s="2096"/>
      <c r="Y187" s="2097"/>
      <c r="AA187" s="2099"/>
    </row>
    <row r="188" spans="1:28" s="2131" customFormat="1" ht="26.25" hidden="1">
      <c r="A188" s="2127"/>
      <c r="B188" s="2088" t="s">
        <v>3070</v>
      </c>
      <c r="C188" s="2100" t="str">
        <f>'Receitas (mensais)'!D251</f>
        <v xml:space="preserve">           Serviços da Agricultura e Pecuaria</v>
      </c>
      <c r="D188" s="2126"/>
      <c r="E188" s="2128"/>
      <c r="F188" s="2128"/>
      <c r="G188" s="2128">
        <f>+'Receitas (mensais)'!E251</f>
        <v>0</v>
      </c>
      <c r="H188" s="2128">
        <f>+'Receitas (mensais)'!F251</f>
        <v>0</v>
      </c>
      <c r="I188" s="2128">
        <f>+'Receitas (mensais)'!G251</f>
        <v>0</v>
      </c>
      <c r="J188" s="2128">
        <f>+'Receitas (mensais)'!H251</f>
        <v>0</v>
      </c>
      <c r="K188" s="2128">
        <f>+'Receitas (mensais)'!I251</f>
        <v>0</v>
      </c>
      <c r="L188" s="2128">
        <f>+'Receitas (mensais)'!J251</f>
        <v>0</v>
      </c>
      <c r="M188" s="2128">
        <f>+'Receitas (mensais)'!K251</f>
        <v>0</v>
      </c>
      <c r="N188" s="2128">
        <f>+'Receitas (mensais)'!L251</f>
        <v>0</v>
      </c>
      <c r="O188" s="2128">
        <f>+'Receitas (mensais)'!M251</f>
        <v>0</v>
      </c>
      <c r="P188" s="2128">
        <f>+'Receitas (mensais)'!N251</f>
        <v>0</v>
      </c>
      <c r="Q188" s="2128">
        <f>+'Receitas (mensais)'!O251</f>
        <v>0</v>
      </c>
      <c r="R188" s="2128">
        <f>+'Receitas (mensais)'!P251</f>
        <v>0</v>
      </c>
      <c r="S188" s="2132">
        <f t="shared" si="42"/>
        <v>0</v>
      </c>
      <c r="T188" s="2129"/>
      <c r="U188" s="2129"/>
      <c r="V188" s="2129"/>
      <c r="W188" s="2130"/>
      <c r="X188" s="2096"/>
      <c r="Y188" s="2097"/>
      <c r="AA188" s="2099"/>
    </row>
    <row r="189" spans="1:28" s="2131" customFormat="1" ht="26.25" hidden="1">
      <c r="A189" s="2127"/>
      <c r="B189" s="2088" t="s">
        <v>3360</v>
      </c>
      <c r="C189" s="2100" t="str">
        <f>'Receitas (mensais)'!D252</f>
        <v xml:space="preserve">            Serviços Florestais/ madeira</v>
      </c>
      <c r="D189" s="2126"/>
      <c r="E189" s="2128"/>
      <c r="F189" s="2128"/>
      <c r="G189" s="2128">
        <f>+'Receitas (mensais)'!E252</f>
        <v>0</v>
      </c>
      <c r="H189" s="2128">
        <f>+'Receitas (mensais)'!F252</f>
        <v>0</v>
      </c>
      <c r="I189" s="2128">
        <f>+'Receitas (mensais)'!G252</f>
        <v>0</v>
      </c>
      <c r="J189" s="2128">
        <f>+'Receitas (mensais)'!H252</f>
        <v>0</v>
      </c>
      <c r="K189" s="2128">
        <f>+'Receitas (mensais)'!I252</f>
        <v>0</v>
      </c>
      <c r="L189" s="2128">
        <f>+'Receitas (mensais)'!J252</f>
        <v>100</v>
      </c>
      <c r="M189" s="2128">
        <f>+'Receitas (mensais)'!K252</f>
        <v>0</v>
      </c>
      <c r="N189" s="2128">
        <f>+'Receitas (mensais)'!L252</f>
        <v>0</v>
      </c>
      <c r="O189" s="2128">
        <f>+'Receitas (mensais)'!M252</f>
        <v>0</v>
      </c>
      <c r="P189" s="2128">
        <f>+'Receitas (mensais)'!N252</f>
        <v>0</v>
      </c>
      <c r="Q189" s="2128">
        <f>+'Receitas (mensais)'!O252</f>
        <v>0</v>
      </c>
      <c r="R189" s="2128">
        <f>+'Receitas (mensais)'!P252</f>
        <v>0</v>
      </c>
      <c r="S189" s="2132">
        <f t="shared" si="42"/>
        <v>100</v>
      </c>
      <c r="T189" s="2129"/>
      <c r="U189" s="2129"/>
      <c r="V189" s="2129"/>
      <c r="W189" s="2130"/>
      <c r="X189" s="2096"/>
      <c r="Y189" s="2097"/>
      <c r="AA189" s="2099"/>
    </row>
    <row r="190" spans="1:28" s="2131" customFormat="1" ht="26.25" hidden="1">
      <c r="A190" s="2127"/>
      <c r="B190" s="2088" t="s">
        <v>3361</v>
      </c>
      <c r="C190" s="2100" t="str">
        <f>'Receitas (mensais)'!D253</f>
        <v xml:space="preserve">            Serviços de Energia</v>
      </c>
      <c r="D190" s="2126"/>
      <c r="E190" s="2128"/>
      <c r="F190" s="2128"/>
      <c r="G190" s="2128">
        <f>+'Receitas (mensais)'!E253</f>
        <v>0</v>
      </c>
      <c r="H190" s="2128">
        <f>+'Receitas (mensais)'!F253</f>
        <v>0</v>
      </c>
      <c r="I190" s="2128">
        <f>+'Receitas (mensais)'!G253</f>
        <v>0</v>
      </c>
      <c r="J190" s="2128">
        <f>+'Receitas (mensais)'!H253</f>
        <v>0</v>
      </c>
      <c r="K190" s="2128">
        <f>+'Receitas (mensais)'!I253</f>
        <v>0</v>
      </c>
      <c r="L190" s="2128">
        <f>+'Receitas (mensais)'!J253</f>
        <v>0</v>
      </c>
      <c r="M190" s="2128">
        <f>+'Receitas (mensais)'!K253</f>
        <v>0</v>
      </c>
      <c r="N190" s="2128">
        <f>+'Receitas (mensais)'!L253</f>
        <v>0</v>
      </c>
      <c r="O190" s="2128">
        <f>+'Receitas (mensais)'!M253</f>
        <v>0</v>
      </c>
      <c r="P190" s="2128">
        <f>+'Receitas (mensais)'!N253</f>
        <v>0</v>
      </c>
      <c r="Q190" s="2128">
        <f>+'Receitas (mensais)'!O253</f>
        <v>0</v>
      </c>
      <c r="R190" s="2128">
        <f>+'Receitas (mensais)'!P253</f>
        <v>0</v>
      </c>
      <c r="S190" s="2132">
        <f t="shared" si="42"/>
        <v>0</v>
      </c>
      <c r="T190" s="2129"/>
      <c r="U190" s="2129"/>
      <c r="V190" s="2129"/>
      <c r="W190" s="2130"/>
      <c r="X190" s="2096"/>
      <c r="Y190" s="2097"/>
      <c r="AA190" s="2099"/>
    </row>
    <row r="191" spans="1:28" s="2131" customFormat="1" ht="26.25" hidden="1">
      <c r="A191" s="2127"/>
      <c r="B191" s="2088" t="s">
        <v>3362</v>
      </c>
      <c r="C191" s="2100" t="str">
        <f>'Receitas (mensais)'!D254</f>
        <v xml:space="preserve">            Serviços de Educaçao</v>
      </c>
      <c r="D191" s="2126"/>
      <c r="E191" s="2128"/>
      <c r="F191" s="2128"/>
      <c r="G191" s="2128">
        <f>+'Receitas (mensais)'!E254</f>
        <v>0</v>
      </c>
      <c r="H191" s="2128">
        <f>+'Receitas (mensais)'!F254</f>
        <v>0</v>
      </c>
      <c r="I191" s="2128">
        <f>+'Receitas (mensais)'!G254</f>
        <v>0</v>
      </c>
      <c r="J191" s="2128">
        <f>+'Receitas (mensais)'!H254</f>
        <v>0</v>
      </c>
      <c r="K191" s="2128">
        <f>+'Receitas (mensais)'!I254</f>
        <v>0</v>
      </c>
      <c r="L191" s="2128">
        <f>+'Receitas (mensais)'!J254</f>
        <v>0</v>
      </c>
      <c r="M191" s="2128">
        <f>+'Receitas (mensais)'!K254</f>
        <v>0</v>
      </c>
      <c r="N191" s="2128">
        <f>+'Receitas (mensais)'!L254</f>
        <v>0</v>
      </c>
      <c r="O191" s="2128">
        <f>+'Receitas (mensais)'!M254</f>
        <v>0</v>
      </c>
      <c r="P191" s="2128">
        <f>+'Receitas (mensais)'!N254</f>
        <v>0</v>
      </c>
      <c r="Q191" s="2128">
        <f>+'Receitas (mensais)'!O254</f>
        <v>0</v>
      </c>
      <c r="R191" s="2128">
        <f>+'Receitas (mensais)'!P254</f>
        <v>0</v>
      </c>
      <c r="S191" s="2132">
        <f t="shared" si="42"/>
        <v>0</v>
      </c>
      <c r="T191" s="2129"/>
      <c r="U191" s="2129"/>
      <c r="V191" s="2129"/>
      <c r="W191" s="2130"/>
      <c r="X191" s="2096"/>
      <c r="Y191" s="2097"/>
      <c r="AA191" s="2099"/>
    </row>
    <row r="192" spans="1:28" s="2131" customFormat="1" ht="26.25" hidden="1">
      <c r="A192" s="2127"/>
      <c r="B192" s="2088" t="s">
        <v>3363</v>
      </c>
      <c r="C192" s="2100" t="str">
        <f>'Receitas (mensais)'!D255</f>
        <v xml:space="preserve">             Serviços de Protecçao Vegetal</v>
      </c>
      <c r="D192" s="2126"/>
      <c r="E192" s="2128"/>
      <c r="F192" s="2128"/>
      <c r="G192" s="2128">
        <f>+'Receitas (mensais)'!E255</f>
        <v>0</v>
      </c>
      <c r="H192" s="2128">
        <f>+'Receitas (mensais)'!F255</f>
        <v>0</v>
      </c>
      <c r="I192" s="2128">
        <f>+'Receitas (mensais)'!G255</f>
        <v>0</v>
      </c>
      <c r="J192" s="2128">
        <f>+'Receitas (mensais)'!H255</f>
        <v>0</v>
      </c>
      <c r="K192" s="2128">
        <f>+'Receitas (mensais)'!I255</f>
        <v>0</v>
      </c>
      <c r="L192" s="2128">
        <f>+'Receitas (mensais)'!J255</f>
        <v>0</v>
      </c>
      <c r="M192" s="2128">
        <f>+'Receitas (mensais)'!K255</f>
        <v>0</v>
      </c>
      <c r="N192" s="2128">
        <f>+'Receitas (mensais)'!L255</f>
        <v>0</v>
      </c>
      <c r="O192" s="2128">
        <f>+'Receitas (mensais)'!M255</f>
        <v>0</v>
      </c>
      <c r="P192" s="2128">
        <f>+'Receitas (mensais)'!N255</f>
        <v>0</v>
      </c>
      <c r="Q192" s="2128">
        <f>+'Receitas (mensais)'!O255</f>
        <v>0</v>
      </c>
      <c r="R192" s="2128">
        <f>+'Receitas (mensais)'!P255</f>
        <v>0</v>
      </c>
      <c r="S192" s="2132">
        <f t="shared" si="42"/>
        <v>0</v>
      </c>
      <c r="T192" s="2129"/>
      <c r="U192" s="2129"/>
      <c r="V192" s="2129"/>
      <c r="W192" s="2130"/>
      <c r="X192" s="2096"/>
      <c r="Y192" s="2097"/>
      <c r="AA192" s="2099"/>
    </row>
    <row r="193" spans="1:27" s="2131" customFormat="1" ht="26.25" hidden="1">
      <c r="A193" s="2127"/>
      <c r="B193" s="2088" t="s">
        <v>3364</v>
      </c>
      <c r="C193" s="2100" t="str">
        <f>'Receitas (mensais)'!D256</f>
        <v xml:space="preserve">            Serviços de Recursos Naturais</v>
      </c>
      <c r="D193" s="2126"/>
      <c r="E193" s="2128"/>
      <c r="F193" s="2128"/>
      <c r="G193" s="2128">
        <f>+'Receitas (mensais)'!E256</f>
        <v>0</v>
      </c>
      <c r="H193" s="2128">
        <f>+'Receitas (mensais)'!F256</f>
        <v>0</v>
      </c>
      <c r="I193" s="2128">
        <f>+'Receitas (mensais)'!G256</f>
        <v>0</v>
      </c>
      <c r="J193" s="2128">
        <f>+'Receitas (mensais)'!H256</f>
        <v>0</v>
      </c>
      <c r="K193" s="2128">
        <f>+'Receitas (mensais)'!I256</f>
        <v>0</v>
      </c>
      <c r="L193" s="2128">
        <f>+'Receitas (mensais)'!J256</f>
        <v>0</v>
      </c>
      <c r="M193" s="2128">
        <f>+'Receitas (mensais)'!K256</f>
        <v>0</v>
      </c>
      <c r="N193" s="2128">
        <f>+'Receitas (mensais)'!L256</f>
        <v>0</v>
      </c>
      <c r="O193" s="2128">
        <f>+'Receitas (mensais)'!M256</f>
        <v>0</v>
      </c>
      <c r="P193" s="2128">
        <f>+'Receitas (mensais)'!N256</f>
        <v>0</v>
      </c>
      <c r="Q193" s="2128">
        <f>+'Receitas (mensais)'!O256</f>
        <v>0</v>
      </c>
      <c r="R193" s="2128">
        <f>+'Receitas (mensais)'!P256</f>
        <v>0</v>
      </c>
      <c r="S193" s="2132">
        <f t="shared" si="42"/>
        <v>0</v>
      </c>
      <c r="T193" s="2129"/>
      <c r="U193" s="2129"/>
      <c r="V193" s="2129"/>
      <c r="W193" s="2130"/>
      <c r="X193" s="2096"/>
      <c r="Y193" s="2097"/>
      <c r="AA193" s="2099"/>
    </row>
    <row r="194" spans="1:27" s="2131" customFormat="1" ht="26.25" hidden="1">
      <c r="A194" s="2127"/>
      <c r="B194" s="2088" t="s">
        <v>3365</v>
      </c>
      <c r="C194" s="2100" t="str">
        <f>'Receitas (mensais)'!D257</f>
        <v xml:space="preserve">            Publ.Impr.-Estatisticas</v>
      </c>
      <c r="D194" s="2126"/>
      <c r="E194" s="2128"/>
      <c r="F194" s="2128"/>
      <c r="G194" s="2128">
        <f>+'Receitas (mensais)'!E257</f>
        <v>0</v>
      </c>
      <c r="H194" s="2128">
        <f>+'Receitas (mensais)'!F257</f>
        <v>0</v>
      </c>
      <c r="I194" s="2128">
        <f>+'Receitas (mensais)'!G257</f>
        <v>0</v>
      </c>
      <c r="J194" s="2128">
        <f>+'Receitas (mensais)'!H257</f>
        <v>0</v>
      </c>
      <c r="K194" s="2128">
        <f>+'Receitas (mensais)'!I257</f>
        <v>0</v>
      </c>
      <c r="L194" s="2128">
        <f>+'Receitas (mensais)'!J257</f>
        <v>0</v>
      </c>
      <c r="M194" s="2128">
        <f>+'Receitas (mensais)'!K257</f>
        <v>0</v>
      </c>
      <c r="N194" s="2128">
        <f>+'Receitas (mensais)'!L257</f>
        <v>0</v>
      </c>
      <c r="O194" s="2128">
        <f>+'Receitas (mensais)'!M257</f>
        <v>0</v>
      </c>
      <c r="P194" s="2128">
        <f>+'Receitas (mensais)'!N257</f>
        <v>0</v>
      </c>
      <c r="Q194" s="2128">
        <f>+'Receitas (mensais)'!O257</f>
        <v>0</v>
      </c>
      <c r="R194" s="2128">
        <f>+'Receitas (mensais)'!P257</f>
        <v>0</v>
      </c>
      <c r="S194" s="2132">
        <f t="shared" si="42"/>
        <v>0</v>
      </c>
      <c r="T194" s="2129"/>
      <c r="U194" s="2129"/>
      <c r="V194" s="2129"/>
      <c r="W194" s="2130"/>
      <c r="X194" s="2096"/>
      <c r="Y194" s="2097"/>
      <c r="AA194" s="2099"/>
    </row>
    <row r="195" spans="1:27" s="2131" customFormat="1" ht="26.25" hidden="1">
      <c r="A195" s="2127"/>
      <c r="B195" s="2088" t="s">
        <v>3366</v>
      </c>
      <c r="C195" s="2100" t="str">
        <f>'Receitas (mensais)'!D258</f>
        <v xml:space="preserve">            Publ.Impr. - Serv Aduan.</v>
      </c>
      <c r="D195" s="2126"/>
      <c r="E195" s="2128"/>
      <c r="F195" s="2128">
        <v>2000</v>
      </c>
      <c r="G195" s="2128">
        <f>+'Receitas (mensais)'!E258</f>
        <v>0</v>
      </c>
      <c r="H195" s="2128">
        <f>+'Receitas (mensais)'!F258</f>
        <v>0</v>
      </c>
      <c r="I195" s="2128">
        <f>+'Receitas (mensais)'!G258</f>
        <v>3</v>
      </c>
      <c r="J195" s="2128">
        <f>+'Receitas (mensais)'!H258</f>
        <v>1</v>
      </c>
      <c r="K195" s="2128">
        <f>+'Receitas (mensais)'!I258</f>
        <v>5.5</v>
      </c>
      <c r="L195" s="2128">
        <f>+'Receitas (mensais)'!J258</f>
        <v>13.5</v>
      </c>
      <c r="M195" s="2128">
        <f>+'Receitas (mensais)'!K258</f>
        <v>0</v>
      </c>
      <c r="N195" s="2128">
        <f>+'Receitas (mensais)'!L258</f>
        <v>0</v>
      </c>
      <c r="O195" s="2128">
        <f>+'Receitas (mensais)'!M258</f>
        <v>0</v>
      </c>
      <c r="P195" s="2128">
        <f>+'Receitas (mensais)'!N258</f>
        <v>0</v>
      </c>
      <c r="Q195" s="2128">
        <f>+'Receitas (mensais)'!O258</f>
        <v>0</v>
      </c>
      <c r="R195" s="2128">
        <f>+'Receitas (mensais)'!P258</f>
        <v>0</v>
      </c>
      <c r="S195" s="2132">
        <f t="shared" si="42"/>
        <v>23</v>
      </c>
      <c r="T195" s="2129"/>
      <c r="U195" s="2129"/>
      <c r="V195" s="2129"/>
      <c r="W195" s="2130"/>
      <c r="X195" s="2096"/>
      <c r="Y195" s="2097"/>
      <c r="AA195" s="2099"/>
    </row>
    <row r="196" spans="1:27" s="2131" customFormat="1" ht="26.25" hidden="1">
      <c r="A196" s="2127"/>
      <c r="B196" s="2088" t="s">
        <v>3367</v>
      </c>
      <c r="C196" s="2100" t="str">
        <f>'Receitas (mensais)'!D259</f>
        <v xml:space="preserve">            Publ.Impr.- Serv. diversos</v>
      </c>
      <c r="D196" s="2126"/>
      <c r="E196" s="2128"/>
      <c r="F196" s="2128"/>
      <c r="G196" s="2128">
        <f>+'Receitas (mensais)'!E259</f>
        <v>0</v>
      </c>
      <c r="H196" s="2128">
        <f>+'Receitas (mensais)'!F259</f>
        <v>0</v>
      </c>
      <c r="I196" s="2128">
        <f>+'Receitas (mensais)'!G259</f>
        <v>0</v>
      </c>
      <c r="J196" s="2128">
        <f>+'Receitas (mensais)'!H259</f>
        <v>0</v>
      </c>
      <c r="K196" s="2128">
        <f>+'Receitas (mensais)'!I259</f>
        <v>0</v>
      </c>
      <c r="L196" s="2128">
        <f>+'Receitas (mensais)'!J259</f>
        <v>0</v>
      </c>
      <c r="M196" s="2128">
        <f>+'Receitas (mensais)'!K259</f>
        <v>0</v>
      </c>
      <c r="N196" s="2128">
        <f>+'Receitas (mensais)'!L259</f>
        <v>0</v>
      </c>
      <c r="O196" s="2128">
        <f>+'Receitas (mensais)'!M259</f>
        <v>0</v>
      </c>
      <c r="P196" s="2128">
        <f>+'Receitas (mensais)'!N259</f>
        <v>0</v>
      </c>
      <c r="Q196" s="2128">
        <f>+'Receitas (mensais)'!O259</f>
        <v>0</v>
      </c>
      <c r="R196" s="2128">
        <f>+'Receitas (mensais)'!P259</f>
        <v>0</v>
      </c>
      <c r="S196" s="2132">
        <f t="shared" si="42"/>
        <v>0</v>
      </c>
      <c r="T196" s="2129"/>
      <c r="U196" s="2129"/>
      <c r="V196" s="2129"/>
      <c r="W196" s="2130"/>
      <c r="X196" s="2096"/>
      <c r="Y196" s="2097"/>
      <c r="AA196" s="2099"/>
    </row>
    <row r="197" spans="1:27" s="2131" customFormat="1" ht="26.25" hidden="1">
      <c r="A197" s="2127"/>
      <c r="B197" s="2088" t="s">
        <v>3368</v>
      </c>
      <c r="C197" s="2100" t="str">
        <f>'Receitas (mensais)'!D260</f>
        <v xml:space="preserve">            Serviços diversos</v>
      </c>
      <c r="D197" s="2126"/>
      <c r="E197" s="2128"/>
      <c r="F197" s="2128"/>
      <c r="G197" s="2128">
        <f>+'Receitas (mensais)'!E260</f>
        <v>0</v>
      </c>
      <c r="H197" s="2128">
        <f>+'Receitas (mensais)'!F260</f>
        <v>0</v>
      </c>
      <c r="I197" s="2128">
        <f>+'Receitas (mensais)'!G260</f>
        <v>0</v>
      </c>
      <c r="J197" s="2128">
        <f>+'Receitas (mensais)'!H260</f>
        <v>0</v>
      </c>
      <c r="K197" s="2128">
        <f>+'Receitas (mensais)'!I260</f>
        <v>0</v>
      </c>
      <c r="L197" s="2128">
        <f>+'Receitas (mensais)'!J260</f>
        <v>0</v>
      </c>
      <c r="M197" s="2128">
        <f>+'Receitas (mensais)'!K260</f>
        <v>0</v>
      </c>
      <c r="N197" s="2128">
        <f>+'Receitas (mensais)'!L260</f>
        <v>0</v>
      </c>
      <c r="O197" s="2128">
        <f>+'Receitas (mensais)'!M260</f>
        <v>0</v>
      </c>
      <c r="P197" s="2128">
        <f>+'Receitas (mensais)'!N260</f>
        <v>0</v>
      </c>
      <c r="Q197" s="2128">
        <f>+'Receitas (mensais)'!O260</f>
        <v>0</v>
      </c>
      <c r="R197" s="2128">
        <f>+'Receitas (mensais)'!P260</f>
        <v>0</v>
      </c>
      <c r="S197" s="2132">
        <f t="shared" si="42"/>
        <v>0</v>
      </c>
      <c r="T197" s="2129"/>
      <c r="U197" s="2129"/>
      <c r="V197" s="2129"/>
      <c r="W197" s="2130"/>
      <c r="X197" s="2096"/>
      <c r="Y197" s="2097"/>
      <c r="AA197" s="2099"/>
    </row>
    <row r="198" spans="1:27" s="2131" customFormat="1" ht="26.25" hidden="1">
      <c r="A198" s="2127"/>
      <c r="B198" s="2088" t="s">
        <v>3062</v>
      </c>
      <c r="C198" s="2100" t="str">
        <f>'Receitas (mensais)'!D261</f>
        <v>Serviços gerais</v>
      </c>
      <c r="D198" s="2126"/>
      <c r="E198" s="2128"/>
      <c r="F198" s="2128"/>
      <c r="G198" s="2128">
        <f>+'Receitas (mensais)'!E261</f>
        <v>0</v>
      </c>
      <c r="H198" s="2128">
        <f>+'Receitas (mensais)'!F261</f>
        <v>0</v>
      </c>
      <c r="I198" s="2128">
        <f>+'Receitas (mensais)'!G261</f>
        <v>0</v>
      </c>
      <c r="J198" s="2128">
        <f>+'Receitas (mensais)'!H261</f>
        <v>0</v>
      </c>
      <c r="K198" s="2128">
        <f>+'Receitas (mensais)'!I261</f>
        <v>0</v>
      </c>
      <c r="L198" s="2128">
        <f>+'Receitas (mensais)'!J261</f>
        <v>0</v>
      </c>
      <c r="M198" s="2128">
        <f>+'Receitas (mensais)'!K261</f>
        <v>0</v>
      </c>
      <c r="N198" s="2128">
        <f>+'Receitas (mensais)'!L261</f>
        <v>0</v>
      </c>
      <c r="O198" s="2128">
        <f>+'Receitas (mensais)'!M261</f>
        <v>0</v>
      </c>
      <c r="P198" s="2128">
        <f>+'Receitas (mensais)'!N261</f>
        <v>0</v>
      </c>
      <c r="Q198" s="2128">
        <f>+'Receitas (mensais)'!O261</f>
        <v>0</v>
      </c>
      <c r="R198" s="2128">
        <f>+'Receitas (mensais)'!P261</f>
        <v>0</v>
      </c>
      <c r="S198" s="2132">
        <f t="shared" si="42"/>
        <v>0</v>
      </c>
      <c r="T198" s="2129"/>
      <c r="U198" s="2129"/>
      <c r="V198" s="2129"/>
      <c r="W198" s="2130"/>
      <c r="X198" s="2096"/>
      <c r="Y198" s="2097"/>
      <c r="AA198" s="2099"/>
    </row>
    <row r="199" spans="1:27" s="2089" customFormat="1" ht="26.25" hidden="1">
      <c r="B199" s="2115" t="s">
        <v>3369</v>
      </c>
      <c r="C199" s="2089" t="str">
        <f>+'Receitas (mensais)'!D263</f>
        <v>Serviços</v>
      </c>
      <c r="F199" s="2147">
        <f>+F200+F206</f>
        <v>3323482.037</v>
      </c>
      <c r="G199" s="2133">
        <f>+G200+G206</f>
        <v>139456.443</v>
      </c>
      <c r="H199" s="2133">
        <f t="shared" ref="H199:R199" si="55">+H200+H206</f>
        <v>160646.41100000002</v>
      </c>
      <c r="I199" s="2133">
        <f t="shared" si="55"/>
        <v>188229.32800000001</v>
      </c>
      <c r="J199" s="2133">
        <f t="shared" si="55"/>
        <v>120259.965</v>
      </c>
      <c r="K199" s="2133">
        <f t="shared" si="55"/>
        <v>340851.03</v>
      </c>
      <c r="L199" s="2133">
        <f t="shared" si="55"/>
        <v>603049.04</v>
      </c>
      <c r="M199" s="2133">
        <f t="shared" si="55"/>
        <v>496498.39899999998</v>
      </c>
      <c r="N199" s="2133">
        <f t="shared" si="55"/>
        <v>288771.31300000002</v>
      </c>
      <c r="O199" s="2133">
        <f t="shared" si="55"/>
        <v>224603.21600000001</v>
      </c>
      <c r="P199" s="2133">
        <f t="shared" si="55"/>
        <v>173659.01700000002</v>
      </c>
      <c r="Q199" s="2133">
        <f t="shared" si="55"/>
        <v>109055.25199999999</v>
      </c>
      <c r="R199" s="2133">
        <f t="shared" si="55"/>
        <v>152358.10499999998</v>
      </c>
      <c r="S199" s="2138">
        <f t="shared" si="42"/>
        <v>2997437.5189999999</v>
      </c>
    </row>
    <row r="200" spans="1:27" s="2131" customFormat="1" ht="26.25" hidden="1">
      <c r="A200" s="2127"/>
      <c r="B200" s="2088" t="s">
        <v>3370</v>
      </c>
      <c r="C200" s="2100" t="str">
        <f>+'Receitas (mensais)'!D264</f>
        <v>Administraçoes publicas</v>
      </c>
      <c r="D200" s="2126"/>
      <c r="E200" s="2128"/>
      <c r="F200" s="2128">
        <f>+SUM(F201:F205)</f>
        <v>3323482.037</v>
      </c>
      <c r="G200" s="2128">
        <f>+SUM(G201:G205)</f>
        <v>139456.443</v>
      </c>
      <c r="H200" s="2128">
        <f t="shared" ref="H200:R200" si="56">+SUM(H201:H205)</f>
        <v>160646.41100000002</v>
      </c>
      <c r="I200" s="2128">
        <f t="shared" si="56"/>
        <v>188229.32800000001</v>
      </c>
      <c r="J200" s="2128">
        <f t="shared" si="56"/>
        <v>120259.965</v>
      </c>
      <c r="K200" s="2128">
        <f t="shared" si="56"/>
        <v>340851.03</v>
      </c>
      <c r="L200" s="2128">
        <f t="shared" si="56"/>
        <v>603049.04</v>
      </c>
      <c r="M200" s="2128">
        <f t="shared" si="56"/>
        <v>496498.39899999998</v>
      </c>
      <c r="N200" s="2128">
        <f t="shared" si="56"/>
        <v>288771.31300000002</v>
      </c>
      <c r="O200" s="2128">
        <f t="shared" si="56"/>
        <v>224603.21600000001</v>
      </c>
      <c r="P200" s="2128">
        <f t="shared" si="56"/>
        <v>173659.01700000002</v>
      </c>
      <c r="Q200" s="2128">
        <f t="shared" si="56"/>
        <v>109055.25199999999</v>
      </c>
      <c r="R200" s="2128">
        <f t="shared" si="56"/>
        <v>152358.10499999998</v>
      </c>
      <c r="S200" s="2132">
        <f t="shared" si="42"/>
        <v>2997437.5189999999</v>
      </c>
      <c r="T200" s="2129"/>
      <c r="U200" s="2129"/>
      <c r="V200" s="2129"/>
      <c r="W200" s="2130"/>
      <c r="X200" s="2096"/>
      <c r="Y200" s="2097"/>
      <c r="AA200" s="2099"/>
    </row>
    <row r="201" spans="1:27" s="2131" customFormat="1" ht="26.25" hidden="1">
      <c r="A201" s="2127"/>
      <c r="B201" s="2088" t="s">
        <v>3372</v>
      </c>
      <c r="C201" s="2100" t="str">
        <f>+'Receitas (mensais)'!D265</f>
        <v xml:space="preserve">            Emol Pess. Admin. Int.</v>
      </c>
      <c r="D201" s="2126"/>
      <c r="E201" s="2128"/>
      <c r="F201" s="2128"/>
      <c r="G201" s="2128">
        <f>+'Receitas (mensais)'!E265</f>
        <v>0</v>
      </c>
      <c r="H201" s="2128">
        <f>+'Receitas (mensais)'!F265</f>
        <v>0</v>
      </c>
      <c r="I201" s="2128">
        <f>+'Receitas (mensais)'!G265</f>
        <v>0</v>
      </c>
      <c r="J201" s="2128">
        <f>+'Receitas (mensais)'!H265</f>
        <v>0</v>
      </c>
      <c r="K201" s="2128">
        <f>+'Receitas (mensais)'!I265</f>
        <v>0</v>
      </c>
      <c r="L201" s="2128">
        <f>+'Receitas (mensais)'!J265</f>
        <v>0</v>
      </c>
      <c r="M201" s="2128">
        <f>+'Receitas (mensais)'!K265</f>
        <v>0</v>
      </c>
      <c r="N201" s="2128">
        <f>+'Receitas (mensais)'!L265</f>
        <v>0</v>
      </c>
      <c r="O201" s="2128">
        <f>+'Receitas (mensais)'!M265</f>
        <v>0</v>
      </c>
      <c r="P201" s="2128">
        <f>+'Receitas (mensais)'!N265</f>
        <v>0</v>
      </c>
      <c r="Q201" s="2128">
        <f>+'Receitas (mensais)'!O265</f>
        <v>0</v>
      </c>
      <c r="R201" s="2128">
        <f>+'Receitas (mensais)'!P265</f>
        <v>0</v>
      </c>
      <c r="S201" s="2132">
        <f t="shared" si="42"/>
        <v>0</v>
      </c>
      <c r="T201" s="2129"/>
      <c r="U201" s="2129"/>
      <c r="V201" s="2129"/>
      <c r="W201" s="2130"/>
      <c r="X201" s="2096"/>
      <c r="Y201" s="2097"/>
      <c r="AA201" s="2099"/>
    </row>
    <row r="202" spans="1:27" s="2131" customFormat="1" ht="26.25" hidden="1">
      <c r="A202" s="2127"/>
      <c r="B202" s="2088" t="s">
        <v>3373</v>
      </c>
      <c r="C202" s="2100" t="str">
        <f>+'Receitas (mensais)'!D266</f>
        <v xml:space="preserve">            Emol Pess. Aduaneiro</v>
      </c>
      <c r="D202" s="2126"/>
      <c r="E202" s="2128"/>
      <c r="F202" s="2128">
        <v>895018.06499999994</v>
      </c>
      <c r="G202" s="2128">
        <f>+'Receitas (mensais)'!E266</f>
        <v>31423.424999999999</v>
      </c>
      <c r="H202" s="2128">
        <f>+'Receitas (mensais)'!F266</f>
        <v>37130.091999999997</v>
      </c>
      <c r="I202" s="2128">
        <f>+'Receitas (mensais)'!G266</f>
        <v>43108.432000000001</v>
      </c>
      <c r="J202" s="2128">
        <f>+'Receitas (mensais)'!H266</f>
        <v>27926.261999999999</v>
      </c>
      <c r="K202" s="2128">
        <f>+'Receitas (mensais)'!I266</f>
        <v>90608.092000000004</v>
      </c>
      <c r="L202" s="2128">
        <f>+'Receitas (mensais)'!J266</f>
        <v>181431.93700000001</v>
      </c>
      <c r="M202" s="2128">
        <f>+'Receitas (mensais)'!K266</f>
        <v>147390.804</v>
      </c>
      <c r="N202" s="2128">
        <f>+'Receitas (mensais)'!L266</f>
        <v>81221.873999999996</v>
      </c>
      <c r="O202" s="2128">
        <f>+'Receitas (mensais)'!M266</f>
        <v>56465.131000000001</v>
      </c>
      <c r="P202" s="2128">
        <f>+'Receitas (mensais)'!N266</f>
        <v>41375.849000000002</v>
      </c>
      <c r="Q202" s="2128">
        <f>+'Receitas (mensais)'!O266</f>
        <v>25270.702000000001</v>
      </c>
      <c r="R202" s="2128">
        <f>+'Receitas (mensais)'!P266</f>
        <v>35808.629999999997</v>
      </c>
      <c r="S202" s="2132">
        <f t="shared" si="42"/>
        <v>799161.2300000001</v>
      </c>
      <c r="T202" s="2129"/>
      <c r="U202" s="2129"/>
      <c r="V202" s="2129"/>
      <c r="W202" s="2130"/>
      <c r="X202" s="2096"/>
      <c r="Y202" s="2097"/>
      <c r="AA202" s="2099"/>
    </row>
    <row r="203" spans="1:27" s="2131" customFormat="1" ht="26.25" hidden="1">
      <c r="A203" s="2127"/>
      <c r="B203" s="2088" t="s">
        <v>3374</v>
      </c>
      <c r="C203" s="2100" t="str">
        <f>+'Receitas (mensais)'!D267</f>
        <v xml:space="preserve">            Emol Pess. Admin Financ.</v>
      </c>
      <c r="D203" s="2126"/>
      <c r="E203" s="2128"/>
      <c r="F203" s="2128"/>
      <c r="G203" s="2128">
        <f>+'Receitas (mensais)'!E267</f>
        <v>0</v>
      </c>
      <c r="H203" s="2128">
        <f>+'Receitas (mensais)'!F267</f>
        <v>0</v>
      </c>
      <c r="I203" s="2128">
        <f>+'Receitas (mensais)'!G267</f>
        <v>0</v>
      </c>
      <c r="J203" s="2128">
        <f>+'Receitas (mensais)'!H267</f>
        <v>0</v>
      </c>
      <c r="K203" s="2128">
        <f>+'Receitas (mensais)'!I267</f>
        <v>0</v>
      </c>
      <c r="L203" s="2128">
        <f>+'Receitas (mensais)'!J267</f>
        <v>0</v>
      </c>
      <c r="M203" s="2128">
        <f>+'Receitas (mensais)'!K267</f>
        <v>0</v>
      </c>
      <c r="N203" s="2128">
        <f>+'Receitas (mensais)'!L267</f>
        <v>0</v>
      </c>
      <c r="O203" s="2128">
        <f>+'Receitas (mensais)'!M267</f>
        <v>0</v>
      </c>
      <c r="P203" s="2128">
        <f>+'Receitas (mensais)'!N267</f>
        <v>0</v>
      </c>
      <c r="Q203" s="2128">
        <f>+'Receitas (mensais)'!O267</f>
        <v>0</v>
      </c>
      <c r="R203" s="2128">
        <f>+'Receitas (mensais)'!P267</f>
        <v>0</v>
      </c>
      <c r="S203" s="2132">
        <f t="shared" si="42"/>
        <v>0</v>
      </c>
      <c r="T203" s="2129"/>
      <c r="U203" s="2129"/>
      <c r="V203" s="2129"/>
      <c r="W203" s="2130"/>
      <c r="X203" s="2096"/>
      <c r="Y203" s="2097"/>
      <c r="AA203" s="2099"/>
    </row>
    <row r="204" spans="1:27" s="2131" customFormat="1" ht="26.25" hidden="1">
      <c r="A204" s="2127"/>
      <c r="B204" s="2088" t="s">
        <v>3375</v>
      </c>
      <c r="C204" s="2100" t="str">
        <f>+'Receitas (mensais)'!D268</f>
        <v xml:space="preserve">            Particip em multas</v>
      </c>
      <c r="D204" s="2126"/>
      <c r="E204" s="2128"/>
      <c r="F204" s="2128"/>
      <c r="G204" s="2128">
        <f>+'Receitas (mensais)'!E268</f>
        <v>1961.249</v>
      </c>
      <c r="H204" s="2128">
        <f>+'Receitas (mensais)'!F268</f>
        <v>847.89300000000003</v>
      </c>
      <c r="I204" s="2128">
        <f>+'Receitas (mensais)'!G268</f>
        <v>142.75</v>
      </c>
      <c r="J204" s="2128">
        <f>+'Receitas (mensais)'!H268</f>
        <v>93.75</v>
      </c>
      <c r="K204" s="2128">
        <f>+'Receitas (mensais)'!I268</f>
        <v>462</v>
      </c>
      <c r="L204" s="2128">
        <f>+'Receitas (mensais)'!J268</f>
        <v>413.73899999999998</v>
      </c>
      <c r="M204" s="2128">
        <f>+'Receitas (mensais)'!K268</f>
        <v>976.072</v>
      </c>
      <c r="N204" s="2128">
        <f>+'Receitas (mensais)'!L268</f>
        <v>993.75</v>
      </c>
      <c r="O204" s="2128">
        <f>+'Receitas (mensais)'!M268</f>
        <v>1200.1400000000001</v>
      </c>
      <c r="P204" s="2128">
        <f>+'Receitas (mensais)'!N268</f>
        <v>1178.1769999999999</v>
      </c>
      <c r="Q204" s="2128">
        <f>+'Receitas (mensais)'!O268</f>
        <v>122.495</v>
      </c>
      <c r="R204" s="2128">
        <f>+'Receitas (mensais)'!P268</f>
        <v>196.02</v>
      </c>
      <c r="S204" s="2132">
        <f t="shared" si="42"/>
        <v>8588.0350000000017</v>
      </c>
      <c r="T204" s="2129"/>
      <c r="U204" s="2129"/>
      <c r="V204" s="2129"/>
      <c r="W204" s="2130"/>
      <c r="X204" s="2096"/>
      <c r="Y204" s="2097"/>
      <c r="AA204" s="2099"/>
    </row>
    <row r="205" spans="1:27" s="2131" customFormat="1" ht="26.25" hidden="1">
      <c r="A205" s="2127"/>
      <c r="B205" s="2088" t="s">
        <v>3376</v>
      </c>
      <c r="C205" s="2100" t="str">
        <f>+'Receitas (mensais)'!D269</f>
        <v xml:space="preserve">            Desloc., Aj. custo, Transp</v>
      </c>
      <c r="D205" s="2126"/>
      <c r="E205" s="2128"/>
      <c r="F205" s="2128">
        <v>2428463.9720000001</v>
      </c>
      <c r="G205" s="2128">
        <f>+'Receitas (mensais)'!E269</f>
        <v>106071.769</v>
      </c>
      <c r="H205" s="2128">
        <f>+'Receitas (mensais)'!F269</f>
        <v>122668.42600000001</v>
      </c>
      <c r="I205" s="2128">
        <f>+'Receitas (mensais)'!G269</f>
        <v>144978.14600000001</v>
      </c>
      <c r="J205" s="2128">
        <f>+'Receitas (mensais)'!H269</f>
        <v>92239.952999999994</v>
      </c>
      <c r="K205" s="2128">
        <f>+'Receitas (mensais)'!I269</f>
        <v>249780.93799999999</v>
      </c>
      <c r="L205" s="2128">
        <f>+'Receitas (mensais)'!J269</f>
        <v>421203.364</v>
      </c>
      <c r="M205" s="2128">
        <f>+'Receitas (mensais)'!K269</f>
        <v>348131.52299999999</v>
      </c>
      <c r="N205" s="2128">
        <f>+'Receitas (mensais)'!L269</f>
        <v>206555.68900000001</v>
      </c>
      <c r="O205" s="2128">
        <f>+'Receitas (mensais)'!M269</f>
        <v>166937.94500000001</v>
      </c>
      <c r="P205" s="2128">
        <f>+'Receitas (mensais)'!N269</f>
        <v>131104.99100000001</v>
      </c>
      <c r="Q205" s="2128">
        <f>+'Receitas (mensais)'!O269</f>
        <v>83662.054999999993</v>
      </c>
      <c r="R205" s="2128">
        <f>+'Receitas (mensais)'!P269</f>
        <v>116353.455</v>
      </c>
      <c r="S205" s="2132">
        <f t="shared" si="42"/>
        <v>2189688.2539999997</v>
      </c>
      <c r="T205" s="2129"/>
      <c r="U205" s="2129"/>
      <c r="V205" s="2129"/>
      <c r="W205" s="2130"/>
      <c r="X205" s="2096"/>
      <c r="Y205" s="2097"/>
      <c r="AA205" s="2099"/>
    </row>
    <row r="206" spans="1:27" s="2131" customFormat="1" ht="26.25" hidden="1">
      <c r="A206" s="2127"/>
      <c r="B206" s="2088" t="s">
        <v>3371</v>
      </c>
      <c r="C206" s="2100" t="str">
        <f>+'Receitas (mensais)'!D270</f>
        <v>Outros sectores</v>
      </c>
      <c r="D206" s="2126"/>
      <c r="E206" s="2128"/>
      <c r="F206" s="2128">
        <f>+SUM(F207:F226)</f>
        <v>0</v>
      </c>
      <c r="G206" s="2128">
        <f>+SUM(G207:G226)</f>
        <v>0</v>
      </c>
      <c r="H206" s="2128">
        <f t="shared" ref="H206:R206" si="57">+SUM(H207:H226)</f>
        <v>0</v>
      </c>
      <c r="I206" s="2128">
        <f t="shared" si="57"/>
        <v>0</v>
      </c>
      <c r="J206" s="2128">
        <f t="shared" si="57"/>
        <v>0</v>
      </c>
      <c r="K206" s="2128">
        <f t="shared" si="57"/>
        <v>0</v>
      </c>
      <c r="L206" s="2128">
        <f t="shared" si="57"/>
        <v>0</v>
      </c>
      <c r="M206" s="2128">
        <f t="shared" si="57"/>
        <v>0</v>
      </c>
      <c r="N206" s="2128">
        <f t="shared" si="57"/>
        <v>0</v>
      </c>
      <c r="O206" s="2128">
        <f t="shared" si="57"/>
        <v>0</v>
      </c>
      <c r="P206" s="2128">
        <f t="shared" si="57"/>
        <v>0</v>
      </c>
      <c r="Q206" s="2128">
        <f t="shared" si="57"/>
        <v>0</v>
      </c>
      <c r="R206" s="2128">
        <f t="shared" si="57"/>
        <v>0</v>
      </c>
      <c r="S206" s="2132">
        <f t="shared" si="42"/>
        <v>0</v>
      </c>
      <c r="T206" s="2129"/>
      <c r="U206" s="2129"/>
      <c r="V206" s="2129"/>
      <c r="W206" s="2130"/>
      <c r="X206" s="2096"/>
      <c r="Y206" s="2097"/>
      <c r="AA206" s="2099"/>
    </row>
    <row r="207" spans="1:27" s="2131" customFormat="1" ht="26.25" hidden="1">
      <c r="A207" s="2127"/>
      <c r="B207" s="2088" t="s">
        <v>3377</v>
      </c>
      <c r="C207" s="2100" t="str">
        <f>+'Receitas (mensais)'!D271</f>
        <v xml:space="preserve">           Emol Pess. Serv. Portuar</v>
      </c>
      <c r="D207" s="2126"/>
      <c r="E207" s="2128"/>
      <c r="F207" s="2128"/>
      <c r="G207" s="2128">
        <f>+'Receitas (mensais)'!E271</f>
        <v>0</v>
      </c>
      <c r="H207" s="2128">
        <f>+'Receitas (mensais)'!F271</f>
        <v>0</v>
      </c>
      <c r="I207" s="2128">
        <f>+'Receitas (mensais)'!G271</f>
        <v>0</v>
      </c>
      <c r="J207" s="2128">
        <f>+'Receitas (mensais)'!H271</f>
        <v>0</v>
      </c>
      <c r="K207" s="2128">
        <f>+'Receitas (mensais)'!I271</f>
        <v>0</v>
      </c>
      <c r="L207" s="2128">
        <f>+'Receitas (mensais)'!J271</f>
        <v>0</v>
      </c>
      <c r="M207" s="2128">
        <f>+'Receitas (mensais)'!K271</f>
        <v>0</v>
      </c>
      <c r="N207" s="2128">
        <f>+'Receitas (mensais)'!L271</f>
        <v>0</v>
      </c>
      <c r="O207" s="2128">
        <f>+'Receitas (mensais)'!M271</f>
        <v>0</v>
      </c>
      <c r="P207" s="2128">
        <f>+'Receitas (mensais)'!N271</f>
        <v>0</v>
      </c>
      <c r="Q207" s="2128">
        <f>+'Receitas (mensais)'!O271</f>
        <v>0</v>
      </c>
      <c r="R207" s="2128">
        <f>+'Receitas (mensais)'!P271</f>
        <v>0</v>
      </c>
      <c r="S207" s="2132">
        <f t="shared" si="42"/>
        <v>0</v>
      </c>
      <c r="T207" s="2129"/>
      <c r="U207" s="2129"/>
      <c r="V207" s="2129"/>
      <c r="W207" s="2130"/>
      <c r="X207" s="2096"/>
      <c r="Y207" s="2097"/>
      <c r="AA207" s="2099"/>
    </row>
    <row r="208" spans="1:27" s="2131" customFormat="1" ht="26.25" hidden="1">
      <c r="A208" s="2127"/>
      <c r="B208" s="2088" t="s">
        <v>3378</v>
      </c>
      <c r="C208" s="2100" t="str">
        <f>+'Receitas (mensais)'!D272</f>
        <v xml:space="preserve">           Transgress Regul Industr</v>
      </c>
      <c r="D208" s="2126"/>
      <c r="E208" s="2128"/>
      <c r="F208" s="2128"/>
      <c r="G208" s="2128">
        <f>+'Receitas (mensais)'!E272</f>
        <v>0</v>
      </c>
      <c r="H208" s="2128">
        <f>+'Receitas (mensais)'!F272</f>
        <v>0</v>
      </c>
      <c r="I208" s="2128">
        <f>+'Receitas (mensais)'!G272</f>
        <v>0</v>
      </c>
      <c r="J208" s="2128">
        <f>+'Receitas (mensais)'!H272</f>
        <v>0</v>
      </c>
      <c r="K208" s="2128">
        <f>+'Receitas (mensais)'!I272</f>
        <v>0</v>
      </c>
      <c r="L208" s="2128">
        <f>+'Receitas (mensais)'!J272</f>
        <v>0</v>
      </c>
      <c r="M208" s="2128">
        <f>+'Receitas (mensais)'!K272</f>
        <v>0</v>
      </c>
      <c r="N208" s="2128">
        <f>+'Receitas (mensais)'!L272</f>
        <v>0</v>
      </c>
      <c r="O208" s="2128">
        <f>+'Receitas (mensais)'!M272</f>
        <v>0</v>
      </c>
      <c r="P208" s="2128">
        <f>+'Receitas (mensais)'!N272</f>
        <v>0</v>
      </c>
      <c r="Q208" s="2128">
        <f>+'Receitas (mensais)'!O272</f>
        <v>0</v>
      </c>
      <c r="R208" s="2128">
        <f>+'Receitas (mensais)'!P272</f>
        <v>0</v>
      </c>
      <c r="S208" s="2132">
        <f t="shared" si="42"/>
        <v>0</v>
      </c>
      <c r="T208" s="2129"/>
      <c r="U208" s="2129"/>
      <c r="V208" s="2129"/>
      <c r="W208" s="2130"/>
      <c r="X208" s="2096"/>
      <c r="Y208" s="2097"/>
      <c r="AA208" s="2099"/>
    </row>
    <row r="209" spans="1:27" s="2131" customFormat="1" ht="26.25" hidden="1">
      <c r="A209" s="2127"/>
      <c r="B209" s="2088" t="s">
        <v>3379</v>
      </c>
      <c r="C209" s="2100" t="str">
        <f>+'Receitas (mensais)'!D273</f>
        <v xml:space="preserve">            Emol Pess Medical</v>
      </c>
      <c r="D209" s="2126"/>
      <c r="E209" s="2128"/>
      <c r="F209" s="2128"/>
      <c r="G209" s="2128">
        <f>+'Receitas (mensais)'!E273</f>
        <v>0</v>
      </c>
      <c r="H209" s="2128">
        <f>+'Receitas (mensais)'!F273</f>
        <v>0</v>
      </c>
      <c r="I209" s="2128">
        <f>+'Receitas (mensais)'!G273</f>
        <v>0</v>
      </c>
      <c r="J209" s="2128">
        <f>+'Receitas (mensais)'!H273</f>
        <v>0</v>
      </c>
      <c r="K209" s="2128">
        <f>+'Receitas (mensais)'!I273</f>
        <v>0</v>
      </c>
      <c r="L209" s="2128">
        <f>+'Receitas (mensais)'!J273</f>
        <v>0</v>
      </c>
      <c r="M209" s="2128">
        <f>+'Receitas (mensais)'!K273</f>
        <v>0</v>
      </c>
      <c r="N209" s="2128">
        <f>+'Receitas (mensais)'!L273</f>
        <v>0</v>
      </c>
      <c r="O209" s="2128">
        <f>+'Receitas (mensais)'!M273</f>
        <v>0</v>
      </c>
      <c r="P209" s="2128">
        <f>+'Receitas (mensais)'!N273</f>
        <v>0</v>
      </c>
      <c r="Q209" s="2128">
        <f>+'Receitas (mensais)'!O273</f>
        <v>0</v>
      </c>
      <c r="R209" s="2128">
        <f>+'Receitas (mensais)'!P273</f>
        <v>0</v>
      </c>
      <c r="S209" s="2132">
        <f t="shared" ref="S209:S229" si="58">+SUM(G209:R209)</f>
        <v>0</v>
      </c>
      <c r="T209" s="2129"/>
      <c r="U209" s="2129"/>
      <c r="V209" s="2129"/>
      <c r="W209" s="2130"/>
      <c r="X209" s="2096"/>
      <c r="Y209" s="2097"/>
      <c r="AA209" s="2099"/>
    </row>
    <row r="210" spans="1:27" s="2131" customFormat="1" ht="26.25" hidden="1">
      <c r="A210" s="2127"/>
      <c r="B210" s="2088" t="s">
        <v>3380</v>
      </c>
      <c r="C210" s="2100" t="str">
        <f>+'Receitas (mensais)'!D274</f>
        <v xml:space="preserve">            Vistorias-Serv Comercio</v>
      </c>
      <c r="D210" s="2126"/>
      <c r="E210" s="2128"/>
      <c r="F210" s="2128"/>
      <c r="G210" s="2128">
        <f>+'Receitas (mensais)'!E274</f>
        <v>0</v>
      </c>
      <c r="H210" s="2128">
        <f>+'Receitas (mensais)'!F274</f>
        <v>0</v>
      </c>
      <c r="I210" s="2128">
        <f>+'Receitas (mensais)'!G274</f>
        <v>0</v>
      </c>
      <c r="J210" s="2128">
        <f>+'Receitas (mensais)'!H274</f>
        <v>0</v>
      </c>
      <c r="K210" s="2128">
        <f>+'Receitas (mensais)'!I274</f>
        <v>0</v>
      </c>
      <c r="L210" s="2128">
        <f>+'Receitas (mensais)'!J274</f>
        <v>0</v>
      </c>
      <c r="M210" s="2128">
        <f>+'Receitas (mensais)'!K274</f>
        <v>0</v>
      </c>
      <c r="N210" s="2128">
        <f>+'Receitas (mensais)'!L274</f>
        <v>0</v>
      </c>
      <c r="O210" s="2128">
        <f>+'Receitas (mensais)'!M274</f>
        <v>0</v>
      </c>
      <c r="P210" s="2128">
        <f>+'Receitas (mensais)'!N274</f>
        <v>0</v>
      </c>
      <c r="Q210" s="2128">
        <f>+'Receitas (mensais)'!O274</f>
        <v>0</v>
      </c>
      <c r="R210" s="2128">
        <f>+'Receitas (mensais)'!P274</f>
        <v>0</v>
      </c>
      <c r="S210" s="2132">
        <f t="shared" si="58"/>
        <v>0</v>
      </c>
      <c r="T210" s="2129"/>
      <c r="U210" s="2129"/>
      <c r="V210" s="2129"/>
      <c r="W210" s="2130"/>
      <c r="X210" s="2096"/>
      <c r="Y210" s="2097"/>
      <c r="AA210" s="2099"/>
    </row>
    <row r="211" spans="1:27" s="2131" customFormat="1" ht="26.25" hidden="1">
      <c r="A211" s="2127"/>
      <c r="B211" s="2088" t="s">
        <v>3381</v>
      </c>
      <c r="C211" s="2100" t="str">
        <f>+'Receitas (mensais)'!D275</f>
        <v xml:space="preserve">            Vistorias-Serv Maritimos</v>
      </c>
      <c r="D211" s="2126"/>
      <c r="E211" s="2128"/>
      <c r="F211" s="2128"/>
      <c r="G211" s="2128">
        <f>+'Receitas (mensais)'!E275</f>
        <v>0</v>
      </c>
      <c r="H211" s="2128">
        <f>+'Receitas (mensais)'!F275</f>
        <v>0</v>
      </c>
      <c r="I211" s="2128">
        <f>+'Receitas (mensais)'!G275</f>
        <v>0</v>
      </c>
      <c r="J211" s="2128">
        <f>+'Receitas (mensais)'!H275</f>
        <v>0</v>
      </c>
      <c r="K211" s="2128">
        <f>+'Receitas (mensais)'!I275</f>
        <v>0</v>
      </c>
      <c r="L211" s="2128">
        <f>+'Receitas (mensais)'!J275</f>
        <v>0</v>
      </c>
      <c r="M211" s="2128">
        <f>+'Receitas (mensais)'!K275</f>
        <v>0</v>
      </c>
      <c r="N211" s="2128">
        <f>+'Receitas (mensais)'!L275</f>
        <v>0</v>
      </c>
      <c r="O211" s="2128">
        <f>+'Receitas (mensais)'!M275</f>
        <v>0</v>
      </c>
      <c r="P211" s="2128">
        <f>+'Receitas (mensais)'!N275</f>
        <v>0</v>
      </c>
      <c r="Q211" s="2128">
        <f>+'Receitas (mensais)'!O275</f>
        <v>0</v>
      </c>
      <c r="R211" s="2128">
        <f>+'Receitas (mensais)'!P275</f>
        <v>0</v>
      </c>
      <c r="S211" s="2132">
        <f t="shared" si="58"/>
        <v>0</v>
      </c>
      <c r="T211" s="2129"/>
      <c r="U211" s="2129"/>
      <c r="V211" s="2129"/>
      <c r="W211" s="2130"/>
      <c r="X211" s="2096"/>
      <c r="Y211" s="2097"/>
      <c r="AA211" s="2099"/>
    </row>
    <row r="212" spans="1:27" s="2131" customFormat="1" ht="26.25" hidden="1">
      <c r="A212" s="2127"/>
      <c r="B212" s="2088" t="s">
        <v>3382</v>
      </c>
      <c r="C212" s="2100" t="str">
        <f>+'Receitas (mensais)'!D276</f>
        <v xml:space="preserve">            Vistorias-Serv de Viaçao</v>
      </c>
      <c r="D212" s="2126"/>
      <c r="E212" s="2128"/>
      <c r="F212" s="2128"/>
      <c r="G212" s="2128">
        <f>+'Receitas (mensais)'!E276</f>
        <v>0</v>
      </c>
      <c r="H212" s="2128">
        <f>+'Receitas (mensais)'!F276</f>
        <v>0</v>
      </c>
      <c r="I212" s="2128">
        <f>+'Receitas (mensais)'!G276</f>
        <v>0</v>
      </c>
      <c r="J212" s="2128">
        <f>+'Receitas (mensais)'!H276</f>
        <v>0</v>
      </c>
      <c r="K212" s="2128">
        <f>+'Receitas (mensais)'!I276</f>
        <v>0</v>
      </c>
      <c r="L212" s="2128">
        <f>+'Receitas (mensais)'!J276</f>
        <v>0</v>
      </c>
      <c r="M212" s="2128">
        <f>+'Receitas (mensais)'!K276</f>
        <v>0</v>
      </c>
      <c r="N212" s="2128">
        <f>+'Receitas (mensais)'!L276</f>
        <v>0</v>
      </c>
      <c r="O212" s="2128">
        <f>+'Receitas (mensais)'!M276</f>
        <v>0</v>
      </c>
      <c r="P212" s="2128">
        <f>+'Receitas (mensais)'!N276</f>
        <v>0</v>
      </c>
      <c r="Q212" s="2128">
        <f>+'Receitas (mensais)'!O276</f>
        <v>0</v>
      </c>
      <c r="R212" s="2128">
        <f>+'Receitas (mensais)'!P276</f>
        <v>0</v>
      </c>
      <c r="S212" s="2132">
        <f t="shared" si="58"/>
        <v>0</v>
      </c>
      <c r="T212" s="2129"/>
      <c r="U212" s="2129"/>
      <c r="V212" s="2129"/>
      <c r="W212" s="2130"/>
      <c r="X212" s="2096"/>
      <c r="Y212" s="2097"/>
      <c r="AA212" s="2099"/>
    </row>
    <row r="213" spans="1:27" s="2131" customFormat="1" ht="26.25" hidden="1">
      <c r="A213" s="2127"/>
      <c r="B213" s="2088" t="s">
        <v>3383</v>
      </c>
      <c r="C213" s="2100" t="str">
        <f>+'Receitas (mensais)'!D277</f>
        <v xml:space="preserve">            Vistorias-Serv diversos</v>
      </c>
      <c r="D213" s="2126"/>
      <c r="E213" s="2128"/>
      <c r="F213" s="2128"/>
      <c r="G213" s="2128">
        <f>+'Receitas (mensais)'!E277</f>
        <v>0</v>
      </c>
      <c r="H213" s="2128">
        <f>+'Receitas (mensais)'!F277</f>
        <v>0</v>
      </c>
      <c r="I213" s="2128">
        <f>+'Receitas (mensais)'!G277</f>
        <v>0</v>
      </c>
      <c r="J213" s="2128">
        <f>+'Receitas (mensais)'!H277</f>
        <v>0</v>
      </c>
      <c r="K213" s="2128">
        <f>+'Receitas (mensais)'!I277</f>
        <v>0</v>
      </c>
      <c r="L213" s="2128">
        <f>+'Receitas (mensais)'!J277</f>
        <v>0</v>
      </c>
      <c r="M213" s="2128">
        <f>+'Receitas (mensais)'!K277</f>
        <v>0</v>
      </c>
      <c r="N213" s="2128">
        <f>+'Receitas (mensais)'!L277</f>
        <v>0</v>
      </c>
      <c r="O213" s="2128">
        <f>+'Receitas (mensais)'!M277</f>
        <v>0</v>
      </c>
      <c r="P213" s="2128">
        <f>+'Receitas (mensais)'!N277</f>
        <v>0</v>
      </c>
      <c r="Q213" s="2128">
        <f>+'Receitas (mensais)'!O277</f>
        <v>0</v>
      </c>
      <c r="R213" s="2128">
        <f>+'Receitas (mensais)'!P277</f>
        <v>0</v>
      </c>
      <c r="S213" s="2132">
        <f t="shared" si="58"/>
        <v>0</v>
      </c>
      <c r="T213" s="2129"/>
      <c r="U213" s="2129"/>
      <c r="V213" s="2129"/>
      <c r="W213" s="2130"/>
      <c r="X213" s="2096"/>
      <c r="Y213" s="2097"/>
      <c r="AA213" s="2099"/>
    </row>
    <row r="214" spans="1:27" s="2131" customFormat="1" ht="26.25" hidden="1">
      <c r="A214" s="2127"/>
      <c r="B214" s="2088" t="s">
        <v>3384</v>
      </c>
      <c r="C214" s="2100" t="str">
        <f>+'Receitas (mensais)'!D278</f>
        <v xml:space="preserve">             Serv. Recursos agro-flor.</v>
      </c>
      <c r="D214" s="2126"/>
      <c r="E214" s="2128"/>
      <c r="F214" s="2128"/>
      <c r="G214" s="2128">
        <f>+'Receitas (mensais)'!E278</f>
        <v>0</v>
      </c>
      <c r="H214" s="2128">
        <f>+'Receitas (mensais)'!F278</f>
        <v>0</v>
      </c>
      <c r="I214" s="2128">
        <f>+'Receitas (mensais)'!G278</f>
        <v>0</v>
      </c>
      <c r="J214" s="2128">
        <f>+'Receitas (mensais)'!H278</f>
        <v>0</v>
      </c>
      <c r="K214" s="2128">
        <f>+'Receitas (mensais)'!I278</f>
        <v>0</v>
      </c>
      <c r="L214" s="2128">
        <f>+'Receitas (mensais)'!J278</f>
        <v>0</v>
      </c>
      <c r="M214" s="2128">
        <f>+'Receitas (mensais)'!K278</f>
        <v>0</v>
      </c>
      <c r="N214" s="2128">
        <f>+'Receitas (mensais)'!L278</f>
        <v>0</v>
      </c>
      <c r="O214" s="2128">
        <f>+'Receitas (mensais)'!M278</f>
        <v>0</v>
      </c>
      <c r="P214" s="2128">
        <f>+'Receitas (mensais)'!N278</f>
        <v>0</v>
      </c>
      <c r="Q214" s="2128">
        <f>+'Receitas (mensais)'!O278</f>
        <v>0</v>
      </c>
      <c r="R214" s="2128">
        <f>+'Receitas (mensais)'!P278</f>
        <v>0</v>
      </c>
      <c r="S214" s="2132">
        <f t="shared" si="58"/>
        <v>0</v>
      </c>
      <c r="T214" s="2129"/>
      <c r="U214" s="2129"/>
      <c r="V214" s="2129"/>
      <c r="W214" s="2130"/>
      <c r="X214" s="2096"/>
      <c r="Y214" s="2097"/>
      <c r="AA214" s="2099"/>
    </row>
    <row r="215" spans="1:27" s="2131" customFormat="1" ht="26.25" hidden="1">
      <c r="A215" s="2127"/>
      <c r="B215" s="2088" t="s">
        <v>3385</v>
      </c>
      <c r="C215" s="2100" t="str">
        <f>+'Receitas (mensais)'!D279</f>
        <v xml:space="preserve">             Serv. Aduan. - Armazen.</v>
      </c>
      <c r="D215" s="2126"/>
      <c r="E215" s="2128"/>
      <c r="F215" s="2128"/>
      <c r="G215" s="2128">
        <f>+'Receitas (mensais)'!E279</f>
        <v>0</v>
      </c>
      <c r="H215" s="2128">
        <f>+'Receitas (mensais)'!F279</f>
        <v>0</v>
      </c>
      <c r="I215" s="2128">
        <f>+'Receitas (mensais)'!G279</f>
        <v>0</v>
      </c>
      <c r="J215" s="2128">
        <f>+'Receitas (mensais)'!H279</f>
        <v>0</v>
      </c>
      <c r="K215" s="2128">
        <f>+'Receitas (mensais)'!I279</f>
        <v>0</v>
      </c>
      <c r="L215" s="2128">
        <f>+'Receitas (mensais)'!J279</f>
        <v>0</v>
      </c>
      <c r="M215" s="2128">
        <f>+'Receitas (mensais)'!K279</f>
        <v>0</v>
      </c>
      <c r="N215" s="2128">
        <f>+'Receitas (mensais)'!L279</f>
        <v>0</v>
      </c>
      <c r="O215" s="2128">
        <f>+'Receitas (mensais)'!M279</f>
        <v>0</v>
      </c>
      <c r="P215" s="2128">
        <f>+'Receitas (mensais)'!N279</f>
        <v>0</v>
      </c>
      <c r="Q215" s="2128">
        <f>+'Receitas (mensais)'!O279</f>
        <v>0</v>
      </c>
      <c r="R215" s="2128">
        <f>+'Receitas (mensais)'!P279</f>
        <v>0</v>
      </c>
      <c r="S215" s="2132">
        <f t="shared" si="58"/>
        <v>0</v>
      </c>
      <c r="T215" s="2129"/>
      <c r="U215" s="2129"/>
      <c r="V215" s="2129"/>
      <c r="W215" s="2130"/>
      <c r="X215" s="2096"/>
      <c r="Y215" s="2097"/>
      <c r="AA215" s="2099"/>
    </row>
    <row r="216" spans="1:27" s="2131" customFormat="1" ht="26.25" hidden="1">
      <c r="A216" s="2127"/>
      <c r="B216" s="2088" t="s">
        <v>3386</v>
      </c>
      <c r="C216" s="2100" t="str">
        <f>+'Receitas (mensais)'!D280</f>
        <v xml:space="preserve">             Serv Aduan. - Imp. tonelag</v>
      </c>
      <c r="D216" s="2126"/>
      <c r="E216" s="2128"/>
      <c r="F216" s="2128"/>
      <c r="G216" s="2128">
        <f>+'Receitas (mensais)'!E280</f>
        <v>0</v>
      </c>
      <c r="H216" s="2128">
        <f>+'Receitas (mensais)'!F280</f>
        <v>0</v>
      </c>
      <c r="I216" s="2128">
        <f>+'Receitas (mensais)'!G280</f>
        <v>0</v>
      </c>
      <c r="J216" s="2128">
        <f>+'Receitas (mensais)'!H280</f>
        <v>0</v>
      </c>
      <c r="K216" s="2128">
        <f>+'Receitas (mensais)'!I280</f>
        <v>0</v>
      </c>
      <c r="L216" s="2128">
        <f>+'Receitas (mensais)'!J280</f>
        <v>0</v>
      </c>
      <c r="M216" s="2128">
        <f>+'Receitas (mensais)'!K280</f>
        <v>0</v>
      </c>
      <c r="N216" s="2128">
        <f>+'Receitas (mensais)'!L280</f>
        <v>0</v>
      </c>
      <c r="O216" s="2128">
        <f>+'Receitas (mensais)'!M280</f>
        <v>0</v>
      </c>
      <c r="P216" s="2128">
        <f>+'Receitas (mensais)'!N280</f>
        <v>0</v>
      </c>
      <c r="Q216" s="2128">
        <f>+'Receitas (mensais)'!O280</f>
        <v>0</v>
      </c>
      <c r="R216" s="2128">
        <f>+'Receitas (mensais)'!P280</f>
        <v>0</v>
      </c>
      <c r="S216" s="2132">
        <f t="shared" si="58"/>
        <v>0</v>
      </c>
      <c r="T216" s="2129"/>
      <c r="U216" s="2129"/>
      <c r="V216" s="2129"/>
      <c r="W216" s="2130"/>
      <c r="X216" s="2096"/>
      <c r="Y216" s="2097"/>
      <c r="AA216" s="2099"/>
    </row>
    <row r="217" spans="1:27" s="2131" customFormat="1" ht="26.25" hidden="1">
      <c r="A217" s="2127"/>
      <c r="B217" s="2088" t="s">
        <v>3387</v>
      </c>
      <c r="C217" s="2100" t="str">
        <f>+'Receitas (mensais)'!D281</f>
        <v xml:space="preserve">             Serv. de Farmacia</v>
      </c>
      <c r="D217" s="2126"/>
      <c r="E217" s="2128"/>
      <c r="F217" s="2128"/>
      <c r="G217" s="2128">
        <f>+'Receitas (mensais)'!E281</f>
        <v>0</v>
      </c>
      <c r="H217" s="2128">
        <f>+'Receitas (mensais)'!F281</f>
        <v>0</v>
      </c>
      <c r="I217" s="2128">
        <f>+'Receitas (mensais)'!G281</f>
        <v>0</v>
      </c>
      <c r="J217" s="2128">
        <f>+'Receitas (mensais)'!H281</f>
        <v>0</v>
      </c>
      <c r="K217" s="2128">
        <f>+'Receitas (mensais)'!I281</f>
        <v>0</v>
      </c>
      <c r="L217" s="2128">
        <f>+'Receitas (mensais)'!J281</f>
        <v>0</v>
      </c>
      <c r="M217" s="2128">
        <f>+'Receitas (mensais)'!K281</f>
        <v>0</v>
      </c>
      <c r="N217" s="2128">
        <f>+'Receitas (mensais)'!L281</f>
        <v>0</v>
      </c>
      <c r="O217" s="2128">
        <f>+'Receitas (mensais)'!M281</f>
        <v>0</v>
      </c>
      <c r="P217" s="2128">
        <f>+'Receitas (mensais)'!N281</f>
        <v>0</v>
      </c>
      <c r="Q217" s="2128">
        <f>+'Receitas (mensais)'!O281</f>
        <v>0</v>
      </c>
      <c r="R217" s="2128">
        <f>+'Receitas (mensais)'!P281</f>
        <v>0</v>
      </c>
      <c r="S217" s="2132">
        <f t="shared" si="58"/>
        <v>0</v>
      </c>
      <c r="T217" s="2129"/>
      <c r="U217" s="2129"/>
      <c r="V217" s="2129"/>
      <c r="W217" s="2130"/>
      <c r="X217" s="2096"/>
      <c r="Y217" s="2097"/>
      <c r="AA217" s="2099"/>
    </row>
    <row r="218" spans="1:27" s="2131" customFormat="1" ht="26.25" hidden="1">
      <c r="A218" s="2127"/>
      <c r="B218" s="2088" t="s">
        <v>3388</v>
      </c>
      <c r="C218" s="2100" t="str">
        <f>+'Receitas (mensais)'!D282</f>
        <v xml:space="preserve">             Serv. médico-hospitalares</v>
      </c>
      <c r="D218" s="2126"/>
      <c r="E218" s="2128"/>
      <c r="F218" s="2128"/>
      <c r="G218" s="2128">
        <f>+'Receitas (mensais)'!E282</f>
        <v>0</v>
      </c>
      <c r="H218" s="2128">
        <f>+'Receitas (mensais)'!F282</f>
        <v>0</v>
      </c>
      <c r="I218" s="2128">
        <f>+'Receitas (mensais)'!G282</f>
        <v>0</v>
      </c>
      <c r="J218" s="2128">
        <f>+'Receitas (mensais)'!H282</f>
        <v>0</v>
      </c>
      <c r="K218" s="2128">
        <f>+'Receitas (mensais)'!I282</f>
        <v>0</v>
      </c>
      <c r="L218" s="2128">
        <f>+'Receitas (mensais)'!J282</f>
        <v>0</v>
      </c>
      <c r="M218" s="2128">
        <f>+'Receitas (mensais)'!K282</f>
        <v>0</v>
      </c>
      <c r="N218" s="2128">
        <f>+'Receitas (mensais)'!L282</f>
        <v>0</v>
      </c>
      <c r="O218" s="2128">
        <f>+'Receitas (mensais)'!M282</f>
        <v>0</v>
      </c>
      <c r="P218" s="2128">
        <f>+'Receitas (mensais)'!N282</f>
        <v>0</v>
      </c>
      <c r="Q218" s="2128">
        <f>+'Receitas (mensais)'!O282</f>
        <v>0</v>
      </c>
      <c r="R218" s="2128">
        <f>+'Receitas (mensais)'!P282</f>
        <v>0</v>
      </c>
      <c r="S218" s="2132">
        <f t="shared" si="58"/>
        <v>0</v>
      </c>
      <c r="T218" s="2129"/>
      <c r="U218" s="2129"/>
      <c r="V218" s="2129"/>
      <c r="W218" s="2130"/>
      <c r="X218" s="2096"/>
      <c r="Y218" s="2097"/>
      <c r="AA218" s="2099"/>
    </row>
    <row r="219" spans="1:27" s="2131" customFormat="1" ht="26.25" hidden="1">
      <c r="A219" s="2127"/>
      <c r="B219" s="2088" t="s">
        <v>3389</v>
      </c>
      <c r="C219" s="2100" t="str">
        <f>+'Receitas (mensais)'!D283</f>
        <v xml:space="preserve">             Serv. de Laboratorios</v>
      </c>
      <c r="D219" s="2126"/>
      <c r="E219" s="2128"/>
      <c r="F219" s="2128"/>
      <c r="G219" s="2128">
        <f>+'Receitas (mensais)'!E283</f>
        <v>0</v>
      </c>
      <c r="H219" s="2128">
        <f>+'Receitas (mensais)'!F283</f>
        <v>0</v>
      </c>
      <c r="I219" s="2128">
        <f>+'Receitas (mensais)'!G283</f>
        <v>0</v>
      </c>
      <c r="J219" s="2128">
        <f>+'Receitas (mensais)'!H283</f>
        <v>0</v>
      </c>
      <c r="K219" s="2128">
        <f>+'Receitas (mensais)'!I283</f>
        <v>0</v>
      </c>
      <c r="L219" s="2128">
        <f>+'Receitas (mensais)'!J283</f>
        <v>0</v>
      </c>
      <c r="M219" s="2128">
        <f>+'Receitas (mensais)'!K283</f>
        <v>0</v>
      </c>
      <c r="N219" s="2128">
        <f>+'Receitas (mensais)'!L283</f>
        <v>0</v>
      </c>
      <c r="O219" s="2128">
        <f>+'Receitas (mensais)'!M283</f>
        <v>0</v>
      </c>
      <c r="P219" s="2128">
        <f>+'Receitas (mensais)'!N283</f>
        <v>0</v>
      </c>
      <c r="Q219" s="2128">
        <f>+'Receitas (mensais)'!O283</f>
        <v>0</v>
      </c>
      <c r="R219" s="2128">
        <f>+'Receitas (mensais)'!P283</f>
        <v>0</v>
      </c>
      <c r="S219" s="2132">
        <f t="shared" si="58"/>
        <v>0</v>
      </c>
      <c r="T219" s="2129"/>
      <c r="U219" s="2129"/>
      <c r="V219" s="2129"/>
      <c r="W219" s="2130"/>
      <c r="X219" s="2096"/>
      <c r="Y219" s="2097"/>
      <c r="AA219" s="2099"/>
    </row>
    <row r="220" spans="1:27" s="2131" customFormat="1" ht="26.25" hidden="1">
      <c r="A220" s="2127"/>
      <c r="B220" s="2088" t="s">
        <v>3390</v>
      </c>
      <c r="C220" s="2100" t="str">
        <f>+'Receitas (mensais)'!D284</f>
        <v xml:space="preserve">             Serv. Radiol. Fisioter.</v>
      </c>
      <c r="D220" s="2126"/>
      <c r="E220" s="2128"/>
      <c r="F220" s="2128"/>
      <c r="G220" s="2128">
        <f>+'Receitas (mensais)'!E284</f>
        <v>0</v>
      </c>
      <c r="H220" s="2128">
        <f>+'Receitas (mensais)'!F284</f>
        <v>0</v>
      </c>
      <c r="I220" s="2128">
        <f>+'Receitas (mensais)'!G284</f>
        <v>0</v>
      </c>
      <c r="J220" s="2128">
        <f>+'Receitas (mensais)'!H284</f>
        <v>0</v>
      </c>
      <c r="K220" s="2128">
        <f>+'Receitas (mensais)'!I284</f>
        <v>0</v>
      </c>
      <c r="L220" s="2128">
        <f>+'Receitas (mensais)'!J284</f>
        <v>0</v>
      </c>
      <c r="M220" s="2128">
        <f>+'Receitas (mensais)'!K284</f>
        <v>0</v>
      </c>
      <c r="N220" s="2128">
        <f>+'Receitas (mensais)'!L284</f>
        <v>0</v>
      </c>
      <c r="O220" s="2128">
        <f>+'Receitas (mensais)'!M284</f>
        <v>0</v>
      </c>
      <c r="P220" s="2128">
        <f>+'Receitas (mensais)'!N284</f>
        <v>0</v>
      </c>
      <c r="Q220" s="2128">
        <f>+'Receitas (mensais)'!O284</f>
        <v>0</v>
      </c>
      <c r="R220" s="2128">
        <f>+'Receitas (mensais)'!P284</f>
        <v>0</v>
      </c>
      <c r="S220" s="2132">
        <f t="shared" si="58"/>
        <v>0</v>
      </c>
      <c r="T220" s="2129"/>
      <c r="U220" s="2129"/>
      <c r="V220" s="2129"/>
      <c r="W220" s="2130"/>
      <c r="X220" s="2096"/>
      <c r="Y220" s="2097"/>
      <c r="AA220" s="2099"/>
    </row>
    <row r="221" spans="1:27" s="2131" customFormat="1" ht="26.25" hidden="1">
      <c r="A221" s="2127"/>
      <c r="B221" s="2088" t="s">
        <v>3391</v>
      </c>
      <c r="C221" s="2100" t="str">
        <f>+'Receitas (mensais)'!D285</f>
        <v xml:space="preserve">             Serv. de Jornais</v>
      </c>
      <c r="D221" s="2126"/>
      <c r="E221" s="2128"/>
      <c r="F221" s="2128"/>
      <c r="G221" s="2128">
        <f>+'Receitas (mensais)'!E285</f>
        <v>0</v>
      </c>
      <c r="H221" s="2128">
        <f>+'Receitas (mensais)'!F285</f>
        <v>0</v>
      </c>
      <c r="I221" s="2128">
        <f>+'Receitas (mensais)'!G285</f>
        <v>0</v>
      </c>
      <c r="J221" s="2128">
        <f>+'Receitas (mensais)'!H285</f>
        <v>0</v>
      </c>
      <c r="K221" s="2128">
        <f>+'Receitas (mensais)'!I285</f>
        <v>0</v>
      </c>
      <c r="L221" s="2128">
        <f>+'Receitas (mensais)'!J285</f>
        <v>0</v>
      </c>
      <c r="M221" s="2128">
        <f>+'Receitas (mensais)'!K285</f>
        <v>0</v>
      </c>
      <c r="N221" s="2128">
        <f>+'Receitas (mensais)'!L285</f>
        <v>0</v>
      </c>
      <c r="O221" s="2128">
        <f>+'Receitas (mensais)'!M285</f>
        <v>0</v>
      </c>
      <c r="P221" s="2128">
        <f>+'Receitas (mensais)'!N285</f>
        <v>0</v>
      </c>
      <c r="Q221" s="2128">
        <f>+'Receitas (mensais)'!O285</f>
        <v>0</v>
      </c>
      <c r="R221" s="2128">
        <f>+'Receitas (mensais)'!P285</f>
        <v>0</v>
      </c>
      <c r="S221" s="2132">
        <f t="shared" si="58"/>
        <v>0</v>
      </c>
      <c r="T221" s="2129"/>
      <c r="U221" s="2129"/>
      <c r="V221" s="2129"/>
      <c r="W221" s="2130"/>
      <c r="X221" s="2096"/>
      <c r="Y221" s="2097"/>
      <c r="AA221" s="2099"/>
    </row>
    <row r="222" spans="1:27" s="2131" customFormat="1" ht="26.25" hidden="1">
      <c r="A222" s="2127"/>
      <c r="B222" s="2088" t="s">
        <v>3392</v>
      </c>
      <c r="C222" s="2100" t="str">
        <f>+'Receitas (mensais)'!D286</f>
        <v xml:space="preserve">             Serv. de Radiodifusao</v>
      </c>
      <c r="D222" s="2126"/>
      <c r="E222" s="2128"/>
      <c r="F222" s="2128"/>
      <c r="G222" s="2128">
        <f>+'Receitas (mensais)'!E286</f>
        <v>0</v>
      </c>
      <c r="H222" s="2128">
        <f>+'Receitas (mensais)'!F286</f>
        <v>0</v>
      </c>
      <c r="I222" s="2128">
        <f>+'Receitas (mensais)'!G286</f>
        <v>0</v>
      </c>
      <c r="J222" s="2128">
        <f>+'Receitas (mensais)'!H286</f>
        <v>0</v>
      </c>
      <c r="K222" s="2128">
        <f>+'Receitas (mensais)'!I286</f>
        <v>0</v>
      </c>
      <c r="L222" s="2128">
        <f>+'Receitas (mensais)'!J286</f>
        <v>0</v>
      </c>
      <c r="M222" s="2128">
        <f>+'Receitas (mensais)'!K286</f>
        <v>0</v>
      </c>
      <c r="N222" s="2128">
        <f>+'Receitas (mensais)'!L286</f>
        <v>0</v>
      </c>
      <c r="O222" s="2128">
        <f>+'Receitas (mensais)'!M286</f>
        <v>0</v>
      </c>
      <c r="P222" s="2128">
        <f>+'Receitas (mensais)'!N286</f>
        <v>0</v>
      </c>
      <c r="Q222" s="2128">
        <f>+'Receitas (mensais)'!O286</f>
        <v>0</v>
      </c>
      <c r="R222" s="2128">
        <f>+'Receitas (mensais)'!P286</f>
        <v>0</v>
      </c>
      <c r="S222" s="2132">
        <f t="shared" si="58"/>
        <v>0</v>
      </c>
      <c r="T222" s="2129"/>
      <c r="U222" s="2129"/>
      <c r="V222" s="2129"/>
      <c r="W222" s="2130"/>
      <c r="X222" s="2096"/>
      <c r="Y222" s="2097"/>
      <c r="AA222" s="2099"/>
    </row>
    <row r="223" spans="1:27" s="2131" customFormat="1" ht="26.25" hidden="1">
      <c r="A223" s="2127"/>
      <c r="B223" s="2088" t="s">
        <v>3393</v>
      </c>
      <c r="C223" s="2100" t="str">
        <f>+'Receitas (mensais)'!D287</f>
        <v xml:space="preserve">             Serv. Activ. Desp./Cultur</v>
      </c>
      <c r="D223" s="2126"/>
      <c r="E223" s="2128"/>
      <c r="F223" s="2128"/>
      <c r="G223" s="2128">
        <f>+'Receitas (mensais)'!E287</f>
        <v>0</v>
      </c>
      <c r="H223" s="2128">
        <f>+'Receitas (mensais)'!F287</f>
        <v>0</v>
      </c>
      <c r="I223" s="2128">
        <f>+'Receitas (mensais)'!G287</f>
        <v>0</v>
      </c>
      <c r="J223" s="2128">
        <f>+'Receitas (mensais)'!H287</f>
        <v>0</v>
      </c>
      <c r="K223" s="2128">
        <f>+'Receitas (mensais)'!I287</f>
        <v>0</v>
      </c>
      <c r="L223" s="2128">
        <f>+'Receitas (mensais)'!J287</f>
        <v>0</v>
      </c>
      <c r="M223" s="2128">
        <f>+'Receitas (mensais)'!K287</f>
        <v>0</v>
      </c>
      <c r="N223" s="2128">
        <f>+'Receitas (mensais)'!L287</f>
        <v>0</v>
      </c>
      <c r="O223" s="2128">
        <f>+'Receitas (mensais)'!M287</f>
        <v>0</v>
      </c>
      <c r="P223" s="2128">
        <f>+'Receitas (mensais)'!N287</f>
        <v>0</v>
      </c>
      <c r="Q223" s="2128">
        <f>+'Receitas (mensais)'!O287</f>
        <v>0</v>
      </c>
      <c r="R223" s="2128">
        <f>+'Receitas (mensais)'!P287</f>
        <v>0</v>
      </c>
      <c r="S223" s="2132">
        <f t="shared" si="58"/>
        <v>0</v>
      </c>
      <c r="T223" s="2129"/>
      <c r="U223" s="2129"/>
      <c r="V223" s="2129"/>
      <c r="W223" s="2130"/>
      <c r="X223" s="2096"/>
      <c r="Y223" s="2097"/>
      <c r="AA223" s="2099"/>
    </row>
    <row r="224" spans="1:27" s="2131" customFormat="1" ht="26.25" hidden="1">
      <c r="A224" s="2127"/>
      <c r="B224" s="2088" t="s">
        <v>3394</v>
      </c>
      <c r="C224" s="2100" t="str">
        <f>+'Receitas (mensais)'!D288</f>
        <v xml:space="preserve">             Serv. Rec. Natur Captaçao</v>
      </c>
      <c r="D224" s="2126"/>
      <c r="E224" s="2128"/>
      <c r="F224" s="2128"/>
      <c r="G224" s="2128">
        <f>+'Receitas (mensais)'!E288</f>
        <v>0</v>
      </c>
      <c r="H224" s="2128">
        <f>+'Receitas (mensais)'!F288</f>
        <v>0</v>
      </c>
      <c r="I224" s="2128">
        <f>+'Receitas (mensais)'!G288</f>
        <v>0</v>
      </c>
      <c r="J224" s="2128">
        <f>+'Receitas (mensais)'!H288</f>
        <v>0</v>
      </c>
      <c r="K224" s="2128">
        <f>+'Receitas (mensais)'!I288</f>
        <v>0</v>
      </c>
      <c r="L224" s="2128">
        <f>+'Receitas (mensais)'!J288</f>
        <v>0</v>
      </c>
      <c r="M224" s="2128">
        <f>+'Receitas (mensais)'!K288</f>
        <v>0</v>
      </c>
      <c r="N224" s="2128">
        <f>+'Receitas (mensais)'!L288</f>
        <v>0</v>
      </c>
      <c r="O224" s="2128">
        <f>+'Receitas (mensais)'!M288</f>
        <v>0</v>
      </c>
      <c r="P224" s="2128">
        <f>+'Receitas (mensais)'!N288</f>
        <v>0</v>
      </c>
      <c r="Q224" s="2128">
        <f>+'Receitas (mensais)'!O288</f>
        <v>0</v>
      </c>
      <c r="R224" s="2128">
        <f>+'Receitas (mensais)'!P288</f>
        <v>0</v>
      </c>
      <c r="S224" s="2132">
        <f t="shared" si="58"/>
        <v>0</v>
      </c>
      <c r="T224" s="2129"/>
      <c r="U224" s="2129"/>
      <c r="V224" s="2129"/>
      <c r="W224" s="2130"/>
      <c r="X224" s="2096"/>
      <c r="Y224" s="2097"/>
      <c r="AA224" s="2099"/>
    </row>
    <row r="225" spans="1:28" s="2131" customFormat="1" ht="26.25" hidden="1">
      <c r="A225" s="2127"/>
      <c r="B225" s="2088" t="s">
        <v>3395</v>
      </c>
      <c r="C225" s="2100" t="str">
        <f>+'Receitas (mensais)'!D289</f>
        <v xml:space="preserve">             Serv. Rec. Natur Conserv.</v>
      </c>
      <c r="D225" s="2126"/>
      <c r="E225" s="2128"/>
      <c r="F225" s="2128"/>
      <c r="G225" s="2128">
        <f>+'Receitas (mensais)'!E289</f>
        <v>0</v>
      </c>
      <c r="H225" s="2128">
        <f>+'Receitas (mensais)'!F289</f>
        <v>0</v>
      </c>
      <c r="I225" s="2128">
        <f>+'Receitas (mensais)'!G289</f>
        <v>0</v>
      </c>
      <c r="J225" s="2128">
        <f>+'Receitas (mensais)'!H289</f>
        <v>0</v>
      </c>
      <c r="K225" s="2128">
        <f>+'Receitas (mensais)'!I289</f>
        <v>0</v>
      </c>
      <c r="L225" s="2128">
        <f>+'Receitas (mensais)'!J289</f>
        <v>0</v>
      </c>
      <c r="M225" s="2128">
        <f>+'Receitas (mensais)'!K289</f>
        <v>0</v>
      </c>
      <c r="N225" s="2128">
        <f>+'Receitas (mensais)'!L289</f>
        <v>0</v>
      </c>
      <c r="O225" s="2128">
        <f>+'Receitas (mensais)'!M289</f>
        <v>0</v>
      </c>
      <c r="P225" s="2128">
        <f>+'Receitas (mensais)'!N289</f>
        <v>0</v>
      </c>
      <c r="Q225" s="2128">
        <f>+'Receitas (mensais)'!O289</f>
        <v>0</v>
      </c>
      <c r="R225" s="2128">
        <f>+'Receitas (mensais)'!P289</f>
        <v>0</v>
      </c>
      <c r="S225" s="2132">
        <f t="shared" si="58"/>
        <v>0</v>
      </c>
      <c r="T225" s="2129"/>
      <c r="U225" s="2129"/>
      <c r="V225" s="2129"/>
      <c r="W225" s="2130"/>
      <c r="X225" s="2096"/>
      <c r="Y225" s="2097"/>
      <c r="AA225" s="2099"/>
    </row>
    <row r="226" spans="1:28" s="2131" customFormat="1" ht="26.25" hidden="1">
      <c r="A226" s="2127"/>
      <c r="B226" s="2088" t="s">
        <v>3396</v>
      </c>
      <c r="C226" s="2100" t="str">
        <f>+'Receitas (mensais)'!D290</f>
        <v xml:space="preserve">             Serv. Constr Obras Hidr.</v>
      </c>
      <c r="D226" s="2126"/>
      <c r="E226" s="2128"/>
      <c r="F226" s="2128"/>
      <c r="G226" s="2128">
        <f>+'Receitas (mensais)'!E290</f>
        <v>0</v>
      </c>
      <c r="H226" s="2128">
        <f>+'Receitas (mensais)'!F290</f>
        <v>0</v>
      </c>
      <c r="I226" s="2128">
        <f>+'Receitas (mensais)'!G290</f>
        <v>0</v>
      </c>
      <c r="J226" s="2128">
        <f>+'Receitas (mensais)'!H290</f>
        <v>0</v>
      </c>
      <c r="K226" s="2128">
        <f>+'Receitas (mensais)'!I290</f>
        <v>0</v>
      </c>
      <c r="L226" s="2128">
        <f>+'Receitas (mensais)'!J290</f>
        <v>0</v>
      </c>
      <c r="M226" s="2128">
        <f>+'Receitas (mensais)'!K290</f>
        <v>0</v>
      </c>
      <c r="N226" s="2128">
        <f>+'Receitas (mensais)'!L290</f>
        <v>0</v>
      </c>
      <c r="O226" s="2128">
        <f>+'Receitas (mensais)'!M290</f>
        <v>0</v>
      </c>
      <c r="P226" s="2128">
        <f>+'Receitas (mensais)'!N290</f>
        <v>0</v>
      </c>
      <c r="Q226" s="2128">
        <f>+'Receitas (mensais)'!O290</f>
        <v>0</v>
      </c>
      <c r="R226" s="2128">
        <f>+'Receitas (mensais)'!P290</f>
        <v>0</v>
      </c>
      <c r="S226" s="2132">
        <f t="shared" si="58"/>
        <v>0</v>
      </c>
      <c r="T226" s="2129"/>
      <c r="U226" s="2129"/>
      <c r="V226" s="2129"/>
      <c r="W226" s="2130"/>
      <c r="X226" s="2096"/>
      <c r="Y226" s="2097"/>
      <c r="AA226" s="2099"/>
    </row>
    <row r="227" spans="1:28" s="2089" customFormat="1" ht="26.25" hidden="1">
      <c r="B227" s="2115" t="s">
        <v>3397</v>
      </c>
      <c r="C227" s="2089" t="str">
        <f>+'Receitas (mensais)'!D292</f>
        <v>Venda do pescado</v>
      </c>
      <c r="F227" s="2147">
        <f t="shared" ref="F227:G227" si="59">+F228+F229</f>
        <v>687746.58900000004</v>
      </c>
      <c r="G227" s="2133">
        <f t="shared" si="59"/>
        <v>0</v>
      </c>
      <c r="H227" s="2133">
        <f t="shared" ref="H227" si="60">+H228+H229</f>
        <v>43179.35</v>
      </c>
      <c r="I227" s="2133">
        <f t="shared" ref="I227" si="61">+I228+I229</f>
        <v>0</v>
      </c>
      <c r="J227" s="2133">
        <f t="shared" ref="J227" si="62">+J228+J229</f>
        <v>64402.15</v>
      </c>
      <c r="K227" s="2133">
        <f t="shared" ref="K227" si="63">+K228+K229</f>
        <v>15002.6</v>
      </c>
      <c r="L227" s="2133">
        <f t="shared" ref="L227" si="64">+L228+L229</f>
        <v>0</v>
      </c>
      <c r="M227" s="2133">
        <f t="shared" ref="M227" si="65">+M228+M229</f>
        <v>0</v>
      </c>
      <c r="N227" s="2133">
        <f t="shared" ref="N227" si="66">+N228+N229</f>
        <v>39209.949999999997</v>
      </c>
      <c r="O227" s="2133">
        <f t="shared" ref="O227" si="67">+O228+O229</f>
        <v>0</v>
      </c>
      <c r="P227" s="2133">
        <f t="shared" ref="P227" si="68">+P228+P229</f>
        <v>0</v>
      </c>
      <c r="Q227" s="2133">
        <f t="shared" ref="Q227" si="69">+Q228+Q229</f>
        <v>0</v>
      </c>
      <c r="R227" s="2133">
        <f t="shared" ref="R227" si="70">+R228+R229</f>
        <v>38649.5</v>
      </c>
      <c r="S227" s="2138">
        <f t="shared" si="58"/>
        <v>200443.55</v>
      </c>
    </row>
    <row r="228" spans="1:28" s="2131" customFormat="1" ht="26.25" hidden="1">
      <c r="A228" s="2127"/>
      <c r="B228" s="2088" t="s">
        <v>3398</v>
      </c>
      <c r="C228" s="2100" t="str">
        <f>+'Receitas (mensais)'!D293</f>
        <v>- Mercado interno</v>
      </c>
      <c r="D228" s="2126"/>
      <c r="E228" s="2128"/>
      <c r="F228" s="2128">
        <v>687746.58900000004</v>
      </c>
      <c r="G228" s="2128">
        <f>+'Receitas (mensais)'!E293</f>
        <v>0</v>
      </c>
      <c r="H228" s="2128">
        <f>+'Receitas (mensais)'!F293</f>
        <v>43179.35</v>
      </c>
      <c r="I228" s="2128">
        <f>+'Receitas (mensais)'!G293</f>
        <v>0</v>
      </c>
      <c r="J228" s="2128">
        <f>+'Receitas (mensais)'!H293</f>
        <v>64402.15</v>
      </c>
      <c r="K228" s="2128">
        <f>+'Receitas (mensais)'!I293</f>
        <v>15002.6</v>
      </c>
      <c r="L228" s="2128">
        <f>+'Receitas (mensais)'!J293</f>
        <v>0</v>
      </c>
      <c r="M228" s="2128">
        <f>+'Receitas (mensais)'!K293</f>
        <v>0</v>
      </c>
      <c r="N228" s="2128">
        <f>+'Receitas (mensais)'!L293</f>
        <v>39209.949999999997</v>
      </c>
      <c r="O228" s="2128">
        <f>+'Receitas (mensais)'!M293</f>
        <v>0</v>
      </c>
      <c r="P228" s="2128">
        <f>+'Receitas (mensais)'!N293</f>
        <v>0</v>
      </c>
      <c r="Q228" s="2128">
        <f>+'Receitas (mensais)'!O293</f>
        <v>0</v>
      </c>
      <c r="R228" s="2128">
        <f>+'Receitas (mensais)'!P293</f>
        <v>38649.5</v>
      </c>
      <c r="S228" s="2132">
        <f t="shared" si="58"/>
        <v>200443.55</v>
      </c>
      <c r="T228" s="2129"/>
      <c r="U228" s="2129"/>
      <c r="V228" s="2129"/>
      <c r="W228" s="2130"/>
      <c r="X228" s="2096"/>
      <c r="Y228" s="2097"/>
      <c r="AA228" s="2099"/>
    </row>
    <row r="229" spans="1:28" s="2131" customFormat="1" ht="26.25" hidden="1">
      <c r="A229" s="2127"/>
      <c r="B229" s="2088" t="s">
        <v>3399</v>
      </c>
      <c r="C229" s="2100" t="str">
        <f>+'Receitas (mensais)'!D294</f>
        <v>- Mercado externo</v>
      </c>
      <c r="D229" s="2126"/>
      <c r="E229" s="2128"/>
      <c r="F229" s="2128"/>
      <c r="G229" s="2128">
        <f>+'Receitas (mensais)'!E294</f>
        <v>0</v>
      </c>
      <c r="H229" s="2128">
        <f>+'Receitas (mensais)'!F294</f>
        <v>0</v>
      </c>
      <c r="I229" s="2128">
        <f>+'Receitas (mensais)'!G294</f>
        <v>0</v>
      </c>
      <c r="J229" s="2128">
        <f>+'Receitas (mensais)'!H294</f>
        <v>0</v>
      </c>
      <c r="K229" s="2128">
        <f>+'Receitas (mensais)'!I294</f>
        <v>0</v>
      </c>
      <c r="L229" s="2128">
        <f>+'Receitas (mensais)'!J294</f>
        <v>0</v>
      </c>
      <c r="M229" s="2128">
        <f>+'Receitas (mensais)'!K294</f>
        <v>0</v>
      </c>
      <c r="N229" s="2128">
        <f>+'Receitas (mensais)'!L294</f>
        <v>0</v>
      </c>
      <c r="O229" s="2128">
        <f>+'Receitas (mensais)'!M294</f>
        <v>0</v>
      </c>
      <c r="P229" s="2128">
        <f>+'Receitas (mensais)'!N294</f>
        <v>0</v>
      </c>
      <c r="Q229" s="2128">
        <f>+'Receitas (mensais)'!O294</f>
        <v>0</v>
      </c>
      <c r="R229" s="2128">
        <f>+'Receitas (mensais)'!P294</f>
        <v>0</v>
      </c>
      <c r="S229" s="2132">
        <f t="shared" si="58"/>
        <v>0</v>
      </c>
      <c r="T229" s="2129"/>
      <c r="U229" s="2129"/>
      <c r="V229" s="2129"/>
      <c r="W229" s="2130"/>
      <c r="X229" s="2096"/>
      <c r="Y229" s="2097"/>
      <c r="AA229" s="2099"/>
    </row>
    <row r="230" spans="1:28" s="2098" customFormat="1" ht="26.25">
      <c r="A230" s="2087"/>
      <c r="B230" s="2088" t="s">
        <v>420</v>
      </c>
      <c r="C230" s="2112" t="s">
        <v>3400</v>
      </c>
      <c r="D230" s="2090"/>
      <c r="E230" s="2091">
        <f>+[28]Tofe!$Q$21+[28]Tofe!$Q$14</f>
        <v>5609331.3669999996</v>
      </c>
      <c r="F230" s="2128">
        <v>107672595.93700001</v>
      </c>
      <c r="G230" s="2091">
        <f>G231+G238+G267</f>
        <v>0</v>
      </c>
      <c r="H230" s="2091">
        <f t="shared" ref="H230:R230" si="71">H231+H238+H267</f>
        <v>1033.615</v>
      </c>
      <c r="I230" s="2091">
        <f t="shared" si="71"/>
        <v>5639716.0899999999</v>
      </c>
      <c r="J230" s="2091">
        <f t="shared" si="71"/>
        <v>646.47900000000004</v>
      </c>
      <c r="K230" s="2091">
        <f t="shared" si="71"/>
        <v>1662.826</v>
      </c>
      <c r="L230" s="2091">
        <f t="shared" si="71"/>
        <v>7243.375</v>
      </c>
      <c r="M230" s="2091">
        <f t="shared" si="71"/>
        <v>1525.2080000000001</v>
      </c>
      <c r="N230" s="2091">
        <f t="shared" si="71"/>
        <v>62.5</v>
      </c>
      <c r="O230" s="2091">
        <f t="shared" si="71"/>
        <v>203.78899999999999</v>
      </c>
      <c r="P230" s="2091">
        <f t="shared" si="71"/>
        <v>75.007000000000005</v>
      </c>
      <c r="Q230" s="2091">
        <f t="shared" si="71"/>
        <v>0</v>
      </c>
      <c r="R230" s="2091">
        <f t="shared" si="71"/>
        <v>64.12</v>
      </c>
      <c r="S230" s="2132">
        <f>SUM(G230:R230)</f>
        <v>5652233.0090000005</v>
      </c>
      <c r="T230" s="2093"/>
      <c r="U230" s="2093"/>
      <c r="V230" s="2093"/>
      <c r="W230" s="2094"/>
      <c r="X230" s="2095"/>
      <c r="Y230" s="2096"/>
      <c r="Z230" s="2097"/>
      <c r="AA230" s="2098">
        <f t="shared" si="26"/>
        <v>5652.2330090000005</v>
      </c>
      <c r="AB230" s="2099"/>
    </row>
    <row r="231" spans="1:28" s="2089" customFormat="1" ht="26.25" hidden="1">
      <c r="B231" s="2115" t="s">
        <v>3084</v>
      </c>
      <c r="C231" s="2089" t="str">
        <f>LOWER('Receitas (mensais)'!D296)</f>
        <v>venda de bens de investimento</v>
      </c>
      <c r="F231" s="2148"/>
      <c r="G231" s="2133">
        <f>+G232+G235+G236+G237</f>
        <v>0</v>
      </c>
      <c r="H231" s="2133">
        <f t="shared" ref="H231:R231" si="72">+H232+H235+H236+H237</f>
        <v>0</v>
      </c>
      <c r="I231" s="2133">
        <f t="shared" si="72"/>
        <v>0</v>
      </c>
      <c r="J231" s="2133">
        <f t="shared" si="72"/>
        <v>0</v>
      </c>
      <c r="K231" s="2133">
        <f t="shared" si="72"/>
        <v>0</v>
      </c>
      <c r="L231" s="2133">
        <f t="shared" si="72"/>
        <v>6476.5</v>
      </c>
      <c r="M231" s="2133">
        <f t="shared" si="72"/>
        <v>0</v>
      </c>
      <c r="N231" s="2133">
        <f t="shared" si="72"/>
        <v>0</v>
      </c>
      <c r="O231" s="2133">
        <f t="shared" si="72"/>
        <v>0</v>
      </c>
      <c r="P231" s="2133">
        <f t="shared" si="72"/>
        <v>0</v>
      </c>
      <c r="Q231" s="2133">
        <f t="shared" si="72"/>
        <v>0</v>
      </c>
      <c r="R231" s="2133">
        <f t="shared" si="72"/>
        <v>0</v>
      </c>
      <c r="S231" s="2138">
        <f t="shared" si="12"/>
        <v>6476.5</v>
      </c>
    </row>
    <row r="232" spans="1:28" s="2131" customFormat="1" ht="26.25" hidden="1">
      <c r="A232" s="2127"/>
      <c r="B232" s="2088" t="s">
        <v>3086</v>
      </c>
      <c r="C232" s="2100" t="str">
        <f>'Receitas (mensais)'!D298</f>
        <v>Terrenos e edificios</v>
      </c>
      <c r="D232" s="2126"/>
      <c r="E232" s="2128"/>
      <c r="F232" s="2128"/>
      <c r="G232" s="2128">
        <f>G233+G234</f>
        <v>0</v>
      </c>
      <c r="H232" s="2128">
        <f>H233+H234</f>
        <v>0</v>
      </c>
      <c r="I232" s="2128">
        <f t="shared" ref="I232:R232" si="73">I233+I234</f>
        <v>0</v>
      </c>
      <c r="J232" s="2128">
        <f t="shared" si="73"/>
        <v>0</v>
      </c>
      <c r="K232" s="2128">
        <f t="shared" si="73"/>
        <v>0</v>
      </c>
      <c r="L232" s="2128">
        <f t="shared" si="73"/>
        <v>0</v>
      </c>
      <c r="M232" s="2128">
        <f t="shared" si="73"/>
        <v>0</v>
      </c>
      <c r="N232" s="2128">
        <f t="shared" si="73"/>
        <v>0</v>
      </c>
      <c r="O232" s="2128">
        <f t="shared" si="73"/>
        <v>0</v>
      </c>
      <c r="P232" s="2128">
        <f t="shared" si="73"/>
        <v>0</v>
      </c>
      <c r="Q232" s="2128">
        <f t="shared" si="73"/>
        <v>0</v>
      </c>
      <c r="R232" s="2128">
        <f t="shared" si="73"/>
        <v>0</v>
      </c>
      <c r="S232" s="2082">
        <f t="shared" si="12"/>
        <v>0</v>
      </c>
      <c r="T232" s="2129"/>
      <c r="U232" s="2129"/>
      <c r="V232" s="2129"/>
      <c r="W232" s="2130"/>
      <c r="X232" s="2096"/>
      <c r="Y232" s="2097"/>
      <c r="AA232" s="2099"/>
    </row>
    <row r="233" spans="1:28" s="2131" customFormat="1" ht="26.25" hidden="1">
      <c r="A233" s="2127"/>
      <c r="B233" s="2088" t="s">
        <v>3403</v>
      </c>
      <c r="C233" s="2124" t="str">
        <f>'Receitas (mensais)'!D299</f>
        <v>Terrenos</v>
      </c>
      <c r="D233" s="2126"/>
      <c r="E233" s="2128"/>
      <c r="F233" s="2128"/>
      <c r="G233" s="2128">
        <f>+'Receitas (mensais)'!E299</f>
        <v>0</v>
      </c>
      <c r="H233" s="2128">
        <f>+'Receitas (mensais)'!F299</f>
        <v>0</v>
      </c>
      <c r="I233" s="2128">
        <f>+'Receitas (mensais)'!G299</f>
        <v>0</v>
      </c>
      <c r="J233" s="2128">
        <f>+'Receitas (mensais)'!H299</f>
        <v>0</v>
      </c>
      <c r="K233" s="2128">
        <f>+'Receitas (mensais)'!I299</f>
        <v>0</v>
      </c>
      <c r="L233" s="2128">
        <f>+'Receitas (mensais)'!J299</f>
        <v>0</v>
      </c>
      <c r="M233" s="2128">
        <f>+'Receitas (mensais)'!K299</f>
        <v>0</v>
      </c>
      <c r="N233" s="2128">
        <f>+'Receitas (mensais)'!L299</f>
        <v>0</v>
      </c>
      <c r="O233" s="2128">
        <f>+'Receitas (mensais)'!M299</f>
        <v>0</v>
      </c>
      <c r="P233" s="2128">
        <f>+'Receitas (mensais)'!N299</f>
        <v>0</v>
      </c>
      <c r="Q233" s="2128">
        <f>+'Receitas (mensais)'!O299</f>
        <v>0</v>
      </c>
      <c r="R233" s="2128">
        <f>+'Receitas (mensais)'!P299</f>
        <v>0</v>
      </c>
      <c r="S233" s="2082">
        <f t="shared" si="12"/>
        <v>0</v>
      </c>
      <c r="T233" s="2129"/>
      <c r="U233" s="2129"/>
      <c r="V233" s="2129"/>
      <c r="W233" s="2130"/>
      <c r="X233" s="2096"/>
      <c r="Y233" s="2097"/>
      <c r="AA233" s="2099"/>
    </row>
    <row r="234" spans="1:28" s="2131" customFormat="1" ht="26.25" hidden="1">
      <c r="A234" s="2127"/>
      <c r="B234" s="2088" t="s">
        <v>3404</v>
      </c>
      <c r="C234" s="2124" t="str">
        <f>'Receitas (mensais)'!D300</f>
        <v>Edificios</v>
      </c>
      <c r="D234" s="2126"/>
      <c r="E234" s="2128"/>
      <c r="F234" s="2128"/>
      <c r="G234" s="2128">
        <f>+'Receitas (mensais)'!E300</f>
        <v>0</v>
      </c>
      <c r="H234" s="2128">
        <f>+'Receitas (mensais)'!F300</f>
        <v>0</v>
      </c>
      <c r="I234" s="2128">
        <f>+'Receitas (mensais)'!G300</f>
        <v>0</v>
      </c>
      <c r="J234" s="2128">
        <f>+'Receitas (mensais)'!H300</f>
        <v>0</v>
      </c>
      <c r="K234" s="2128">
        <f>+'Receitas (mensais)'!I300</f>
        <v>0</v>
      </c>
      <c r="L234" s="2128">
        <f>+'Receitas (mensais)'!J300</f>
        <v>0</v>
      </c>
      <c r="M234" s="2128">
        <f>+'Receitas (mensais)'!K300</f>
        <v>0</v>
      </c>
      <c r="N234" s="2128">
        <f>+'Receitas (mensais)'!L300</f>
        <v>0</v>
      </c>
      <c r="O234" s="2128">
        <f>+'Receitas (mensais)'!M300</f>
        <v>0</v>
      </c>
      <c r="P234" s="2128">
        <f>+'Receitas (mensais)'!N300</f>
        <v>0</v>
      </c>
      <c r="Q234" s="2128">
        <f>+'Receitas (mensais)'!O300</f>
        <v>0</v>
      </c>
      <c r="R234" s="2128">
        <f>+'Receitas (mensais)'!P300</f>
        <v>0</v>
      </c>
      <c r="S234" s="2082">
        <f t="shared" si="12"/>
        <v>0</v>
      </c>
      <c r="T234" s="2129"/>
      <c r="U234" s="2129"/>
      <c r="V234" s="2129"/>
      <c r="W234" s="2130"/>
      <c r="X234" s="2096"/>
      <c r="Y234" s="2097"/>
      <c r="AA234" s="2099"/>
    </row>
    <row r="235" spans="1:28" s="2131" customFormat="1" ht="26.25" hidden="1">
      <c r="A235" s="2127"/>
      <c r="B235" s="2088" t="s">
        <v>3087</v>
      </c>
      <c r="C235" s="2100" t="str">
        <f>'Receitas (mensais)'!D301</f>
        <v>Material de transporte</v>
      </c>
      <c r="D235" s="2126"/>
      <c r="E235" s="2128"/>
      <c r="F235" s="2128"/>
      <c r="G235" s="2128">
        <f>+'Receitas (mensais)'!E301</f>
        <v>0</v>
      </c>
      <c r="H235" s="2128">
        <f>+'Receitas (mensais)'!F301</f>
        <v>0</v>
      </c>
      <c r="I235" s="2128">
        <f>+'Receitas (mensais)'!G301</f>
        <v>0</v>
      </c>
      <c r="J235" s="2128">
        <f>+'Receitas (mensais)'!H301</f>
        <v>0</v>
      </c>
      <c r="K235" s="2128">
        <f>+'Receitas (mensais)'!I301</f>
        <v>0</v>
      </c>
      <c r="L235" s="2128">
        <f>+'Receitas (mensais)'!J301</f>
        <v>0</v>
      </c>
      <c r="M235" s="2128">
        <f>+'Receitas (mensais)'!K301</f>
        <v>0</v>
      </c>
      <c r="N235" s="2128">
        <f>+'Receitas (mensais)'!L301</f>
        <v>0</v>
      </c>
      <c r="O235" s="2128">
        <f>+'Receitas (mensais)'!M301</f>
        <v>0</v>
      </c>
      <c r="P235" s="2128">
        <f>+'Receitas (mensais)'!N301</f>
        <v>0</v>
      </c>
      <c r="Q235" s="2128">
        <f>+'Receitas (mensais)'!O301</f>
        <v>0</v>
      </c>
      <c r="R235" s="2128">
        <f>+'Receitas (mensais)'!P301</f>
        <v>0</v>
      </c>
      <c r="S235" s="2082">
        <f t="shared" si="12"/>
        <v>0</v>
      </c>
      <c r="T235" s="2129"/>
      <c r="U235" s="2129"/>
      <c r="V235" s="2129"/>
      <c r="W235" s="2130"/>
      <c r="X235" s="2096"/>
      <c r="Y235" s="2097"/>
      <c r="AA235" s="2099"/>
    </row>
    <row r="236" spans="1:28" s="2131" customFormat="1" ht="26.25" hidden="1">
      <c r="A236" s="2127"/>
      <c r="B236" s="2088" t="s">
        <v>3088</v>
      </c>
      <c r="C236" s="2100" t="str">
        <f>'Receitas (mensais)'!D303</f>
        <v>Maquinaria e equipamentos</v>
      </c>
      <c r="D236" s="2126"/>
      <c r="E236" s="2128"/>
      <c r="F236" s="2128"/>
      <c r="G236" s="2128">
        <f>+'Receitas (mensais)'!E303</f>
        <v>0</v>
      </c>
      <c r="H236" s="2128">
        <f>+'Receitas (mensais)'!F303</f>
        <v>0</v>
      </c>
      <c r="I236" s="2128">
        <f>+'Receitas (mensais)'!G303</f>
        <v>0</v>
      </c>
      <c r="J236" s="2128">
        <f>+'Receitas (mensais)'!H303</f>
        <v>0</v>
      </c>
      <c r="K236" s="2128">
        <f>+'Receitas (mensais)'!I303</f>
        <v>0</v>
      </c>
      <c r="L236" s="2128">
        <f>+'Receitas (mensais)'!J303</f>
        <v>0</v>
      </c>
      <c r="M236" s="2128">
        <f>+'Receitas (mensais)'!K303</f>
        <v>0</v>
      </c>
      <c r="N236" s="2128">
        <f>+'Receitas (mensais)'!L303</f>
        <v>0</v>
      </c>
      <c r="O236" s="2128">
        <f>+'Receitas (mensais)'!M303</f>
        <v>0</v>
      </c>
      <c r="P236" s="2128">
        <f>+'Receitas (mensais)'!N303</f>
        <v>0</v>
      </c>
      <c r="Q236" s="2128">
        <f>+'Receitas (mensais)'!O303</f>
        <v>0</v>
      </c>
      <c r="R236" s="2128">
        <f>+'Receitas (mensais)'!P303</f>
        <v>0</v>
      </c>
      <c r="S236" s="2082">
        <f t="shared" si="12"/>
        <v>0</v>
      </c>
      <c r="T236" s="2129"/>
      <c r="U236" s="2129"/>
      <c r="V236" s="2129"/>
      <c r="W236" s="2130"/>
      <c r="X236" s="2096"/>
      <c r="Y236" s="2097"/>
      <c r="AA236" s="2099"/>
    </row>
    <row r="237" spans="1:28" s="2131" customFormat="1" ht="26.25" hidden="1">
      <c r="A237" s="2127"/>
      <c r="B237" s="2088" t="s">
        <v>3405</v>
      </c>
      <c r="C237" s="2100" t="str">
        <f>'Receitas (mensais)'!D305</f>
        <v>Animais e outros investimentos</v>
      </c>
      <c r="D237" s="2126"/>
      <c r="E237" s="2128"/>
      <c r="F237" s="2128"/>
      <c r="G237" s="2128">
        <f>+'Receitas (mensais)'!E305</f>
        <v>0</v>
      </c>
      <c r="H237" s="2128">
        <f>+'Receitas (mensais)'!F305</f>
        <v>0</v>
      </c>
      <c r="I237" s="2128">
        <f>+'Receitas (mensais)'!G305</f>
        <v>0</v>
      </c>
      <c r="J237" s="2128">
        <f>+'Receitas (mensais)'!H305</f>
        <v>0</v>
      </c>
      <c r="K237" s="2128">
        <f>+'Receitas (mensais)'!I305</f>
        <v>0</v>
      </c>
      <c r="L237" s="2128">
        <f>+'Receitas (mensais)'!J305</f>
        <v>6476.5</v>
      </c>
      <c r="M237" s="2128">
        <f>+'Receitas (mensais)'!K305</f>
        <v>0</v>
      </c>
      <c r="N237" s="2128">
        <f>+'Receitas (mensais)'!L305</f>
        <v>0</v>
      </c>
      <c r="O237" s="2128">
        <f>+'Receitas (mensais)'!M305</f>
        <v>0</v>
      </c>
      <c r="P237" s="2128">
        <f>+'Receitas (mensais)'!N305</f>
        <v>0</v>
      </c>
      <c r="Q237" s="2128">
        <f>+'Receitas (mensais)'!O305</f>
        <v>0</v>
      </c>
      <c r="R237" s="2128">
        <f>+'Receitas (mensais)'!P305</f>
        <v>0</v>
      </c>
      <c r="S237" s="2082">
        <f t="shared" si="12"/>
        <v>6476.5</v>
      </c>
      <c r="T237" s="2129"/>
      <c r="U237" s="2129"/>
      <c r="V237" s="2129"/>
      <c r="W237" s="2130"/>
      <c r="X237" s="2096"/>
      <c r="Y237" s="2097"/>
      <c r="AA237" s="2099"/>
    </row>
    <row r="238" spans="1:28" s="2089" customFormat="1" ht="26.25" hidden="1">
      <c r="B238" s="2115" t="s">
        <v>3085</v>
      </c>
      <c r="C238" s="2089" t="s">
        <v>3401</v>
      </c>
      <c r="F238" s="2148"/>
      <c r="G238" s="2133">
        <f>+G239+G242+G245+G247+G250+G256+G264</f>
        <v>0</v>
      </c>
      <c r="H238" s="2133">
        <f t="shared" ref="H238:R238" si="74">+H239+H242+H245+H247+H250+H256+H264</f>
        <v>0</v>
      </c>
      <c r="I238" s="2133">
        <f t="shared" si="74"/>
        <v>5639113.0300000003</v>
      </c>
      <c r="J238" s="2133">
        <f t="shared" si="74"/>
        <v>0</v>
      </c>
      <c r="K238" s="2133">
        <f t="shared" si="74"/>
        <v>0</v>
      </c>
      <c r="L238" s="2133">
        <f t="shared" si="74"/>
        <v>0</v>
      </c>
      <c r="M238" s="2133">
        <f t="shared" si="74"/>
        <v>0</v>
      </c>
      <c r="N238" s="2133">
        <f t="shared" si="74"/>
        <v>0</v>
      </c>
      <c r="O238" s="2133">
        <f t="shared" si="74"/>
        <v>0</v>
      </c>
      <c r="P238" s="2133">
        <f t="shared" si="74"/>
        <v>0</v>
      </c>
      <c r="Q238" s="2133">
        <f t="shared" si="74"/>
        <v>0</v>
      </c>
      <c r="R238" s="2133">
        <f t="shared" si="74"/>
        <v>0</v>
      </c>
      <c r="S238" s="2138">
        <f t="shared" si="12"/>
        <v>5639113.0300000003</v>
      </c>
    </row>
    <row r="239" spans="1:28" s="2131" customFormat="1" ht="52.5" hidden="1">
      <c r="A239" s="2127"/>
      <c r="B239" s="2088" t="s">
        <v>3406</v>
      </c>
      <c r="C239" s="2139" t="str">
        <f>'Receitas (mensais)'!D166</f>
        <v xml:space="preserve">Dividendo e Participação nos Lucros de Sociedades / Quasi-Sociedade Não Financeira </v>
      </c>
      <c r="D239" s="2126"/>
      <c r="E239" s="2128"/>
      <c r="F239" s="2128"/>
      <c r="G239" s="2128">
        <f>+G240</f>
        <v>0</v>
      </c>
      <c r="H239" s="2128">
        <f t="shared" ref="H239:R240" si="75">+H240</f>
        <v>0</v>
      </c>
      <c r="I239" s="2128">
        <f t="shared" si="75"/>
        <v>0</v>
      </c>
      <c r="J239" s="2128">
        <f t="shared" si="75"/>
        <v>0</v>
      </c>
      <c r="K239" s="2128">
        <f t="shared" si="75"/>
        <v>0</v>
      </c>
      <c r="L239" s="2128">
        <f t="shared" si="75"/>
        <v>0</v>
      </c>
      <c r="M239" s="2128">
        <f t="shared" si="75"/>
        <v>0</v>
      </c>
      <c r="N239" s="2128">
        <f t="shared" si="75"/>
        <v>0</v>
      </c>
      <c r="O239" s="2128">
        <f t="shared" si="75"/>
        <v>0</v>
      </c>
      <c r="P239" s="2128">
        <f t="shared" si="75"/>
        <v>0</v>
      </c>
      <c r="Q239" s="2128">
        <f t="shared" si="75"/>
        <v>0</v>
      </c>
      <c r="R239" s="2128">
        <f t="shared" si="75"/>
        <v>0</v>
      </c>
      <c r="S239" s="2082">
        <f t="shared" si="12"/>
        <v>0</v>
      </c>
      <c r="T239" s="2129"/>
      <c r="U239" s="2129"/>
      <c r="V239" s="2129"/>
      <c r="W239" s="2130"/>
      <c r="X239" s="2096"/>
      <c r="Y239" s="2097"/>
      <c r="AA239" s="2099"/>
    </row>
    <row r="240" spans="1:28" s="2131" customFormat="1" ht="26.25" hidden="1">
      <c r="A240" s="2127"/>
      <c r="B240" s="2088" t="s">
        <v>3408</v>
      </c>
      <c r="C240" s="2124" t="str">
        <f>'Receitas (mensais)'!D167</f>
        <v>Empresas publicas ou equiparadas</v>
      </c>
      <c r="D240" s="2126"/>
      <c r="E240" s="2128"/>
      <c r="F240" s="2128"/>
      <c r="G240" s="2128">
        <f>+G241</f>
        <v>0</v>
      </c>
      <c r="H240" s="2128">
        <f t="shared" si="75"/>
        <v>0</v>
      </c>
      <c r="I240" s="2128">
        <f t="shared" si="75"/>
        <v>0</v>
      </c>
      <c r="J240" s="2128">
        <f t="shared" si="75"/>
        <v>0</v>
      </c>
      <c r="K240" s="2128">
        <f t="shared" si="75"/>
        <v>0</v>
      </c>
      <c r="L240" s="2128">
        <f t="shared" si="75"/>
        <v>0</v>
      </c>
      <c r="M240" s="2128">
        <f t="shared" si="75"/>
        <v>0</v>
      </c>
      <c r="N240" s="2128">
        <f t="shared" si="75"/>
        <v>0</v>
      </c>
      <c r="O240" s="2128">
        <f t="shared" si="75"/>
        <v>0</v>
      </c>
      <c r="P240" s="2128">
        <f t="shared" si="75"/>
        <v>0</v>
      </c>
      <c r="Q240" s="2128">
        <f t="shared" si="75"/>
        <v>0</v>
      </c>
      <c r="R240" s="2128">
        <f t="shared" si="75"/>
        <v>0</v>
      </c>
      <c r="S240" s="2082">
        <f t="shared" si="12"/>
        <v>0</v>
      </c>
      <c r="T240" s="2129"/>
      <c r="U240" s="2129"/>
      <c r="V240" s="2129"/>
      <c r="W240" s="2130"/>
      <c r="X240" s="2096"/>
      <c r="Y240" s="2097"/>
      <c r="AA240" s="2099"/>
    </row>
    <row r="241" spans="1:27" s="2131" customFormat="1" ht="26.25" hidden="1">
      <c r="A241" s="2127"/>
      <c r="B241" s="2088" t="s">
        <v>3409</v>
      </c>
      <c r="C241" s="2124" t="str">
        <f>+'Receitas (mensais)'!D168</f>
        <v xml:space="preserve">      -Participação Lucros Empr. Públicas</v>
      </c>
      <c r="D241" s="2126"/>
      <c r="E241" s="2128"/>
      <c r="F241" s="2128"/>
      <c r="G241" s="2128">
        <f>+'Receitas (mensais)'!E168</f>
        <v>0</v>
      </c>
      <c r="H241" s="2128">
        <f>+'Receitas (mensais)'!F168</f>
        <v>0</v>
      </c>
      <c r="I241" s="2128">
        <f>+'Receitas (mensais)'!G168</f>
        <v>0</v>
      </c>
      <c r="J241" s="2128">
        <f>+'Receitas (mensais)'!H168</f>
        <v>0</v>
      </c>
      <c r="K241" s="2128">
        <f>+'Receitas (mensais)'!I168</f>
        <v>0</v>
      </c>
      <c r="L241" s="2128">
        <f>+'Receitas (mensais)'!J168</f>
        <v>0</v>
      </c>
      <c r="M241" s="2128">
        <f>+'Receitas (mensais)'!K168</f>
        <v>0</v>
      </c>
      <c r="N241" s="2128">
        <f>+'Receitas (mensais)'!L168</f>
        <v>0</v>
      </c>
      <c r="O241" s="2128">
        <f>+'Receitas (mensais)'!M168</f>
        <v>0</v>
      </c>
      <c r="P241" s="2128">
        <f>+'Receitas (mensais)'!N168</f>
        <v>0</v>
      </c>
      <c r="Q241" s="2128">
        <f>+'Receitas (mensais)'!O168</f>
        <v>0</v>
      </c>
      <c r="R241" s="2128">
        <f>+'Receitas (mensais)'!P168</f>
        <v>0</v>
      </c>
      <c r="S241" s="2082">
        <f t="shared" si="12"/>
        <v>0</v>
      </c>
      <c r="T241" s="2129"/>
      <c r="U241" s="2129"/>
      <c r="V241" s="2129"/>
      <c r="W241" s="2130"/>
      <c r="X241" s="2096"/>
      <c r="Y241" s="2097"/>
      <c r="AA241" s="2099"/>
    </row>
    <row r="242" spans="1:27" s="2131" customFormat="1" ht="26.25" hidden="1">
      <c r="A242" s="2127"/>
      <c r="B242" s="2088" t="s">
        <v>3407</v>
      </c>
      <c r="C242" s="2100" t="str">
        <f>'Receitas (mensais)'!D169</f>
        <v>Dividendo e Participação nos Lucros de Institutos de Crédito</v>
      </c>
      <c r="D242" s="2126"/>
      <c r="E242" s="2128"/>
      <c r="F242" s="2128"/>
      <c r="G242" s="2128">
        <f>+G243+G244</f>
        <v>0</v>
      </c>
      <c r="H242" s="2128">
        <f t="shared" ref="H242:R242" si="76">+H243+H244</f>
        <v>0</v>
      </c>
      <c r="I242" s="2128">
        <f t="shared" si="76"/>
        <v>5000000</v>
      </c>
      <c r="J242" s="2128">
        <f t="shared" si="76"/>
        <v>0</v>
      </c>
      <c r="K242" s="2128">
        <f t="shared" si="76"/>
        <v>0</v>
      </c>
      <c r="L242" s="2128">
        <f t="shared" si="76"/>
        <v>0</v>
      </c>
      <c r="M242" s="2128">
        <f t="shared" si="76"/>
        <v>0</v>
      </c>
      <c r="N242" s="2128">
        <f t="shared" si="76"/>
        <v>0</v>
      </c>
      <c r="O242" s="2128">
        <f t="shared" si="76"/>
        <v>0</v>
      </c>
      <c r="P242" s="2128">
        <f t="shared" si="76"/>
        <v>0</v>
      </c>
      <c r="Q242" s="2128">
        <f t="shared" si="76"/>
        <v>0</v>
      </c>
      <c r="R242" s="2128">
        <f t="shared" si="76"/>
        <v>0</v>
      </c>
      <c r="S242" s="2082">
        <f t="shared" si="12"/>
        <v>5000000</v>
      </c>
      <c r="T242" s="2129"/>
      <c r="U242" s="2129"/>
      <c r="V242" s="2129"/>
      <c r="W242" s="2130"/>
      <c r="X242" s="2096"/>
      <c r="Y242" s="2097"/>
      <c r="AA242" s="2099"/>
    </row>
    <row r="243" spans="1:27" s="2131" customFormat="1" ht="26.25" hidden="1">
      <c r="A243" s="2127"/>
      <c r="B243" s="2088" t="s">
        <v>3411</v>
      </c>
      <c r="C243" s="2124" t="str">
        <f>'Receitas (mensais)'!D170</f>
        <v>BCEAO</v>
      </c>
      <c r="D243" s="2126"/>
      <c r="E243" s="2128"/>
      <c r="F243" s="2128"/>
      <c r="G243" s="2128">
        <f>+'Receitas (mensais)'!E170</f>
        <v>0</v>
      </c>
      <c r="H243" s="2128">
        <f>+'Receitas (mensais)'!F170</f>
        <v>0</v>
      </c>
      <c r="I243" s="2128">
        <f>+'Receitas (mensais)'!G170</f>
        <v>5000000</v>
      </c>
      <c r="J243" s="2128">
        <f>+'Receitas (mensais)'!H170</f>
        <v>0</v>
      </c>
      <c r="K243" s="2128">
        <f>+'Receitas (mensais)'!I170</f>
        <v>0</v>
      </c>
      <c r="L243" s="2128">
        <f>+'Receitas (mensais)'!J170</f>
        <v>0</v>
      </c>
      <c r="M243" s="2128">
        <f>+'Receitas (mensais)'!K170</f>
        <v>0</v>
      </c>
      <c r="N243" s="2128">
        <f>+'Receitas (mensais)'!L170</f>
        <v>0</v>
      </c>
      <c r="O243" s="2128">
        <f>+'Receitas (mensais)'!M170</f>
        <v>0</v>
      </c>
      <c r="P243" s="2128">
        <f>+'Receitas (mensais)'!N170</f>
        <v>0</v>
      </c>
      <c r="Q243" s="2128">
        <f>+'Receitas (mensais)'!O170</f>
        <v>0</v>
      </c>
      <c r="R243" s="2128">
        <f>+'Receitas (mensais)'!P170</f>
        <v>0</v>
      </c>
      <c r="S243" s="2082">
        <f t="shared" si="12"/>
        <v>5000000</v>
      </c>
      <c r="T243" s="2129"/>
      <c r="U243" s="2129"/>
      <c r="V243" s="2129"/>
      <c r="W243" s="2130"/>
      <c r="X243" s="2096"/>
      <c r="Y243" s="2097"/>
      <c r="AA243" s="2099"/>
    </row>
    <row r="244" spans="1:27" s="2131" customFormat="1" ht="26.25" hidden="1">
      <c r="A244" s="2127"/>
      <c r="B244" s="2088" t="s">
        <v>3412</v>
      </c>
      <c r="C244" s="2124" t="str">
        <f>'Receitas (mensais)'!D171</f>
        <v>Banco Internacional da G-Bissau</v>
      </c>
      <c r="D244" s="2126"/>
      <c r="E244" s="2128"/>
      <c r="F244" s="2128"/>
      <c r="G244" s="2128">
        <f>+'Receitas (mensais)'!E171</f>
        <v>0</v>
      </c>
      <c r="H244" s="2128">
        <f>+'Receitas (mensais)'!F171</f>
        <v>0</v>
      </c>
      <c r="I244" s="2128">
        <f>+'Receitas (mensais)'!G171</f>
        <v>0</v>
      </c>
      <c r="J244" s="2128">
        <f>+'Receitas (mensais)'!H171</f>
        <v>0</v>
      </c>
      <c r="K244" s="2128">
        <f>+'Receitas (mensais)'!I171</f>
        <v>0</v>
      </c>
      <c r="L244" s="2128">
        <f>+'Receitas (mensais)'!J171</f>
        <v>0</v>
      </c>
      <c r="M244" s="2128">
        <f>+'Receitas (mensais)'!K171</f>
        <v>0</v>
      </c>
      <c r="N244" s="2128">
        <f>+'Receitas (mensais)'!L171</f>
        <v>0</v>
      </c>
      <c r="O244" s="2128">
        <f>+'Receitas (mensais)'!M171</f>
        <v>0</v>
      </c>
      <c r="P244" s="2128">
        <f>+'Receitas (mensais)'!N171</f>
        <v>0</v>
      </c>
      <c r="Q244" s="2128">
        <f>+'Receitas (mensais)'!O171</f>
        <v>0</v>
      </c>
      <c r="R244" s="2128">
        <f>+'Receitas (mensais)'!P171</f>
        <v>0</v>
      </c>
      <c r="S244" s="2082">
        <f t="shared" si="12"/>
        <v>0</v>
      </c>
      <c r="T244" s="2129"/>
      <c r="U244" s="2129"/>
      <c r="V244" s="2129"/>
      <c r="W244" s="2130"/>
      <c r="X244" s="2096"/>
      <c r="Y244" s="2097"/>
      <c r="AA244" s="2099"/>
    </row>
    <row r="245" spans="1:27" s="2131" customFormat="1" ht="26.25" hidden="1">
      <c r="A245" s="2127"/>
      <c r="B245" s="2088" t="s">
        <v>3410</v>
      </c>
      <c r="C245" s="2100" t="str">
        <f>'Receitas (mensais)'!D173</f>
        <v>Dividendo e Participação nos Lucros de Empresas de Seguros</v>
      </c>
      <c r="D245" s="2126"/>
      <c r="E245" s="2128"/>
      <c r="F245" s="2128"/>
      <c r="G245" s="2128">
        <f>+G246</f>
        <v>0</v>
      </c>
      <c r="H245" s="2128">
        <f t="shared" ref="H245:R245" si="77">+H246</f>
        <v>0</v>
      </c>
      <c r="I245" s="2128">
        <f t="shared" si="77"/>
        <v>0</v>
      </c>
      <c r="J245" s="2128">
        <f t="shared" si="77"/>
        <v>0</v>
      </c>
      <c r="K245" s="2128">
        <f t="shared" si="77"/>
        <v>0</v>
      </c>
      <c r="L245" s="2128">
        <f t="shared" si="77"/>
        <v>0</v>
      </c>
      <c r="M245" s="2128">
        <f t="shared" si="77"/>
        <v>0</v>
      </c>
      <c r="N245" s="2128">
        <f t="shared" si="77"/>
        <v>0</v>
      </c>
      <c r="O245" s="2128">
        <f t="shared" si="77"/>
        <v>0</v>
      </c>
      <c r="P245" s="2128">
        <f t="shared" si="77"/>
        <v>0</v>
      </c>
      <c r="Q245" s="2128">
        <f t="shared" si="77"/>
        <v>0</v>
      </c>
      <c r="R245" s="2128">
        <f t="shared" si="77"/>
        <v>0</v>
      </c>
      <c r="S245" s="2082">
        <f t="shared" si="12"/>
        <v>0</v>
      </c>
      <c r="T245" s="2129"/>
      <c r="U245" s="2129"/>
      <c r="V245" s="2129"/>
      <c r="W245" s="2130"/>
      <c r="X245" s="2096"/>
      <c r="Y245" s="2097"/>
      <c r="AA245" s="2099"/>
    </row>
    <row r="246" spans="1:27" s="2131" customFormat="1" ht="26.25" hidden="1">
      <c r="A246" s="2127"/>
      <c r="B246" s="2088" t="s">
        <v>3414</v>
      </c>
      <c r="C246" s="2124" t="str">
        <f>'Receitas (mensais)'!D174</f>
        <v>I.N.S.P.S.</v>
      </c>
      <c r="D246" s="2126"/>
      <c r="E246" s="2128"/>
      <c r="F246" s="2128"/>
      <c r="G246" s="2128">
        <f>+'Receitas (mensais)'!E174</f>
        <v>0</v>
      </c>
      <c r="H246" s="2128">
        <f>+'Receitas (mensais)'!F174</f>
        <v>0</v>
      </c>
      <c r="I246" s="2128">
        <f>+'Receitas (mensais)'!G174</f>
        <v>0</v>
      </c>
      <c r="J246" s="2128">
        <f>+'Receitas (mensais)'!H174</f>
        <v>0</v>
      </c>
      <c r="K246" s="2128">
        <f>+'Receitas (mensais)'!I174</f>
        <v>0</v>
      </c>
      <c r="L246" s="2128">
        <f>+'Receitas (mensais)'!J174</f>
        <v>0</v>
      </c>
      <c r="M246" s="2128">
        <f>+'Receitas (mensais)'!K174</f>
        <v>0</v>
      </c>
      <c r="N246" s="2128">
        <f>+'Receitas (mensais)'!L174</f>
        <v>0</v>
      </c>
      <c r="O246" s="2128">
        <f>+'Receitas (mensais)'!M174</f>
        <v>0</v>
      </c>
      <c r="P246" s="2128">
        <f>+'Receitas (mensais)'!N174</f>
        <v>0</v>
      </c>
      <c r="Q246" s="2128">
        <f>+'Receitas (mensais)'!O174</f>
        <v>0</v>
      </c>
      <c r="R246" s="2128">
        <f>+'Receitas (mensais)'!P174</f>
        <v>0</v>
      </c>
      <c r="S246" s="2082">
        <f t="shared" si="12"/>
        <v>0</v>
      </c>
      <c r="T246" s="2129"/>
      <c r="U246" s="2129"/>
      <c r="V246" s="2129"/>
      <c r="W246" s="2130"/>
      <c r="X246" s="2096"/>
      <c r="Y246" s="2097"/>
      <c r="AA246" s="2099"/>
    </row>
    <row r="247" spans="1:27" s="2131" customFormat="1" ht="26.25" hidden="1">
      <c r="A247" s="2127"/>
      <c r="B247" s="2088" t="s">
        <v>3413</v>
      </c>
      <c r="C247" s="2100" t="str">
        <f>'Receitas (mensais)'!D176</f>
        <v>Rendimentos diversos</v>
      </c>
      <c r="D247" s="2126"/>
      <c r="E247" s="2128"/>
      <c r="F247" s="2128"/>
      <c r="G247" s="2128">
        <f>G248+G249</f>
        <v>0</v>
      </c>
      <c r="H247" s="2128">
        <f t="shared" ref="H247:R247" si="78">H248+H249</f>
        <v>0</v>
      </c>
      <c r="I247" s="2128">
        <f t="shared" si="78"/>
        <v>639113.03</v>
      </c>
      <c r="J247" s="2128">
        <f t="shared" si="78"/>
        <v>0</v>
      </c>
      <c r="K247" s="2128">
        <f t="shared" si="78"/>
        <v>0</v>
      </c>
      <c r="L247" s="2128">
        <f t="shared" si="78"/>
        <v>0</v>
      </c>
      <c r="M247" s="2128">
        <f t="shared" si="78"/>
        <v>0</v>
      </c>
      <c r="N247" s="2128">
        <f t="shared" si="78"/>
        <v>0</v>
      </c>
      <c r="O247" s="2128">
        <f t="shared" si="78"/>
        <v>0</v>
      </c>
      <c r="P247" s="2128">
        <f t="shared" si="78"/>
        <v>0</v>
      </c>
      <c r="Q247" s="2128">
        <f t="shared" si="78"/>
        <v>0</v>
      </c>
      <c r="R247" s="2128">
        <f t="shared" si="78"/>
        <v>0</v>
      </c>
      <c r="S247" s="2082">
        <f t="shared" si="12"/>
        <v>639113.03</v>
      </c>
      <c r="T247" s="2129"/>
      <c r="U247" s="2129"/>
      <c r="V247" s="2129"/>
      <c r="W247" s="2130"/>
      <c r="X247" s="2096"/>
      <c r="Y247" s="2097"/>
      <c r="AA247" s="2099"/>
    </row>
    <row r="248" spans="1:27" s="2131" customFormat="1" ht="26.25" hidden="1">
      <c r="A248" s="2127"/>
      <c r="B248" s="2088" t="s">
        <v>3416</v>
      </c>
      <c r="C248" s="2124" t="str">
        <f>'Receitas (mensais)'!D177</f>
        <v>Juros - Sector Publico -BCEAO</v>
      </c>
      <c r="D248" s="2126"/>
      <c r="E248" s="2128"/>
      <c r="F248" s="2128"/>
      <c r="G248" s="2128">
        <f>+'Receitas (mensais)'!E177</f>
        <v>0</v>
      </c>
      <c r="H248" s="2128">
        <f>+'Receitas (mensais)'!F177</f>
        <v>0</v>
      </c>
      <c r="I248" s="2128">
        <f>+'Receitas (mensais)'!G177</f>
        <v>639113.03</v>
      </c>
      <c r="J248" s="2128">
        <f>+'Receitas (mensais)'!H177</f>
        <v>0</v>
      </c>
      <c r="K248" s="2128">
        <f>+'Receitas (mensais)'!I177</f>
        <v>0</v>
      </c>
      <c r="L248" s="2128">
        <f>+'Receitas (mensais)'!J177</f>
        <v>0</v>
      </c>
      <c r="M248" s="2128">
        <f>+'Receitas (mensais)'!K177</f>
        <v>0</v>
      </c>
      <c r="N248" s="2128">
        <f>+'Receitas (mensais)'!L177</f>
        <v>0</v>
      </c>
      <c r="O248" s="2128">
        <f>+'Receitas (mensais)'!M177</f>
        <v>0</v>
      </c>
      <c r="P248" s="2128">
        <f>+'Receitas (mensais)'!N177</f>
        <v>0</v>
      </c>
      <c r="Q248" s="2128">
        <f>+'Receitas (mensais)'!O177</f>
        <v>0</v>
      </c>
      <c r="R248" s="2128">
        <f>+'Receitas (mensais)'!P177</f>
        <v>0</v>
      </c>
      <c r="S248" s="2082">
        <f t="shared" si="12"/>
        <v>639113.03</v>
      </c>
      <c r="T248" s="2129"/>
      <c r="U248" s="2129"/>
      <c r="V248" s="2129"/>
      <c r="W248" s="2130"/>
      <c r="X248" s="2096"/>
      <c r="Y248" s="2097"/>
      <c r="AA248" s="2099"/>
    </row>
    <row r="249" spans="1:27" s="2131" customFormat="1" ht="26.25" hidden="1">
      <c r="A249" s="2127"/>
      <c r="B249" s="2088" t="s">
        <v>3417</v>
      </c>
      <c r="C249" s="2124" t="str">
        <f>'Receitas (mensais)'!D178</f>
        <v>Juros - Sector Publico - Outros</v>
      </c>
      <c r="D249" s="2126"/>
      <c r="E249" s="2128"/>
      <c r="F249" s="2128"/>
      <c r="G249" s="2128">
        <f>+'Receitas (mensais)'!E178</f>
        <v>0</v>
      </c>
      <c r="H249" s="2128">
        <f>+'Receitas (mensais)'!F178</f>
        <v>0</v>
      </c>
      <c r="I249" s="2128">
        <f>+'Receitas (mensais)'!G178</f>
        <v>0</v>
      </c>
      <c r="J249" s="2128">
        <f>+'Receitas (mensais)'!H178</f>
        <v>0</v>
      </c>
      <c r="K249" s="2128">
        <f>+'Receitas (mensais)'!I178</f>
        <v>0</v>
      </c>
      <c r="L249" s="2128">
        <f>+'Receitas (mensais)'!J178</f>
        <v>0</v>
      </c>
      <c r="M249" s="2128">
        <f>+'Receitas (mensais)'!K178</f>
        <v>0</v>
      </c>
      <c r="N249" s="2128">
        <f>+'Receitas (mensais)'!L178</f>
        <v>0</v>
      </c>
      <c r="O249" s="2128">
        <f>+'Receitas (mensais)'!M178</f>
        <v>0</v>
      </c>
      <c r="P249" s="2128">
        <f>+'Receitas (mensais)'!N178</f>
        <v>0</v>
      </c>
      <c r="Q249" s="2128">
        <f>+'Receitas (mensais)'!O178</f>
        <v>0</v>
      </c>
      <c r="R249" s="2128">
        <f>+'Receitas (mensais)'!P178</f>
        <v>0</v>
      </c>
      <c r="S249" s="2082">
        <f t="shared" si="12"/>
        <v>0</v>
      </c>
      <c r="T249" s="2129"/>
      <c r="U249" s="2129"/>
      <c r="V249" s="2129"/>
      <c r="W249" s="2130"/>
      <c r="X249" s="2096"/>
      <c r="Y249" s="2097"/>
      <c r="AA249" s="2099"/>
    </row>
    <row r="250" spans="1:27" s="2131" customFormat="1" ht="26.25" hidden="1">
      <c r="A250" s="2127"/>
      <c r="B250" s="2088" t="s">
        <v>3415</v>
      </c>
      <c r="C250" s="2100" t="str">
        <f>'Receitas (mensais)'!D180</f>
        <v>Rendas de terrenos</v>
      </c>
      <c r="D250" s="2126"/>
      <c r="E250" s="2128"/>
      <c r="F250" s="2128"/>
      <c r="G250" s="2128">
        <f>SUM(G251:G255)</f>
        <v>0</v>
      </c>
      <c r="H250" s="2128">
        <f t="shared" ref="H250:R250" si="79">SUM(H251:H255)</f>
        <v>0</v>
      </c>
      <c r="I250" s="2128">
        <f t="shared" si="79"/>
        <v>0</v>
      </c>
      <c r="J250" s="2128">
        <f t="shared" si="79"/>
        <v>0</v>
      </c>
      <c r="K250" s="2128">
        <f t="shared" si="79"/>
        <v>0</v>
      </c>
      <c r="L250" s="2128">
        <f t="shared" si="79"/>
        <v>0</v>
      </c>
      <c r="M250" s="2128">
        <f t="shared" si="79"/>
        <v>0</v>
      </c>
      <c r="N250" s="2128">
        <f t="shared" si="79"/>
        <v>0</v>
      </c>
      <c r="O250" s="2128">
        <f t="shared" si="79"/>
        <v>0</v>
      </c>
      <c r="P250" s="2128">
        <f t="shared" si="79"/>
        <v>0</v>
      </c>
      <c r="Q250" s="2128">
        <f t="shared" si="79"/>
        <v>0</v>
      </c>
      <c r="R250" s="2128">
        <f t="shared" si="79"/>
        <v>0</v>
      </c>
      <c r="S250" s="2082">
        <f t="shared" si="12"/>
        <v>0</v>
      </c>
      <c r="T250" s="2129"/>
      <c r="U250" s="2129"/>
      <c r="V250" s="2129"/>
      <c r="W250" s="2130"/>
      <c r="X250" s="2096"/>
      <c r="Y250" s="2097"/>
      <c r="AA250" s="2099"/>
    </row>
    <row r="251" spans="1:27" s="2131" customFormat="1" ht="26.25" hidden="1">
      <c r="A251" s="2127"/>
      <c r="B251" s="2088" t="s">
        <v>3419</v>
      </c>
      <c r="C251" s="2124" t="str">
        <f>'Receitas (mensais)'!D181</f>
        <v>Soc. e quasi-soc. nao financeiras</v>
      </c>
      <c r="D251" s="2126"/>
      <c r="E251" s="2128"/>
      <c r="F251" s="2128"/>
      <c r="G251" s="2128">
        <f>+'Receitas (mensais)'!E181</f>
        <v>0</v>
      </c>
      <c r="H251" s="2128">
        <f>+'Receitas (mensais)'!F181</f>
        <v>0</v>
      </c>
      <c r="I251" s="2128">
        <f>+'Receitas (mensais)'!G181</f>
        <v>0</v>
      </c>
      <c r="J251" s="2128">
        <f>+'Receitas (mensais)'!H181</f>
        <v>0</v>
      </c>
      <c r="K251" s="2128">
        <f>+'Receitas (mensais)'!I181</f>
        <v>0</v>
      </c>
      <c r="L251" s="2128">
        <f>+'Receitas (mensais)'!J181</f>
        <v>0</v>
      </c>
      <c r="M251" s="2128">
        <f>+'Receitas (mensais)'!K181</f>
        <v>0</v>
      </c>
      <c r="N251" s="2128">
        <f>+'Receitas (mensais)'!L181</f>
        <v>0</v>
      </c>
      <c r="O251" s="2128">
        <f>+'Receitas (mensais)'!M181</f>
        <v>0</v>
      </c>
      <c r="P251" s="2128">
        <f>+'Receitas (mensais)'!N181</f>
        <v>0</v>
      </c>
      <c r="Q251" s="2128">
        <f>+'Receitas (mensais)'!O181</f>
        <v>0</v>
      </c>
      <c r="R251" s="2128">
        <f>+'Receitas (mensais)'!P181</f>
        <v>0</v>
      </c>
      <c r="S251" s="2082">
        <f t="shared" si="12"/>
        <v>0</v>
      </c>
      <c r="T251" s="2129"/>
      <c r="U251" s="2129"/>
      <c r="V251" s="2129"/>
      <c r="W251" s="2130"/>
      <c r="X251" s="2096"/>
      <c r="Y251" s="2097"/>
      <c r="AA251" s="2099"/>
    </row>
    <row r="252" spans="1:27" s="2131" customFormat="1" ht="26.25" hidden="1">
      <c r="A252" s="2127"/>
      <c r="B252" s="2088" t="s">
        <v>3420</v>
      </c>
      <c r="C252" s="2124" t="str">
        <f>'Receitas (mensais)'!D182</f>
        <v>Administraçoes publicas</v>
      </c>
      <c r="D252" s="2126"/>
      <c r="E252" s="2128"/>
      <c r="F252" s="2128"/>
      <c r="G252" s="2128">
        <f>+'Receitas (mensais)'!E182</f>
        <v>0</v>
      </c>
      <c r="H252" s="2128">
        <f>+'Receitas (mensais)'!F182</f>
        <v>0</v>
      </c>
      <c r="I252" s="2128">
        <f>+'Receitas (mensais)'!G182</f>
        <v>0</v>
      </c>
      <c r="J252" s="2128">
        <f>+'Receitas (mensais)'!H182</f>
        <v>0</v>
      </c>
      <c r="K252" s="2128">
        <f>+'Receitas (mensais)'!I182</f>
        <v>0</v>
      </c>
      <c r="L252" s="2128">
        <f>+'Receitas (mensais)'!J182</f>
        <v>0</v>
      </c>
      <c r="M252" s="2128">
        <f>+'Receitas (mensais)'!K182</f>
        <v>0</v>
      </c>
      <c r="N252" s="2128">
        <f>+'Receitas (mensais)'!L182</f>
        <v>0</v>
      </c>
      <c r="O252" s="2128">
        <f>+'Receitas (mensais)'!M182</f>
        <v>0</v>
      </c>
      <c r="P252" s="2128">
        <f>+'Receitas (mensais)'!N182</f>
        <v>0</v>
      </c>
      <c r="Q252" s="2128">
        <f>+'Receitas (mensais)'!O182</f>
        <v>0</v>
      </c>
      <c r="R252" s="2128">
        <f>+'Receitas (mensais)'!P182</f>
        <v>0</v>
      </c>
      <c r="S252" s="2082">
        <f t="shared" si="12"/>
        <v>0</v>
      </c>
      <c r="T252" s="2129"/>
      <c r="U252" s="2129"/>
      <c r="V252" s="2129"/>
      <c r="W252" s="2130"/>
      <c r="X252" s="2096"/>
      <c r="Y252" s="2097"/>
      <c r="AA252" s="2099"/>
    </row>
    <row r="253" spans="1:27" s="2131" customFormat="1" ht="26.25" hidden="1">
      <c r="A253" s="2127"/>
      <c r="B253" s="2088" t="s">
        <v>3421</v>
      </c>
      <c r="C253" s="2124" t="str">
        <f>'Receitas (mensais)'!D183</f>
        <v>Administraçoes privadas</v>
      </c>
      <c r="D253" s="2126"/>
      <c r="E253" s="2128"/>
      <c r="F253" s="2128"/>
      <c r="G253" s="2128">
        <f>+'Receitas (mensais)'!E183</f>
        <v>0</v>
      </c>
      <c r="H253" s="2128">
        <f>+'Receitas (mensais)'!F183</f>
        <v>0</v>
      </c>
      <c r="I253" s="2128">
        <f>+'Receitas (mensais)'!G183</f>
        <v>0</v>
      </c>
      <c r="J253" s="2128">
        <f>+'Receitas (mensais)'!H183</f>
        <v>0</v>
      </c>
      <c r="K253" s="2128">
        <f>+'Receitas (mensais)'!I183</f>
        <v>0</v>
      </c>
      <c r="L253" s="2128">
        <f>+'Receitas (mensais)'!J183</f>
        <v>0</v>
      </c>
      <c r="M253" s="2128">
        <f>+'Receitas (mensais)'!K183</f>
        <v>0</v>
      </c>
      <c r="N253" s="2128">
        <f>+'Receitas (mensais)'!L183</f>
        <v>0</v>
      </c>
      <c r="O253" s="2128">
        <f>+'Receitas (mensais)'!M183</f>
        <v>0</v>
      </c>
      <c r="P253" s="2128">
        <f>+'Receitas (mensais)'!N183</f>
        <v>0</v>
      </c>
      <c r="Q253" s="2128">
        <f>+'Receitas (mensais)'!O183</f>
        <v>0</v>
      </c>
      <c r="R253" s="2128">
        <f>+'Receitas (mensais)'!P183</f>
        <v>0</v>
      </c>
      <c r="S253" s="2082">
        <f t="shared" si="12"/>
        <v>0</v>
      </c>
      <c r="T253" s="2129"/>
      <c r="U253" s="2129"/>
      <c r="V253" s="2129"/>
      <c r="W253" s="2130"/>
      <c r="X253" s="2096"/>
      <c r="Y253" s="2097"/>
      <c r="AA253" s="2099"/>
    </row>
    <row r="254" spans="1:27" s="2131" customFormat="1" ht="26.25" hidden="1">
      <c r="A254" s="2127"/>
      <c r="B254" s="2088" t="s">
        <v>3422</v>
      </c>
      <c r="C254" s="2124" t="str">
        <f>'Receitas (mensais)'!D184</f>
        <v>Exterior</v>
      </c>
      <c r="D254" s="2126"/>
      <c r="E254" s="2128"/>
      <c r="F254" s="2128"/>
      <c r="G254" s="2128">
        <f>+'Receitas (mensais)'!E184</f>
        <v>0</v>
      </c>
      <c r="H254" s="2128">
        <f>+'Receitas (mensais)'!F184</f>
        <v>0</v>
      </c>
      <c r="I254" s="2128">
        <f>+'Receitas (mensais)'!G184</f>
        <v>0</v>
      </c>
      <c r="J254" s="2128">
        <f>+'Receitas (mensais)'!H184</f>
        <v>0</v>
      </c>
      <c r="K254" s="2128">
        <f>+'Receitas (mensais)'!I184</f>
        <v>0</v>
      </c>
      <c r="L254" s="2128">
        <f>+'Receitas (mensais)'!J184</f>
        <v>0</v>
      </c>
      <c r="M254" s="2128">
        <f>+'Receitas (mensais)'!K184</f>
        <v>0</v>
      </c>
      <c r="N254" s="2128">
        <f>+'Receitas (mensais)'!L184</f>
        <v>0</v>
      </c>
      <c r="O254" s="2128">
        <f>+'Receitas (mensais)'!M184</f>
        <v>0</v>
      </c>
      <c r="P254" s="2128">
        <f>+'Receitas (mensais)'!N184</f>
        <v>0</v>
      </c>
      <c r="Q254" s="2128">
        <f>+'Receitas (mensais)'!O184</f>
        <v>0</v>
      </c>
      <c r="R254" s="2128">
        <f>+'Receitas (mensais)'!P184</f>
        <v>0</v>
      </c>
      <c r="S254" s="2082">
        <f t="shared" si="12"/>
        <v>0</v>
      </c>
      <c r="T254" s="2129"/>
      <c r="U254" s="2129"/>
      <c r="V254" s="2129"/>
      <c r="W254" s="2130"/>
      <c r="X254" s="2096"/>
      <c r="Y254" s="2097"/>
      <c r="AA254" s="2099"/>
    </row>
    <row r="255" spans="1:27" s="2131" customFormat="1" ht="26.25" hidden="1">
      <c r="A255" s="2127"/>
      <c r="B255" s="2088" t="s">
        <v>3423</v>
      </c>
      <c r="C255" s="2124" t="str">
        <f>'Receitas (mensais)'!D185</f>
        <v>Outros</v>
      </c>
      <c r="D255" s="2126"/>
      <c r="E255" s="2128"/>
      <c r="F255" s="2128"/>
      <c r="G255" s="2128">
        <f>+'Receitas (mensais)'!E185</f>
        <v>0</v>
      </c>
      <c r="H255" s="2128">
        <f>+'Receitas (mensais)'!F185</f>
        <v>0</v>
      </c>
      <c r="I255" s="2128">
        <f>+'Receitas (mensais)'!G185</f>
        <v>0</v>
      </c>
      <c r="J255" s="2128">
        <f>+'Receitas (mensais)'!H185</f>
        <v>0</v>
      </c>
      <c r="K255" s="2128">
        <f>+'Receitas (mensais)'!I185</f>
        <v>0</v>
      </c>
      <c r="L255" s="2128">
        <f>+'Receitas (mensais)'!J185</f>
        <v>0</v>
      </c>
      <c r="M255" s="2128">
        <f>+'Receitas (mensais)'!K185</f>
        <v>0</v>
      </c>
      <c r="N255" s="2128">
        <f>+'Receitas (mensais)'!L185</f>
        <v>0</v>
      </c>
      <c r="O255" s="2128">
        <f>+'Receitas (mensais)'!M185</f>
        <v>0</v>
      </c>
      <c r="P255" s="2128">
        <f>+'Receitas (mensais)'!N185</f>
        <v>0</v>
      </c>
      <c r="Q255" s="2128">
        <f>+'Receitas (mensais)'!O185</f>
        <v>0</v>
      </c>
      <c r="R255" s="2128">
        <f>+'Receitas (mensais)'!P185</f>
        <v>0</v>
      </c>
      <c r="S255" s="2082">
        <f t="shared" si="12"/>
        <v>0</v>
      </c>
      <c r="T255" s="2129"/>
      <c r="U255" s="2129"/>
      <c r="V255" s="2129"/>
      <c r="W255" s="2130"/>
      <c r="X255" s="2096"/>
      <c r="Y255" s="2097"/>
      <c r="AA255" s="2099"/>
    </row>
    <row r="256" spans="1:27" s="2131" customFormat="1" ht="26.25" hidden="1">
      <c r="A256" s="2127"/>
      <c r="B256" s="2088" t="s">
        <v>3418</v>
      </c>
      <c r="C256" s="2100" t="str">
        <f>'Receitas (mensais)'!D187</f>
        <v>Rendas de construçoes</v>
      </c>
      <c r="D256" s="2126"/>
      <c r="E256" s="2128"/>
      <c r="F256" s="2128"/>
      <c r="G256" s="2128">
        <f>+SUM(G257:G259)</f>
        <v>0</v>
      </c>
      <c r="H256" s="2128">
        <f t="shared" ref="H256:R256" si="80">+SUM(H257:H259)</f>
        <v>0</v>
      </c>
      <c r="I256" s="2128">
        <f t="shared" si="80"/>
        <v>0</v>
      </c>
      <c r="J256" s="2128">
        <f t="shared" si="80"/>
        <v>0</v>
      </c>
      <c r="K256" s="2128">
        <f t="shared" si="80"/>
        <v>0</v>
      </c>
      <c r="L256" s="2128">
        <f t="shared" si="80"/>
        <v>0</v>
      </c>
      <c r="M256" s="2128">
        <f t="shared" si="80"/>
        <v>0</v>
      </c>
      <c r="N256" s="2128">
        <f t="shared" si="80"/>
        <v>0</v>
      </c>
      <c r="O256" s="2128">
        <f t="shared" si="80"/>
        <v>0</v>
      </c>
      <c r="P256" s="2128">
        <f t="shared" si="80"/>
        <v>0</v>
      </c>
      <c r="Q256" s="2128">
        <f t="shared" si="80"/>
        <v>0</v>
      </c>
      <c r="R256" s="2128">
        <f t="shared" si="80"/>
        <v>0</v>
      </c>
      <c r="S256" s="2082">
        <f t="shared" si="12"/>
        <v>0</v>
      </c>
      <c r="T256" s="2129"/>
      <c r="U256" s="2129"/>
      <c r="V256" s="2129"/>
      <c r="W256" s="2130"/>
      <c r="X256" s="2096"/>
      <c r="Y256" s="2097"/>
      <c r="AA256" s="2099"/>
    </row>
    <row r="257" spans="1:27" s="2131" customFormat="1" ht="26.25" hidden="1">
      <c r="A257" s="2127"/>
      <c r="B257" s="2088" t="s">
        <v>3425</v>
      </c>
      <c r="C257" s="2124" t="str">
        <f>'Receitas (mensais)'!D188</f>
        <v>Habitaçoes</v>
      </c>
      <c r="D257" s="2126"/>
      <c r="E257" s="2128"/>
      <c r="F257" s="2128"/>
      <c r="G257" s="2128">
        <f>+'Receitas (mensais)'!E188</f>
        <v>0</v>
      </c>
      <c r="H257" s="2128">
        <f>+'Receitas (mensais)'!F188</f>
        <v>0</v>
      </c>
      <c r="I257" s="2128">
        <f>+'Receitas (mensais)'!G188</f>
        <v>0</v>
      </c>
      <c r="J257" s="2128">
        <f>+'Receitas (mensais)'!H188</f>
        <v>0</v>
      </c>
      <c r="K257" s="2128">
        <f>+'Receitas (mensais)'!I188</f>
        <v>0</v>
      </c>
      <c r="L257" s="2128">
        <f>+'Receitas (mensais)'!J188</f>
        <v>0</v>
      </c>
      <c r="M257" s="2128">
        <f>+'Receitas (mensais)'!K188</f>
        <v>0</v>
      </c>
      <c r="N257" s="2128">
        <f>+'Receitas (mensais)'!L188</f>
        <v>0</v>
      </c>
      <c r="O257" s="2128">
        <f>+'Receitas (mensais)'!M188</f>
        <v>0</v>
      </c>
      <c r="P257" s="2128">
        <f>+'Receitas (mensais)'!N188</f>
        <v>0</v>
      </c>
      <c r="Q257" s="2128">
        <f>+'Receitas (mensais)'!O188</f>
        <v>0</v>
      </c>
      <c r="R257" s="2128">
        <f>+'Receitas (mensais)'!P188</f>
        <v>0</v>
      </c>
      <c r="S257" s="2082">
        <f t="shared" si="12"/>
        <v>0</v>
      </c>
      <c r="T257" s="2129"/>
      <c r="U257" s="2129"/>
      <c r="V257" s="2129"/>
      <c r="W257" s="2130"/>
      <c r="X257" s="2096"/>
      <c r="Y257" s="2097"/>
      <c r="AA257" s="2099"/>
    </row>
    <row r="258" spans="1:27" s="2131" customFormat="1" ht="26.25" hidden="1">
      <c r="A258" s="2127"/>
      <c r="B258" s="2088" t="s">
        <v>3426</v>
      </c>
      <c r="C258" s="2124" t="str">
        <f>'Receitas (mensais)'!D189</f>
        <v>Edificios</v>
      </c>
      <c r="D258" s="2126"/>
      <c r="E258" s="2128"/>
      <c r="F258" s="2128"/>
      <c r="G258" s="2128">
        <f>+'Receitas (mensais)'!E189</f>
        <v>0</v>
      </c>
      <c r="H258" s="2128">
        <f>+'Receitas (mensais)'!F189</f>
        <v>0</v>
      </c>
      <c r="I258" s="2128">
        <f>+'Receitas (mensais)'!G189</f>
        <v>0</v>
      </c>
      <c r="J258" s="2128">
        <f>+'Receitas (mensais)'!H189</f>
        <v>0</v>
      </c>
      <c r="K258" s="2128">
        <f>+'Receitas (mensais)'!I189</f>
        <v>0</v>
      </c>
      <c r="L258" s="2128">
        <f>+'Receitas (mensais)'!J189</f>
        <v>0</v>
      </c>
      <c r="M258" s="2128">
        <f>+'Receitas (mensais)'!K189</f>
        <v>0</v>
      </c>
      <c r="N258" s="2128">
        <f>+'Receitas (mensais)'!L189</f>
        <v>0</v>
      </c>
      <c r="O258" s="2128">
        <f>+'Receitas (mensais)'!M189</f>
        <v>0</v>
      </c>
      <c r="P258" s="2128">
        <f>+'Receitas (mensais)'!N189</f>
        <v>0</v>
      </c>
      <c r="Q258" s="2128">
        <f>+'Receitas (mensais)'!O189</f>
        <v>0</v>
      </c>
      <c r="R258" s="2128">
        <f>+'Receitas (mensais)'!P189</f>
        <v>0</v>
      </c>
      <c r="S258" s="2082">
        <f t="shared" si="12"/>
        <v>0</v>
      </c>
      <c r="T258" s="2129"/>
      <c r="U258" s="2129"/>
      <c r="V258" s="2129"/>
      <c r="W258" s="2130"/>
      <c r="X258" s="2096"/>
      <c r="Y258" s="2097"/>
      <c r="AA258" s="2099"/>
    </row>
    <row r="259" spans="1:27" s="2131" customFormat="1" ht="26.25" hidden="1">
      <c r="A259" s="2127"/>
      <c r="B259" s="2088" t="s">
        <v>3427</v>
      </c>
      <c r="C259" s="2124" t="str">
        <f>'Receitas (mensais)'!D190</f>
        <v>Outros</v>
      </c>
      <c r="D259" s="2126"/>
      <c r="E259" s="2128"/>
      <c r="F259" s="2128"/>
      <c r="G259" s="2128">
        <f>+SUM(G260:G263)</f>
        <v>0</v>
      </c>
      <c r="H259" s="2128">
        <f t="shared" ref="H259:R259" si="81">+SUM(H260:H263)</f>
        <v>0</v>
      </c>
      <c r="I259" s="2128">
        <f t="shared" si="81"/>
        <v>0</v>
      </c>
      <c r="J259" s="2128">
        <f t="shared" si="81"/>
        <v>0</v>
      </c>
      <c r="K259" s="2128">
        <f t="shared" si="81"/>
        <v>0</v>
      </c>
      <c r="L259" s="2128">
        <f t="shared" si="81"/>
        <v>0</v>
      </c>
      <c r="M259" s="2128">
        <f t="shared" si="81"/>
        <v>0</v>
      </c>
      <c r="N259" s="2128">
        <f t="shared" si="81"/>
        <v>0</v>
      </c>
      <c r="O259" s="2128">
        <f t="shared" si="81"/>
        <v>0</v>
      </c>
      <c r="P259" s="2128">
        <f t="shared" si="81"/>
        <v>0</v>
      </c>
      <c r="Q259" s="2128">
        <f t="shared" si="81"/>
        <v>0</v>
      </c>
      <c r="R259" s="2128">
        <f t="shared" si="81"/>
        <v>0</v>
      </c>
      <c r="S259" s="2082">
        <f t="shared" si="12"/>
        <v>0</v>
      </c>
      <c r="T259" s="2129"/>
      <c r="U259" s="2129"/>
      <c r="V259" s="2129"/>
      <c r="W259" s="2130"/>
      <c r="X259" s="2096"/>
      <c r="Y259" s="2097"/>
      <c r="AA259" s="2099"/>
    </row>
    <row r="260" spans="1:27" s="2131" customFormat="1" ht="26.25" hidden="1">
      <c r="A260" s="2127"/>
      <c r="B260" s="2088" t="s">
        <v>3428</v>
      </c>
      <c r="C260" s="2124" t="str">
        <f>'Receitas (mensais)'!D191</f>
        <v xml:space="preserve">         M. Defesa</v>
      </c>
      <c r="D260" s="2126"/>
      <c r="E260" s="2128"/>
      <c r="F260" s="2128"/>
      <c r="G260" s="2128">
        <f>+'Receitas (mensais)'!E191</f>
        <v>0</v>
      </c>
      <c r="H260" s="2128">
        <f>+'Receitas (mensais)'!F191</f>
        <v>0</v>
      </c>
      <c r="I260" s="2128">
        <f>+'Receitas (mensais)'!G191</f>
        <v>0</v>
      </c>
      <c r="J260" s="2128">
        <f>+'Receitas (mensais)'!H191</f>
        <v>0</v>
      </c>
      <c r="K260" s="2128">
        <f>+'Receitas (mensais)'!I191</f>
        <v>0</v>
      </c>
      <c r="L260" s="2128">
        <f>+'Receitas (mensais)'!J191</f>
        <v>0</v>
      </c>
      <c r="M260" s="2128">
        <f>+'Receitas (mensais)'!K191</f>
        <v>0</v>
      </c>
      <c r="N260" s="2128">
        <f>+'Receitas (mensais)'!L191</f>
        <v>0</v>
      </c>
      <c r="O260" s="2128">
        <f>+'Receitas (mensais)'!M191</f>
        <v>0</v>
      </c>
      <c r="P260" s="2128">
        <f>+'Receitas (mensais)'!N191</f>
        <v>0</v>
      </c>
      <c r="Q260" s="2128">
        <f>+'Receitas (mensais)'!O191</f>
        <v>0</v>
      </c>
      <c r="R260" s="2128">
        <f>+'Receitas (mensais)'!P191</f>
        <v>0</v>
      </c>
      <c r="S260" s="2082">
        <f t="shared" si="12"/>
        <v>0</v>
      </c>
      <c r="T260" s="2129"/>
      <c r="U260" s="2129"/>
      <c r="V260" s="2129"/>
      <c r="W260" s="2130"/>
      <c r="X260" s="2096"/>
      <c r="Y260" s="2097"/>
      <c r="AA260" s="2099"/>
    </row>
    <row r="261" spans="1:27" s="2131" customFormat="1" ht="26.25" hidden="1">
      <c r="A261" s="2127"/>
      <c r="B261" s="2088" t="s">
        <v>3429</v>
      </c>
      <c r="C261" s="2124" t="str">
        <f>'Receitas (mensais)'!D192</f>
        <v xml:space="preserve">          M. Recursos Naturais</v>
      </c>
      <c r="D261" s="2126"/>
      <c r="E261" s="2128"/>
      <c r="F261" s="2128"/>
      <c r="G261" s="2128">
        <f>+'Receitas (mensais)'!E192</f>
        <v>0</v>
      </c>
      <c r="H261" s="2128">
        <f>+'Receitas (mensais)'!F192</f>
        <v>0</v>
      </c>
      <c r="I261" s="2128">
        <f>+'Receitas (mensais)'!G192</f>
        <v>0</v>
      </c>
      <c r="J261" s="2128">
        <f>+'Receitas (mensais)'!H192</f>
        <v>0</v>
      </c>
      <c r="K261" s="2128">
        <f>+'Receitas (mensais)'!I192</f>
        <v>0</v>
      </c>
      <c r="L261" s="2128">
        <f>+'Receitas (mensais)'!J192</f>
        <v>0</v>
      </c>
      <c r="M261" s="2128">
        <f>+'Receitas (mensais)'!K192</f>
        <v>0</v>
      </c>
      <c r="N261" s="2128">
        <f>+'Receitas (mensais)'!L192</f>
        <v>0</v>
      </c>
      <c r="O261" s="2128">
        <f>+'Receitas (mensais)'!M192</f>
        <v>0</v>
      </c>
      <c r="P261" s="2128">
        <f>+'Receitas (mensais)'!N192</f>
        <v>0</v>
      </c>
      <c r="Q261" s="2128">
        <f>+'Receitas (mensais)'!O192</f>
        <v>0</v>
      </c>
      <c r="R261" s="2128">
        <f>+'Receitas (mensais)'!P192</f>
        <v>0</v>
      </c>
      <c r="S261" s="2082">
        <f t="shared" si="12"/>
        <v>0</v>
      </c>
      <c r="T261" s="2129"/>
      <c r="U261" s="2129"/>
      <c r="V261" s="2129"/>
      <c r="W261" s="2130"/>
      <c r="X261" s="2096"/>
      <c r="Y261" s="2097"/>
      <c r="AA261" s="2099"/>
    </row>
    <row r="262" spans="1:27" s="2131" customFormat="1" ht="26.25" hidden="1">
      <c r="A262" s="2127"/>
      <c r="B262" s="2088" t="s">
        <v>3430</v>
      </c>
      <c r="C262" s="2124" t="str">
        <f>'Receitas (mensais)'!D193</f>
        <v xml:space="preserve">          M. Obras Publicas</v>
      </c>
      <c r="D262" s="2126"/>
      <c r="E262" s="2128"/>
      <c r="F262" s="2128"/>
      <c r="G262" s="2128">
        <f>+'Receitas (mensais)'!E193</f>
        <v>0</v>
      </c>
      <c r="H262" s="2128">
        <f>+'Receitas (mensais)'!F193</f>
        <v>0</v>
      </c>
      <c r="I262" s="2128">
        <f>+'Receitas (mensais)'!G193</f>
        <v>0</v>
      </c>
      <c r="J262" s="2128">
        <f>+'Receitas (mensais)'!H193</f>
        <v>0</v>
      </c>
      <c r="K262" s="2128">
        <f>+'Receitas (mensais)'!I193</f>
        <v>0</v>
      </c>
      <c r="L262" s="2128">
        <f>+'Receitas (mensais)'!J193</f>
        <v>0</v>
      </c>
      <c r="M262" s="2128">
        <f>+'Receitas (mensais)'!K193</f>
        <v>0</v>
      </c>
      <c r="N262" s="2128">
        <f>+'Receitas (mensais)'!L193</f>
        <v>0</v>
      </c>
      <c r="O262" s="2128">
        <f>+'Receitas (mensais)'!M193</f>
        <v>0</v>
      </c>
      <c r="P262" s="2128">
        <f>+'Receitas (mensais)'!N193</f>
        <v>0</v>
      </c>
      <c r="Q262" s="2128">
        <f>+'Receitas (mensais)'!O193</f>
        <v>0</v>
      </c>
      <c r="R262" s="2128">
        <f>+'Receitas (mensais)'!P193</f>
        <v>0</v>
      </c>
      <c r="S262" s="2082">
        <f t="shared" si="12"/>
        <v>0</v>
      </c>
      <c r="T262" s="2129"/>
      <c r="U262" s="2129"/>
      <c r="V262" s="2129"/>
      <c r="W262" s="2130"/>
      <c r="X262" s="2096"/>
      <c r="Y262" s="2097"/>
      <c r="AA262" s="2099"/>
    </row>
    <row r="263" spans="1:27" s="2131" customFormat="1" ht="26.25" hidden="1">
      <c r="A263" s="2127"/>
      <c r="B263" s="2088" t="s">
        <v>3431</v>
      </c>
      <c r="C263" s="2124" t="str">
        <f>'Receitas (mensais)'!D194</f>
        <v xml:space="preserve">          M. Finanças</v>
      </c>
      <c r="D263" s="2126"/>
      <c r="E263" s="2128"/>
      <c r="F263" s="2128"/>
      <c r="G263" s="2128">
        <f>+'Receitas (mensais)'!E194</f>
        <v>0</v>
      </c>
      <c r="H263" s="2128">
        <f>+'Receitas (mensais)'!F194</f>
        <v>0</v>
      </c>
      <c r="I263" s="2128">
        <f>+'Receitas (mensais)'!G194</f>
        <v>0</v>
      </c>
      <c r="J263" s="2128">
        <f>+'Receitas (mensais)'!H194</f>
        <v>0</v>
      </c>
      <c r="K263" s="2128">
        <f>+'Receitas (mensais)'!I194</f>
        <v>0</v>
      </c>
      <c r="L263" s="2128">
        <f>+'Receitas (mensais)'!J194</f>
        <v>0</v>
      </c>
      <c r="M263" s="2128">
        <f>+'Receitas (mensais)'!K194</f>
        <v>0</v>
      </c>
      <c r="N263" s="2128">
        <f>+'Receitas (mensais)'!L194</f>
        <v>0</v>
      </c>
      <c r="O263" s="2128">
        <f>+'Receitas (mensais)'!M194</f>
        <v>0</v>
      </c>
      <c r="P263" s="2128">
        <f>+'Receitas (mensais)'!N194</f>
        <v>0</v>
      </c>
      <c r="Q263" s="2128">
        <f>+'Receitas (mensais)'!O194</f>
        <v>0</v>
      </c>
      <c r="R263" s="2128">
        <f>+'Receitas (mensais)'!P194</f>
        <v>0</v>
      </c>
      <c r="S263" s="2082">
        <f t="shared" si="12"/>
        <v>0</v>
      </c>
      <c r="T263" s="2129"/>
      <c r="U263" s="2129"/>
      <c r="V263" s="2129"/>
      <c r="W263" s="2130"/>
      <c r="X263" s="2096"/>
      <c r="Y263" s="2097"/>
      <c r="AA263" s="2099"/>
    </row>
    <row r="264" spans="1:27" s="2131" customFormat="1" ht="26.25" hidden="1">
      <c r="A264" s="2127"/>
      <c r="B264" s="2088" t="s">
        <v>3424</v>
      </c>
      <c r="C264" s="2100" t="str">
        <f>'Receitas (mensais)'!D196</f>
        <v>Rendas diversas</v>
      </c>
      <c r="D264" s="2126"/>
      <c r="E264" s="2128"/>
      <c r="F264" s="2128"/>
      <c r="G264" s="2128">
        <f>G265+G266</f>
        <v>0</v>
      </c>
      <c r="H264" s="2128">
        <f t="shared" ref="H264:R264" si="82">H265+H266</f>
        <v>0</v>
      </c>
      <c r="I264" s="2128">
        <f t="shared" si="82"/>
        <v>0</v>
      </c>
      <c r="J264" s="2128">
        <f t="shared" si="82"/>
        <v>0</v>
      </c>
      <c r="K264" s="2128">
        <f t="shared" si="82"/>
        <v>0</v>
      </c>
      <c r="L264" s="2128">
        <f t="shared" si="82"/>
        <v>0</v>
      </c>
      <c r="M264" s="2128">
        <f t="shared" si="82"/>
        <v>0</v>
      </c>
      <c r="N264" s="2128">
        <f t="shared" si="82"/>
        <v>0</v>
      </c>
      <c r="O264" s="2128">
        <f t="shared" si="82"/>
        <v>0</v>
      </c>
      <c r="P264" s="2128">
        <f t="shared" si="82"/>
        <v>0</v>
      </c>
      <c r="Q264" s="2128">
        <f t="shared" si="82"/>
        <v>0</v>
      </c>
      <c r="R264" s="2128">
        <f t="shared" si="82"/>
        <v>0</v>
      </c>
      <c r="S264" s="2082">
        <f t="shared" si="12"/>
        <v>0</v>
      </c>
      <c r="T264" s="2129"/>
      <c r="U264" s="2129"/>
      <c r="V264" s="2129"/>
      <c r="W264" s="2130"/>
      <c r="X264" s="2096"/>
      <c r="Y264" s="2097"/>
      <c r="AA264" s="2099"/>
    </row>
    <row r="265" spans="1:27" s="2131" customFormat="1" ht="26.25" hidden="1">
      <c r="A265" s="2127"/>
      <c r="B265" s="2088" t="s">
        <v>3432</v>
      </c>
      <c r="C265" s="2124" t="str">
        <f>'Receitas (mensais)'!D197</f>
        <v>Material de transporte</v>
      </c>
      <c r="D265" s="2126"/>
      <c r="E265" s="2128"/>
      <c r="F265" s="2128"/>
      <c r="G265" s="2128">
        <f>+'Receitas (mensais)'!E197</f>
        <v>0</v>
      </c>
      <c r="H265" s="2128">
        <f>+'Receitas (mensais)'!F197</f>
        <v>0</v>
      </c>
      <c r="I265" s="2128">
        <f>+'Receitas (mensais)'!G197</f>
        <v>0</v>
      </c>
      <c r="J265" s="2128">
        <f>+'Receitas (mensais)'!H197</f>
        <v>0</v>
      </c>
      <c r="K265" s="2128">
        <f>+'Receitas (mensais)'!I197</f>
        <v>0</v>
      </c>
      <c r="L265" s="2128">
        <f>+'Receitas (mensais)'!J197</f>
        <v>0</v>
      </c>
      <c r="M265" s="2128">
        <f>+'Receitas (mensais)'!K197</f>
        <v>0</v>
      </c>
      <c r="N265" s="2128">
        <f>+'Receitas (mensais)'!L197</f>
        <v>0</v>
      </c>
      <c r="O265" s="2128">
        <f>+'Receitas (mensais)'!M197</f>
        <v>0</v>
      </c>
      <c r="P265" s="2128">
        <f>+'Receitas (mensais)'!N197</f>
        <v>0</v>
      </c>
      <c r="Q265" s="2128">
        <f>+'Receitas (mensais)'!O197</f>
        <v>0</v>
      </c>
      <c r="R265" s="2128">
        <f>+'Receitas (mensais)'!P197</f>
        <v>0</v>
      </c>
      <c r="S265" s="2082">
        <f t="shared" si="12"/>
        <v>0</v>
      </c>
      <c r="T265" s="2129"/>
      <c r="U265" s="2129"/>
      <c r="V265" s="2129"/>
      <c r="W265" s="2130"/>
      <c r="X265" s="2096"/>
      <c r="Y265" s="2097"/>
      <c r="AA265" s="2099"/>
    </row>
    <row r="266" spans="1:27" s="2131" customFormat="1" ht="26.25" hidden="1">
      <c r="A266" s="2127"/>
      <c r="B266" s="2088" t="s">
        <v>3433</v>
      </c>
      <c r="C266" s="2124" t="str">
        <f>'Receitas (mensais)'!D198</f>
        <v>Outros</v>
      </c>
      <c r="D266" s="2126"/>
      <c r="E266" s="2128"/>
      <c r="F266" s="2128"/>
      <c r="G266" s="2128">
        <f>+'Receitas (mensais)'!E198</f>
        <v>0</v>
      </c>
      <c r="H266" s="2128">
        <f>+'Receitas (mensais)'!F198</f>
        <v>0</v>
      </c>
      <c r="I266" s="2128">
        <f>+'Receitas (mensais)'!G198</f>
        <v>0</v>
      </c>
      <c r="J266" s="2128">
        <f>+'Receitas (mensais)'!H198</f>
        <v>0</v>
      </c>
      <c r="K266" s="2128">
        <f>+'Receitas (mensais)'!I198</f>
        <v>0</v>
      </c>
      <c r="L266" s="2128">
        <f>+'Receitas (mensais)'!J198</f>
        <v>0</v>
      </c>
      <c r="M266" s="2128">
        <f>+'Receitas (mensais)'!K198</f>
        <v>0</v>
      </c>
      <c r="N266" s="2128">
        <f>+'Receitas (mensais)'!L198</f>
        <v>0</v>
      </c>
      <c r="O266" s="2128">
        <f>+'Receitas (mensais)'!M198</f>
        <v>0</v>
      </c>
      <c r="P266" s="2128">
        <f>+'Receitas (mensais)'!N198</f>
        <v>0</v>
      </c>
      <c r="Q266" s="2128">
        <f>+'Receitas (mensais)'!O198</f>
        <v>0</v>
      </c>
      <c r="R266" s="2128">
        <f>+'Receitas (mensais)'!P198</f>
        <v>0</v>
      </c>
      <c r="S266" s="2082">
        <f t="shared" si="12"/>
        <v>0</v>
      </c>
      <c r="T266" s="2129"/>
      <c r="U266" s="2129"/>
      <c r="V266" s="2129"/>
      <c r="W266" s="2130"/>
      <c r="X266" s="2096"/>
      <c r="Y266" s="2097"/>
      <c r="AA266" s="2099"/>
    </row>
    <row r="267" spans="1:27" s="2089" customFormat="1" ht="26.25" hidden="1">
      <c r="B267" s="2115" t="s">
        <v>3089</v>
      </c>
      <c r="C267" s="2089" t="s">
        <v>3402</v>
      </c>
      <c r="F267" s="2148"/>
      <c r="G267" s="2133">
        <f>SUM(G268:G270)</f>
        <v>0</v>
      </c>
      <c r="H267" s="2133">
        <f t="shared" ref="H267:R267" si="83">SUM(H268:H270)</f>
        <v>1033.615</v>
      </c>
      <c r="I267" s="2133">
        <f t="shared" si="83"/>
        <v>603.05999999999995</v>
      </c>
      <c r="J267" s="2133">
        <f t="shared" si="83"/>
        <v>646.47900000000004</v>
      </c>
      <c r="K267" s="2133">
        <f t="shared" si="83"/>
        <v>1662.826</v>
      </c>
      <c r="L267" s="2133">
        <f t="shared" si="83"/>
        <v>766.875</v>
      </c>
      <c r="M267" s="2133">
        <f t="shared" si="83"/>
        <v>1525.2080000000001</v>
      </c>
      <c r="N267" s="2133">
        <f t="shared" si="83"/>
        <v>62.5</v>
      </c>
      <c r="O267" s="2133">
        <f t="shared" si="83"/>
        <v>203.78899999999999</v>
      </c>
      <c r="P267" s="2133">
        <f t="shared" si="83"/>
        <v>75.007000000000005</v>
      </c>
      <c r="Q267" s="2133">
        <f t="shared" si="83"/>
        <v>0</v>
      </c>
      <c r="R267" s="2133">
        <f t="shared" si="83"/>
        <v>64.12</v>
      </c>
      <c r="S267" s="2082">
        <f t="shared" si="12"/>
        <v>6643.4789999999994</v>
      </c>
    </row>
    <row r="268" spans="1:27" s="2131" customFormat="1" ht="26.25" hidden="1">
      <c r="A268" s="2127"/>
      <c r="B268" s="2088" t="s">
        <v>3434</v>
      </c>
      <c r="C268" s="2100" t="str">
        <f>'Receitas (mensais)'!D325</f>
        <v>Excessos de vencimentos</v>
      </c>
      <c r="D268" s="2126"/>
      <c r="E268" s="2128"/>
      <c r="F268" s="2128"/>
      <c r="G268" s="2128">
        <f>'Receitas (mensais)'!E325</f>
        <v>0</v>
      </c>
      <c r="H268" s="2128">
        <f>'Receitas (mensais)'!F325</f>
        <v>0</v>
      </c>
      <c r="I268" s="2128">
        <f>'Receitas (mensais)'!G325</f>
        <v>0</v>
      </c>
      <c r="J268" s="2128">
        <f>'Receitas (mensais)'!H325</f>
        <v>0</v>
      </c>
      <c r="K268" s="2128">
        <f>'Receitas (mensais)'!I325</f>
        <v>0</v>
      </c>
      <c r="L268" s="2128">
        <f>'Receitas (mensais)'!J325</f>
        <v>0</v>
      </c>
      <c r="M268" s="2128">
        <f>'Receitas (mensais)'!K325</f>
        <v>0</v>
      </c>
      <c r="N268" s="2128">
        <f>'Receitas (mensais)'!L325</f>
        <v>0</v>
      </c>
      <c r="O268" s="2128">
        <f>'Receitas (mensais)'!M325</f>
        <v>0</v>
      </c>
      <c r="P268" s="2128">
        <f>'Receitas (mensais)'!N325</f>
        <v>0</v>
      </c>
      <c r="Q268" s="2128">
        <f>'Receitas (mensais)'!O325</f>
        <v>0</v>
      </c>
      <c r="R268" s="2128">
        <f>'Receitas (mensais)'!P325</f>
        <v>0</v>
      </c>
      <c r="S268" s="2082">
        <f t="shared" si="12"/>
        <v>0</v>
      </c>
      <c r="T268" s="2129"/>
      <c r="U268" s="2129"/>
      <c r="V268" s="2129"/>
      <c r="W268" s="2130"/>
      <c r="X268" s="2096"/>
      <c r="Y268" s="2097"/>
      <c r="AA268" s="2099"/>
    </row>
    <row r="269" spans="1:27" s="2131" customFormat="1" ht="26.25" hidden="1">
      <c r="A269" s="2127"/>
      <c r="B269" s="2088" t="s">
        <v>3435</v>
      </c>
      <c r="C269" s="2100" t="str">
        <f>'Receitas (mensais)'!D326</f>
        <v>Premios e compensaçoes</v>
      </c>
      <c r="D269" s="2126"/>
      <c r="E269" s="2128"/>
      <c r="F269" s="2128"/>
      <c r="G269" s="2128">
        <f>'Receitas (mensais)'!E326</f>
        <v>0</v>
      </c>
      <c r="H269" s="2128">
        <f>'Receitas (mensais)'!F326</f>
        <v>0</v>
      </c>
      <c r="I269" s="2128">
        <f>'Receitas (mensais)'!G326</f>
        <v>0</v>
      </c>
      <c r="J269" s="2128">
        <f>'Receitas (mensais)'!H326</f>
        <v>0</v>
      </c>
      <c r="K269" s="2128">
        <f>'Receitas (mensais)'!I326</f>
        <v>0</v>
      </c>
      <c r="L269" s="2128">
        <f>'Receitas (mensais)'!J326</f>
        <v>0</v>
      </c>
      <c r="M269" s="2128">
        <f>'Receitas (mensais)'!K326</f>
        <v>0</v>
      </c>
      <c r="N269" s="2128">
        <f>'Receitas (mensais)'!L326</f>
        <v>0</v>
      </c>
      <c r="O269" s="2128">
        <f>'Receitas (mensais)'!M326</f>
        <v>0</v>
      </c>
      <c r="P269" s="2128">
        <f>'Receitas (mensais)'!N326</f>
        <v>0</v>
      </c>
      <c r="Q269" s="2128">
        <f>'Receitas (mensais)'!O326</f>
        <v>0</v>
      </c>
      <c r="R269" s="2128">
        <f>'Receitas (mensais)'!P326</f>
        <v>0</v>
      </c>
      <c r="S269" s="2082">
        <f t="shared" si="12"/>
        <v>0</v>
      </c>
      <c r="T269" s="2129"/>
      <c r="U269" s="2129"/>
      <c r="V269" s="2129"/>
      <c r="W269" s="2130"/>
      <c r="X269" s="2096"/>
      <c r="Y269" s="2097"/>
      <c r="AA269" s="2099"/>
    </row>
    <row r="270" spans="1:27" s="2131" customFormat="1" ht="26.25" hidden="1">
      <c r="A270" s="2127"/>
      <c r="B270" s="2088" t="s">
        <v>3436</v>
      </c>
      <c r="C270" s="2100" t="str">
        <f>'Receitas (mensais)'!D327</f>
        <v>Diversas</v>
      </c>
      <c r="D270" s="2126"/>
      <c r="E270" s="2128"/>
      <c r="F270" s="2128"/>
      <c r="G270" s="2128">
        <f>'Receitas (mensais)'!E327</f>
        <v>0</v>
      </c>
      <c r="H270" s="2128">
        <f>'Receitas (mensais)'!F327</f>
        <v>1033.615</v>
      </c>
      <c r="I270" s="2128">
        <f>'Receitas (mensais)'!G327</f>
        <v>603.05999999999995</v>
      </c>
      <c r="J270" s="2128">
        <f>'Receitas (mensais)'!H327</f>
        <v>646.47900000000004</v>
      </c>
      <c r="K270" s="2128">
        <f>'Receitas (mensais)'!I327</f>
        <v>1662.826</v>
      </c>
      <c r="L270" s="2128">
        <f>'Receitas (mensais)'!J327</f>
        <v>766.875</v>
      </c>
      <c r="M270" s="2128">
        <f>'Receitas (mensais)'!K327</f>
        <v>1525.2080000000001</v>
      </c>
      <c r="N270" s="2128">
        <f>'Receitas (mensais)'!L327</f>
        <v>62.5</v>
      </c>
      <c r="O270" s="2128">
        <f>'Receitas (mensais)'!M327</f>
        <v>203.78899999999999</v>
      </c>
      <c r="P270" s="2128">
        <f>'Receitas (mensais)'!N327</f>
        <v>75.007000000000005</v>
      </c>
      <c r="Q270" s="2128">
        <f>'Receitas (mensais)'!O327</f>
        <v>0</v>
      </c>
      <c r="R270" s="2128">
        <f>'Receitas (mensais)'!P327</f>
        <v>64.12</v>
      </c>
      <c r="S270" s="2082">
        <f t="shared" si="12"/>
        <v>6643.4789999999994</v>
      </c>
      <c r="T270" s="2129"/>
      <c r="U270" s="2129"/>
      <c r="V270" s="2129"/>
      <c r="W270" s="2130"/>
      <c r="X270" s="2096"/>
      <c r="Y270" s="2097"/>
      <c r="AA270" s="2099"/>
    </row>
    <row r="271" spans="1:27" s="2086" customFormat="1" ht="26.25">
      <c r="A271" s="2140" t="s">
        <v>187</v>
      </c>
      <c r="B271" s="2141" t="s">
        <v>461</v>
      </c>
      <c r="C271" s="2142" t="s">
        <v>187</v>
      </c>
      <c r="D271" s="2081">
        <f t="shared" ref="D271:R271" si="84">D272+D275</f>
        <v>0</v>
      </c>
      <c r="E271" s="1986">
        <f>E272+E275</f>
        <v>30301714.789856002</v>
      </c>
      <c r="F271" s="1987">
        <f>+F272+F275</f>
        <v>48191508.325999998</v>
      </c>
      <c r="G271" s="1986">
        <f t="shared" si="84"/>
        <v>0</v>
      </c>
      <c r="H271" s="1986">
        <f t="shared" si="84"/>
        <v>1708986.6359999999</v>
      </c>
      <c r="I271" s="1986">
        <f t="shared" si="84"/>
        <v>6351667.6349999998</v>
      </c>
      <c r="J271" s="1986">
        <f t="shared" si="84"/>
        <v>0</v>
      </c>
      <c r="K271" s="1986">
        <f t="shared" si="84"/>
        <v>0</v>
      </c>
      <c r="L271" s="1986">
        <f t="shared" si="84"/>
        <v>6116982.7189999996</v>
      </c>
      <c r="M271" s="1986">
        <f t="shared" si="84"/>
        <v>0</v>
      </c>
      <c r="N271" s="1986">
        <f t="shared" si="84"/>
        <v>0</v>
      </c>
      <c r="O271" s="1986">
        <f t="shared" si="84"/>
        <v>5832614.3799999999</v>
      </c>
      <c r="P271" s="1986">
        <f t="shared" si="84"/>
        <v>0</v>
      </c>
      <c r="Q271" s="1986">
        <f t="shared" si="84"/>
        <v>165000</v>
      </c>
      <c r="R271" s="1986">
        <f t="shared" si="84"/>
        <v>4189325.5199999996</v>
      </c>
      <c r="S271" s="2082">
        <f t="shared" si="12"/>
        <v>24364576.889999997</v>
      </c>
      <c r="T271" s="2083">
        <f t="shared" ref="T271:T278" si="85">SUM(G271:L271)</f>
        <v>14177636.989999998</v>
      </c>
      <c r="U271" s="2083">
        <f t="shared" ref="U271:U278" si="86">SUM(G271:O271)</f>
        <v>20010251.369999997</v>
      </c>
      <c r="V271" s="2083">
        <f t="shared" ref="V271:V289" si="87">S271</f>
        <v>24364576.889999997</v>
      </c>
      <c r="W271" s="2084">
        <f t="shared" si="33"/>
        <v>50.557821774702504</v>
      </c>
      <c r="X271" s="2085">
        <f>S271/$X$1*100/1000</f>
        <v>3.0138886072661144</v>
      </c>
      <c r="Y271" s="2097">
        <f t="shared" ref="Y271:Y308" si="88">+S271/$Y$1*100</f>
        <v>2.9287867399927872</v>
      </c>
      <c r="AA271" s="2099">
        <f t="shared" si="26"/>
        <v>24364.576889999997</v>
      </c>
    </row>
    <row r="272" spans="1:27" s="1855" customFormat="1" ht="26.25">
      <c r="A272" s="1884" t="s">
        <v>463</v>
      </c>
      <c r="B272" s="1918" t="s">
        <v>462</v>
      </c>
      <c r="C272" s="1909" t="s">
        <v>3189</v>
      </c>
      <c r="D272" s="1910">
        <f t="shared" ref="D272:R272" si="89">SUM(D273:D274)</f>
        <v>0</v>
      </c>
      <c r="E272" s="1912">
        <f>SUM(E273:E274)</f>
        <v>0</v>
      </c>
      <c r="F272" s="1984">
        <v>0</v>
      </c>
      <c r="G272" s="1912">
        <f t="shared" si="89"/>
        <v>0</v>
      </c>
      <c r="H272" s="1912">
        <f t="shared" si="89"/>
        <v>0</v>
      </c>
      <c r="I272" s="1912">
        <f t="shared" si="89"/>
        <v>0</v>
      </c>
      <c r="J272" s="1912">
        <f t="shared" si="89"/>
        <v>0</v>
      </c>
      <c r="K272" s="1912">
        <f t="shared" si="89"/>
        <v>0</v>
      </c>
      <c r="L272" s="1912">
        <f t="shared" si="89"/>
        <v>0</v>
      </c>
      <c r="M272" s="1912">
        <f t="shared" si="89"/>
        <v>0</v>
      </c>
      <c r="N272" s="1912">
        <f t="shared" si="89"/>
        <v>0</v>
      </c>
      <c r="O272" s="1912">
        <f t="shared" si="89"/>
        <v>0</v>
      </c>
      <c r="P272" s="1912">
        <f>SUM(P273:P274)</f>
        <v>0</v>
      </c>
      <c r="Q272" s="1912">
        <f>SUM(Q273:Q274)</f>
        <v>0</v>
      </c>
      <c r="R272" s="1912">
        <f t="shared" si="89"/>
        <v>0</v>
      </c>
      <c r="S272" s="1980">
        <f t="shared" si="12"/>
        <v>0</v>
      </c>
      <c r="T272" s="1856">
        <f t="shared" si="85"/>
        <v>0</v>
      </c>
      <c r="U272" s="1856">
        <f t="shared" si="86"/>
        <v>0</v>
      </c>
      <c r="V272" s="1856">
        <f t="shared" si="87"/>
        <v>0</v>
      </c>
      <c r="W272" s="1853" t="e">
        <f t="shared" si="33"/>
        <v>#DIV/0!</v>
      </c>
      <c r="X272" s="1854"/>
      <c r="Y272" s="2003"/>
      <c r="AA272" s="2008">
        <f t="shared" si="26"/>
        <v>0</v>
      </c>
    </row>
    <row r="273" spans="1:28" s="1855" customFormat="1" ht="26.25" hidden="1">
      <c r="A273" s="1884" t="s">
        <v>465</v>
      </c>
      <c r="B273" s="1918"/>
      <c r="C273" s="1909" t="s">
        <v>670</v>
      </c>
      <c r="D273" s="1910"/>
      <c r="E273" s="1912">
        <v>0</v>
      </c>
      <c r="F273" s="1984">
        <v>0</v>
      </c>
      <c r="G273" s="1912">
        <v>0</v>
      </c>
      <c r="H273" s="1912">
        <v>0</v>
      </c>
      <c r="I273" s="1912">
        <v>0</v>
      </c>
      <c r="J273" s="1912">
        <v>0</v>
      </c>
      <c r="K273" s="1912">
        <v>0</v>
      </c>
      <c r="L273" s="1912">
        <v>0</v>
      </c>
      <c r="M273" s="1912">
        <v>0</v>
      </c>
      <c r="N273" s="1912">
        <v>0</v>
      </c>
      <c r="O273" s="1912">
        <v>0</v>
      </c>
      <c r="P273" s="1912">
        <v>0</v>
      </c>
      <c r="Q273" s="1912">
        <v>0</v>
      </c>
      <c r="R273" s="1912">
        <v>0</v>
      </c>
      <c r="S273" s="1980">
        <f>SUM(G273:R273)</f>
        <v>0</v>
      </c>
      <c r="T273" s="1856">
        <f t="shared" si="85"/>
        <v>0</v>
      </c>
      <c r="U273" s="1856">
        <f t="shared" si="86"/>
        <v>0</v>
      </c>
      <c r="V273" s="1856">
        <f t="shared" si="87"/>
        <v>0</v>
      </c>
      <c r="W273" s="1853" t="e">
        <f t="shared" si="33"/>
        <v>#DIV/0!</v>
      </c>
      <c r="X273" s="1854"/>
      <c r="Y273" s="2003"/>
      <c r="AA273" s="2008">
        <f t="shared" si="26"/>
        <v>0</v>
      </c>
    </row>
    <row r="274" spans="1:28" s="1855" customFormat="1" ht="26.25" hidden="1">
      <c r="A274" s="1884" t="s">
        <v>467</v>
      </c>
      <c r="B274" s="1918"/>
      <c r="C274" s="1909" t="s">
        <v>671</v>
      </c>
      <c r="D274" s="1910">
        <v>0</v>
      </c>
      <c r="E274" s="1912">
        <v>0</v>
      </c>
      <c r="F274" s="1984">
        <v>0</v>
      </c>
      <c r="G274" s="1912">
        <v>0</v>
      </c>
      <c r="H274" s="1912">
        <v>0</v>
      </c>
      <c r="I274" s="1912">
        <v>0</v>
      </c>
      <c r="J274" s="1912">
        <v>0</v>
      </c>
      <c r="K274" s="1912">
        <v>0</v>
      </c>
      <c r="L274" s="1912">
        <v>0</v>
      </c>
      <c r="M274" s="1912">
        <v>0</v>
      </c>
      <c r="N274" s="1912">
        <v>0</v>
      </c>
      <c r="O274" s="1912">
        <v>0</v>
      </c>
      <c r="P274" s="1912">
        <v>0</v>
      </c>
      <c r="Q274" s="1912">
        <v>0</v>
      </c>
      <c r="R274" s="1912"/>
      <c r="S274" s="1980">
        <f t="shared" si="12"/>
        <v>0</v>
      </c>
      <c r="T274" s="1856">
        <f t="shared" si="85"/>
        <v>0</v>
      </c>
      <c r="U274" s="1856">
        <f t="shared" si="86"/>
        <v>0</v>
      </c>
      <c r="V274" s="1856">
        <f t="shared" si="87"/>
        <v>0</v>
      </c>
      <c r="W274" s="1853" t="e">
        <f t="shared" si="33"/>
        <v>#DIV/0!</v>
      </c>
      <c r="X274" s="1854"/>
      <c r="Y274" s="2003"/>
      <c r="AA274" s="2008">
        <f t="shared" si="26"/>
        <v>0</v>
      </c>
    </row>
    <row r="275" spans="1:28" s="1855" customFormat="1" ht="26.25">
      <c r="A275" s="1884" t="s">
        <v>469</v>
      </c>
      <c r="B275" s="1918" t="s">
        <v>468</v>
      </c>
      <c r="C275" s="1909" t="s">
        <v>3190</v>
      </c>
      <c r="D275" s="1910">
        <f t="shared" ref="D275:R275" si="90">SUM(D276:D278)</f>
        <v>0</v>
      </c>
      <c r="E275" s="1912">
        <f>+E276+E277</f>
        <v>30301714.789856002</v>
      </c>
      <c r="F275" s="1984">
        <f>+F276+F277</f>
        <v>48191508.325999998</v>
      </c>
      <c r="G275" s="1912">
        <f t="shared" si="90"/>
        <v>0</v>
      </c>
      <c r="H275" s="1912">
        <f t="shared" si="90"/>
        <v>1708986.6359999999</v>
      </c>
      <c r="I275" s="1912">
        <f t="shared" si="90"/>
        <v>6351667.6349999998</v>
      </c>
      <c r="J275" s="1912">
        <f t="shared" si="90"/>
        <v>0</v>
      </c>
      <c r="K275" s="1912">
        <f t="shared" si="90"/>
        <v>0</v>
      </c>
      <c r="L275" s="1912">
        <f t="shared" si="90"/>
        <v>6116982.7189999996</v>
      </c>
      <c r="M275" s="1912">
        <f t="shared" si="90"/>
        <v>0</v>
      </c>
      <c r="N275" s="1912">
        <f t="shared" si="90"/>
        <v>0</v>
      </c>
      <c r="O275" s="1912">
        <f t="shared" si="90"/>
        <v>5832614.3799999999</v>
      </c>
      <c r="P275" s="1912">
        <f t="shared" si="90"/>
        <v>0</v>
      </c>
      <c r="Q275" s="1912">
        <f t="shared" si="90"/>
        <v>165000</v>
      </c>
      <c r="R275" s="1912">
        <f t="shared" si="90"/>
        <v>4189325.5199999996</v>
      </c>
      <c r="S275" s="1980">
        <f t="shared" si="12"/>
        <v>24364576.889999997</v>
      </c>
      <c r="T275" s="1856">
        <f t="shared" si="85"/>
        <v>14177636.989999998</v>
      </c>
      <c r="U275" s="1856">
        <f t="shared" si="86"/>
        <v>20010251.369999997</v>
      </c>
      <c r="V275" s="1856">
        <f t="shared" si="87"/>
        <v>24364576.889999997</v>
      </c>
      <c r="W275" s="1853">
        <f t="shared" si="33"/>
        <v>50.557821774702504</v>
      </c>
      <c r="X275" s="1854"/>
      <c r="Y275" s="2003"/>
      <c r="AA275" s="2008">
        <f t="shared" si="26"/>
        <v>24364.576889999997</v>
      </c>
    </row>
    <row r="276" spans="1:28" s="1855" customFormat="1" ht="26.25">
      <c r="A276" s="1884" t="s">
        <v>465</v>
      </c>
      <c r="B276" s="1918" t="s">
        <v>470</v>
      </c>
      <c r="C276" s="1909" t="s">
        <v>3191</v>
      </c>
      <c r="D276" s="1910"/>
      <c r="E276" s="1912">
        <f>+[28]Tofe!$Q$33</f>
        <v>30301714.789856002</v>
      </c>
      <c r="F276" s="1984">
        <v>46482508.325999998</v>
      </c>
      <c r="G276" s="1912">
        <f>+'Appui-Projets'!J32</f>
        <v>0</v>
      </c>
      <c r="H276" s="1912">
        <f>+'Appui-Projets'!K32</f>
        <v>0</v>
      </c>
      <c r="I276" s="1912">
        <f>+'Appui-Projets'!L32</f>
        <v>6351667.6349999998</v>
      </c>
      <c r="J276" s="1912">
        <f>+'Appui-Projets'!M32</f>
        <v>0</v>
      </c>
      <c r="K276" s="1912">
        <f>+'Appui-Projets'!N32</f>
        <v>0</v>
      </c>
      <c r="L276" s="1912">
        <f>+'Appui-Projets'!O32</f>
        <v>6116982.7189999996</v>
      </c>
      <c r="M276" s="1912">
        <f>+'Appui-Projets'!P32</f>
        <v>0</v>
      </c>
      <c r="N276" s="1912">
        <f>+'Appui-Projets'!Q32</f>
        <v>0</v>
      </c>
      <c r="O276" s="1912">
        <f>+'Appui-Projets'!R32</f>
        <v>5832614.3799999999</v>
      </c>
      <c r="P276" s="1912">
        <f>+'Appui-Projets'!S32</f>
        <v>0</v>
      </c>
      <c r="Q276" s="1912">
        <f>+'Appui-Projets'!T32</f>
        <v>0</v>
      </c>
      <c r="R276" s="1912">
        <f>+'Appui-Projets'!U32</f>
        <v>4189325.5199999996</v>
      </c>
      <c r="S276" s="1980">
        <f t="shared" si="12"/>
        <v>22490590.253999997</v>
      </c>
      <c r="T276" s="1856">
        <f t="shared" si="85"/>
        <v>12468650.353999998</v>
      </c>
      <c r="U276" s="1856">
        <f t="shared" si="86"/>
        <v>18301264.733999997</v>
      </c>
      <c r="V276" s="1856">
        <f t="shared" si="87"/>
        <v>22490590.253999997</v>
      </c>
      <c r="W276" s="1853">
        <f t="shared" si="33"/>
        <v>48.38506152952138</v>
      </c>
      <c r="X276" s="1854"/>
      <c r="Y276" s="2003"/>
      <c r="AA276" s="2008">
        <f t="shared" si="26"/>
        <v>22490.590253999995</v>
      </c>
      <c r="AB276" s="2010">
        <f>'[27]QUADRO 19 (2019)'!$AD$10</f>
        <v>11731</v>
      </c>
    </row>
    <row r="277" spans="1:28" s="1855" customFormat="1" ht="26.25">
      <c r="A277" s="1884" t="s">
        <v>473</v>
      </c>
      <c r="B277" s="1918" t="s">
        <v>472</v>
      </c>
      <c r="C277" s="1909" t="s">
        <v>3192</v>
      </c>
      <c r="D277" s="1910"/>
      <c r="E277" s="1912">
        <f>+'Appui-Bud'!E20</f>
        <v>0</v>
      </c>
      <c r="F277" s="1984">
        <v>1709000</v>
      </c>
      <c r="G277" s="1912">
        <f>+'Appui-Bud'!G20</f>
        <v>0</v>
      </c>
      <c r="H277" s="1912">
        <f>+'Appui-Bud'!H20</f>
        <v>1708986.6359999999</v>
      </c>
      <c r="I277" s="1912">
        <f>+'Appui-Bud'!I20</f>
        <v>0</v>
      </c>
      <c r="J277" s="1912">
        <f>+'Appui-Bud'!J20</f>
        <v>0</v>
      </c>
      <c r="K277" s="1912">
        <f>+'Appui-Bud'!K20</f>
        <v>0</v>
      </c>
      <c r="L277" s="1912">
        <f>+'Appui-Bud'!L20</f>
        <v>0</v>
      </c>
      <c r="M277" s="1912">
        <f>+'Appui-Bud'!M20</f>
        <v>0</v>
      </c>
      <c r="N277" s="1912">
        <f>+'Appui-Bud'!N20</f>
        <v>0</v>
      </c>
      <c r="O277" s="1912">
        <f>+'Appui-Bud'!O20</f>
        <v>0</v>
      </c>
      <c r="P277" s="1912">
        <f>+'Appui-Bud'!P20</f>
        <v>0</v>
      </c>
      <c r="Q277" s="1912">
        <f>+'Appui-Bud'!Q20</f>
        <v>165000</v>
      </c>
      <c r="R277" s="1912">
        <f>+'Appui-Bud'!R20</f>
        <v>0</v>
      </c>
      <c r="S277" s="1980">
        <f t="shared" si="12"/>
        <v>1873986.6359999999</v>
      </c>
      <c r="T277" s="1856">
        <f t="shared" si="85"/>
        <v>1708986.6359999999</v>
      </c>
      <c r="U277" s="1856">
        <f t="shared" si="86"/>
        <v>1708986.6359999999</v>
      </c>
      <c r="V277" s="1856">
        <f t="shared" si="87"/>
        <v>1873986.6359999999</v>
      </c>
      <c r="W277" s="1853">
        <f t="shared" si="33"/>
        <v>109.65398689291983</v>
      </c>
      <c r="X277" s="1854"/>
      <c r="Y277" s="2003"/>
      <c r="AA277" s="2008">
        <f t="shared" si="26"/>
        <v>1873.9866359999999</v>
      </c>
      <c r="AB277" s="2010">
        <f>'[27]QUADRO 19 (2019)'!$AD$14</f>
        <v>1708.9866360000001</v>
      </c>
    </row>
    <row r="278" spans="1:28" s="1855" customFormat="1" ht="26.25" hidden="1">
      <c r="A278" s="1884" t="s">
        <v>476</v>
      </c>
      <c r="B278" s="1918"/>
      <c r="C278" s="1909" t="s">
        <v>477</v>
      </c>
      <c r="D278" s="1910">
        <v>0</v>
      </c>
      <c r="E278" s="1912">
        <v>-2</v>
      </c>
      <c r="F278" s="2072">
        <v>-1</v>
      </c>
      <c r="G278" s="1912">
        <v>0</v>
      </c>
      <c r="H278" s="1912">
        <v>0</v>
      </c>
      <c r="I278" s="1912">
        <v>0</v>
      </c>
      <c r="J278" s="1912">
        <v>0</v>
      </c>
      <c r="K278" s="1912">
        <v>0</v>
      </c>
      <c r="L278" s="1912">
        <v>0</v>
      </c>
      <c r="M278" s="1912">
        <v>0</v>
      </c>
      <c r="N278" s="1912">
        <v>0</v>
      </c>
      <c r="O278" s="1912">
        <v>0</v>
      </c>
      <c r="P278" s="1912">
        <v>0</v>
      </c>
      <c r="Q278" s="1912">
        <v>0</v>
      </c>
      <c r="R278" s="1912">
        <v>0</v>
      </c>
      <c r="S278" s="1980">
        <f t="shared" si="12"/>
        <v>0</v>
      </c>
      <c r="T278" s="1856">
        <f t="shared" si="85"/>
        <v>0</v>
      </c>
      <c r="U278" s="1856">
        <f t="shared" si="86"/>
        <v>0</v>
      </c>
      <c r="V278" s="1856">
        <f t="shared" si="87"/>
        <v>0</v>
      </c>
      <c r="W278" s="1853">
        <f t="shared" si="33"/>
        <v>0</v>
      </c>
      <c r="X278" s="1854"/>
      <c r="Y278" s="2003">
        <f t="shared" si="88"/>
        <v>0</v>
      </c>
      <c r="AA278" s="2008">
        <f t="shared" si="26"/>
        <v>0</v>
      </c>
    </row>
    <row r="279" spans="1:28" s="1870" customFormat="1" ht="30.75" customHeight="1">
      <c r="A279" s="1891" t="s">
        <v>479</v>
      </c>
      <c r="B279" s="1968">
        <v>2</v>
      </c>
      <c r="C279" s="1969" t="s">
        <v>3208</v>
      </c>
      <c r="D279" s="1970">
        <f t="shared" ref="D279:R279" si="91">D280+D301</f>
        <v>0</v>
      </c>
      <c r="E279" s="1971">
        <f>E280+E301</f>
        <v>161352129.30229005</v>
      </c>
      <c r="F279" s="2067">
        <f>F280+F301</f>
        <v>197968520.93700001</v>
      </c>
      <c r="G279" s="1971">
        <f>G280+G301</f>
        <v>7068797.8050196804</v>
      </c>
      <c r="H279" s="1971">
        <f t="shared" si="91"/>
        <v>12473023.807312649</v>
      </c>
      <c r="I279" s="1971">
        <f t="shared" si="91"/>
        <v>27245993.296956491</v>
      </c>
      <c r="J279" s="1971">
        <f t="shared" si="91"/>
        <v>10783831.755123885</v>
      </c>
      <c r="K279" s="1971">
        <f t="shared" si="91"/>
        <v>6016243.1371649997</v>
      </c>
      <c r="L279" s="1971">
        <f t="shared" si="91"/>
        <v>20011109.168644421</v>
      </c>
      <c r="M279" s="1971">
        <f t="shared" si="91"/>
        <v>9691840.8300480004</v>
      </c>
      <c r="N279" s="1971">
        <f t="shared" si="91"/>
        <v>11302241.725</v>
      </c>
      <c r="O279" s="1971">
        <f t="shared" si="91"/>
        <v>24900092.2330851</v>
      </c>
      <c r="P279" s="1971">
        <f t="shared" si="91"/>
        <v>11085977.220615</v>
      </c>
      <c r="Q279" s="1971">
        <f t="shared" si="91"/>
        <v>10257119.445525199</v>
      </c>
      <c r="R279" s="1971">
        <f t="shared" si="91"/>
        <v>14946407.46295194</v>
      </c>
      <c r="S279" s="1979">
        <f>SUM(G279:R279)</f>
        <v>165782677.88744736</v>
      </c>
      <c r="T279" s="1867">
        <f t="shared" ref="T279:T329" si="92">SUM(G279:L279)</f>
        <v>83598998.97022213</v>
      </c>
      <c r="U279" s="1867">
        <f t="shared" ref="U279:U329" si="93">SUM(G279:O279)</f>
        <v>129493173.75835522</v>
      </c>
      <c r="V279" s="1867">
        <f t="shared" si="87"/>
        <v>165782677.88744736</v>
      </c>
      <c r="W279" s="1868">
        <f t="shared" si="33"/>
        <v>83.741938921796958</v>
      </c>
      <c r="X279" s="1869">
        <f>S279/$X$1*100/1000</f>
        <v>20.507252246687617</v>
      </c>
      <c r="Y279" s="2003">
        <f t="shared" si="88"/>
        <v>19.928197846790162</v>
      </c>
      <c r="AA279" s="2008">
        <f t="shared" si="26"/>
        <v>165782.67788744735</v>
      </c>
    </row>
    <row r="280" spans="1:28" s="1855" customFormat="1" ht="26.25">
      <c r="A280" s="1882" t="s">
        <v>482</v>
      </c>
      <c r="B280" s="1904" t="s">
        <v>481</v>
      </c>
      <c r="C280" s="1905" t="s">
        <v>3193</v>
      </c>
      <c r="D280" s="1906">
        <f>D281+D291+D297+D298+D299</f>
        <v>0</v>
      </c>
      <c r="E280" s="1907">
        <f>E281+E291+E297+E298+E299+E300+E290</f>
        <v>161352129.30229005</v>
      </c>
      <c r="F280" s="2068">
        <f>F281+F291+F297+F298+F299+F300+F290</f>
        <v>197968520.93700001</v>
      </c>
      <c r="G280" s="1907">
        <f t="shared" ref="G280:R280" si="94">G281+G291+G297+G298+G299+G300</f>
        <v>7068797.8050196804</v>
      </c>
      <c r="H280" s="1907">
        <f t="shared" si="94"/>
        <v>12473023.807312649</v>
      </c>
      <c r="I280" s="1907">
        <f t="shared" si="94"/>
        <v>27245993.296956491</v>
      </c>
      <c r="J280" s="1907">
        <f t="shared" si="94"/>
        <v>10783831.755123885</v>
      </c>
      <c r="K280" s="1907">
        <f t="shared" si="94"/>
        <v>6016243.1371649997</v>
      </c>
      <c r="L280" s="1907">
        <f t="shared" si="94"/>
        <v>20011109.168644421</v>
      </c>
      <c r="M280" s="1907">
        <f t="shared" si="94"/>
        <v>9691840.8300480004</v>
      </c>
      <c r="N280" s="1907">
        <f t="shared" si="94"/>
        <v>11302241.725</v>
      </c>
      <c r="O280" s="1907">
        <f t="shared" si="94"/>
        <v>24900092.2330851</v>
      </c>
      <c r="P280" s="1907">
        <f t="shared" si="94"/>
        <v>11085977.220615</v>
      </c>
      <c r="Q280" s="1907">
        <f t="shared" si="94"/>
        <v>10257119.445525199</v>
      </c>
      <c r="R280" s="1907">
        <f t="shared" si="94"/>
        <v>14946407.46295194</v>
      </c>
      <c r="S280" s="1980">
        <f>SUM(G280:R280)</f>
        <v>165782677.88744736</v>
      </c>
      <c r="T280" s="1852">
        <f t="shared" si="92"/>
        <v>83598998.97022213</v>
      </c>
      <c r="U280" s="1852">
        <f t="shared" si="93"/>
        <v>129493173.75835522</v>
      </c>
      <c r="V280" s="1852">
        <f t="shared" si="87"/>
        <v>165782677.88744736</v>
      </c>
      <c r="W280" s="1853">
        <f t="shared" si="33"/>
        <v>83.741938921796958</v>
      </c>
      <c r="X280" s="1854"/>
      <c r="Y280" s="2003"/>
      <c r="AA280" s="2008">
        <f t="shared" si="26"/>
        <v>165782.67788744735</v>
      </c>
    </row>
    <row r="281" spans="1:28" s="1855" customFormat="1" ht="26.25">
      <c r="A281" s="1883" t="s">
        <v>189</v>
      </c>
      <c r="B281" s="1904" t="s">
        <v>487</v>
      </c>
      <c r="C281" s="1925" t="s">
        <v>3194</v>
      </c>
      <c r="D281" s="1910">
        <f>SUM(D282:D287)</f>
        <v>0</v>
      </c>
      <c r="E281" s="1912">
        <f>E282+E283+E284+E286+E287</f>
        <v>105448826.50343406</v>
      </c>
      <c r="F281" s="2072">
        <f>F282+F283+F284+F286+F287</f>
        <v>124004927</v>
      </c>
      <c r="G281" s="1912">
        <f>G282+G283+G284+G286+G287</f>
        <v>7038797.8050196804</v>
      </c>
      <c r="H281" s="1912">
        <f t="shared" ref="H281:R281" si="95">H282+H283+H284+H286+H287</f>
        <v>11708782.807312649</v>
      </c>
      <c r="I281" s="1912">
        <f t="shared" si="95"/>
        <v>17345164.620956492</v>
      </c>
      <c r="J281" s="1912">
        <f t="shared" si="95"/>
        <v>10742205.755123885</v>
      </c>
      <c r="K281" s="1912">
        <f t="shared" si="95"/>
        <v>6016243.1371649997</v>
      </c>
      <c r="L281" s="1912">
        <f t="shared" si="95"/>
        <v>11273589.94108442</v>
      </c>
      <c r="M281" s="1912">
        <f t="shared" si="95"/>
        <v>9691840.8300480004</v>
      </c>
      <c r="N281" s="1912">
        <f t="shared" si="95"/>
        <v>10985275.725</v>
      </c>
      <c r="O281" s="1912">
        <f t="shared" si="95"/>
        <v>10153327.538085099</v>
      </c>
      <c r="P281" s="1912">
        <f t="shared" si="95"/>
        <v>10956977.220615</v>
      </c>
      <c r="Q281" s="1912">
        <f t="shared" si="95"/>
        <v>10257119.445525199</v>
      </c>
      <c r="R281" s="1912">
        <f t="shared" si="95"/>
        <v>10736916.242951939</v>
      </c>
      <c r="S281" s="1980">
        <f>SUM(G281:R281)</f>
        <v>126906241.06888737</v>
      </c>
      <c r="T281" s="1856">
        <f t="shared" si="92"/>
        <v>64124784.066662133</v>
      </c>
      <c r="U281" s="1856">
        <f t="shared" si="93"/>
        <v>94955228.159795225</v>
      </c>
      <c r="V281" s="1856">
        <f t="shared" si="87"/>
        <v>126906241.06888737</v>
      </c>
      <c r="W281" s="1853">
        <f t="shared" si="33"/>
        <v>102.33967644599102</v>
      </c>
      <c r="X281" s="1854">
        <f>S281/$X$1*100/1000</f>
        <v>15.698252256761714</v>
      </c>
      <c r="Y281" s="2003">
        <f t="shared" si="88"/>
        <v>15.254987506778143</v>
      </c>
      <c r="AA281" s="2008">
        <f t="shared" si="26"/>
        <v>126906.24106888736</v>
      </c>
      <c r="AB281" s="2010">
        <f>'[27]QUADRO 19 (2019)'!$AD$17</f>
        <v>63956.862026911811</v>
      </c>
    </row>
    <row r="282" spans="1:28" s="1855" customFormat="1" ht="26.25">
      <c r="A282" s="1884" t="s">
        <v>492</v>
      </c>
      <c r="B282" s="1908" t="s">
        <v>489</v>
      </c>
      <c r="C282" s="1917" t="s">
        <v>3224</v>
      </c>
      <c r="D282" s="1910"/>
      <c r="E282" s="1912">
        <f>+[28]Tofe!$Q$40</f>
        <v>37026279</v>
      </c>
      <c r="F282" s="2072">
        <v>42976136</v>
      </c>
      <c r="G282" s="1912">
        <f>+'Ordon-Dep'!E7</f>
        <v>3546706</v>
      </c>
      <c r="H282" s="1912">
        <f>+'Ordon-Dep'!F7</f>
        <v>4497594</v>
      </c>
      <c r="I282" s="1912">
        <f>+'Ordon-Dep'!G7</f>
        <v>3461803</v>
      </c>
      <c r="J282" s="1912">
        <f>+'Ordon-Dep'!H7</f>
        <v>3775373</v>
      </c>
      <c r="K282" s="1912">
        <f>+'Ordon-Dep'!I7</f>
        <v>3247611</v>
      </c>
      <c r="L282" s="1912">
        <f>+'Ordon-Dep'!J7</f>
        <v>4400221</v>
      </c>
      <c r="M282" s="1912">
        <f>+'Ordon-Dep'!K7</f>
        <v>3523960</v>
      </c>
      <c r="N282" s="1912">
        <f>+'Ordon-Dep'!L7</f>
        <v>3674820</v>
      </c>
      <c r="O282" s="1912">
        <f>+'Ordon-Dep'!M7</f>
        <v>3557583</v>
      </c>
      <c r="P282" s="1912">
        <f>+'Ordon-Dep'!N7</f>
        <v>3639094</v>
      </c>
      <c r="Q282" s="1912">
        <f>+'Ordon-Dep'!O7</f>
        <v>3722947</v>
      </c>
      <c r="R282" s="1912">
        <f>+'Ordon-Dep'!P7</f>
        <v>4427291</v>
      </c>
      <c r="S282" s="1980">
        <f t="shared" ref="S282:S306" si="96">SUM(G282:R282)</f>
        <v>45475003</v>
      </c>
      <c r="T282" s="1856">
        <f t="shared" si="92"/>
        <v>22929308</v>
      </c>
      <c r="U282" s="1856">
        <f t="shared" si="93"/>
        <v>33685671</v>
      </c>
      <c r="V282" s="1856">
        <f t="shared" si="87"/>
        <v>45475003</v>
      </c>
      <c r="W282" s="1853">
        <f t="shared" si="33"/>
        <v>105.81454554220511</v>
      </c>
      <c r="X282" s="1854"/>
      <c r="Y282" s="2003"/>
      <c r="AA282" s="2008">
        <f t="shared" si="26"/>
        <v>45475.002999999997</v>
      </c>
      <c r="AB282" s="2010">
        <f>'[27]QUADRO 19 (2019)'!$AD$18</f>
        <v>22929.307000000001</v>
      </c>
    </row>
    <row r="283" spans="1:28" s="1855" customFormat="1" ht="26.25">
      <c r="A283" s="1884" t="s">
        <v>495</v>
      </c>
      <c r="B283" s="1908" t="s">
        <v>494</v>
      </c>
      <c r="C283" s="1917" t="s">
        <v>3195</v>
      </c>
      <c r="D283" s="1910"/>
      <c r="E283" s="1912">
        <f>+[28]Tofe!$Q$41</f>
        <v>20046041.856999997</v>
      </c>
      <c r="F283" s="2072">
        <v>19293000</v>
      </c>
      <c r="G283" s="1912">
        <f>+'Ordon-Dep'!E13</f>
        <v>686473</v>
      </c>
      <c r="H283" s="1912">
        <f>+'Ordon-Dep'!F13</f>
        <v>2537129</v>
      </c>
      <c r="I283" s="1912">
        <f>+'Ordon-Dep'!G13</f>
        <v>1049924.6640000001</v>
      </c>
      <c r="J283" s="1912">
        <f>+'Ordon-Dep'!H13</f>
        <v>1405939</v>
      </c>
      <c r="K283" s="1912">
        <f>+'Ordon-Dep'!I13</f>
        <v>293793</v>
      </c>
      <c r="L283" s="1912">
        <f>+'Ordon-Dep'!J13</f>
        <v>2369321</v>
      </c>
      <c r="M283" s="1912">
        <f>+'Ordon-Dep'!K13</f>
        <v>1457666</v>
      </c>
      <c r="N283" s="1912">
        <f>+'Ordon-Dep'!L13</f>
        <v>1486964</v>
      </c>
      <c r="O283" s="1912">
        <f>+'Ordon-Dep'!M13</f>
        <v>1421689</v>
      </c>
      <c r="P283" s="1912">
        <f>+'Ordon-Dep'!N13</f>
        <v>1367113</v>
      </c>
      <c r="Q283" s="1912">
        <f>+'Ordon-Dep'!O13</f>
        <v>1681653</v>
      </c>
      <c r="R283" s="1912">
        <f>+'Ordon-Dep'!P13</f>
        <v>1629753</v>
      </c>
      <c r="S283" s="1980">
        <f t="shared" si="96"/>
        <v>17387417.664000001</v>
      </c>
      <c r="T283" s="1856">
        <f t="shared" si="92"/>
        <v>8342579.6639999999</v>
      </c>
      <c r="U283" s="1856">
        <f t="shared" si="93"/>
        <v>12708898.664000001</v>
      </c>
      <c r="V283" s="1856">
        <f t="shared" si="87"/>
        <v>17387417.664000001</v>
      </c>
      <c r="W283" s="1853">
        <f t="shared" si="33"/>
        <v>90.122934038252225</v>
      </c>
      <c r="X283" s="1854"/>
      <c r="Y283" s="2003"/>
      <c r="AA283" s="2008">
        <f t="shared" si="26"/>
        <v>17387.417664000001</v>
      </c>
      <c r="AB283" s="2010">
        <f>'[27]QUADRO 19 (2019)'!$AD$19</f>
        <v>8249.8019999999997</v>
      </c>
    </row>
    <row r="284" spans="1:28" s="1855" customFormat="1" ht="26.25">
      <c r="A284" s="1884" t="s">
        <v>498</v>
      </c>
      <c r="B284" s="1908" t="s">
        <v>497</v>
      </c>
      <c r="C284" s="1917" t="s">
        <v>3196</v>
      </c>
      <c r="D284" s="1910"/>
      <c r="E284" s="1912">
        <f>+[28]Tofe!$Q$42</f>
        <v>26129721.177000001</v>
      </c>
      <c r="F284" s="2072">
        <v>31801000</v>
      </c>
      <c r="G284" s="1912">
        <f>+'Ordon-Dep'!E20</f>
        <v>1469521</v>
      </c>
      <c r="H284" s="1912">
        <f>+'Ordon-Dep'!F20</f>
        <v>2020007</v>
      </c>
      <c r="I284" s="1912">
        <f>+'Ordon-Dep'!G20</f>
        <v>11064332.579</v>
      </c>
      <c r="J284" s="1912">
        <f>+'Ordon-Dep'!H20</f>
        <v>1783931</v>
      </c>
      <c r="K284" s="1912">
        <f>+'Ordon-Dep'!I20</f>
        <v>1756088</v>
      </c>
      <c r="L284" s="1912">
        <f>+'Ordon-Dep'!J20</f>
        <v>1974717</v>
      </c>
      <c r="M284" s="1912">
        <f>+'Ordon-Dep'!K20</f>
        <v>1909814</v>
      </c>
      <c r="N284" s="1912">
        <f>+'Ordon-Dep'!L20</f>
        <v>2464753</v>
      </c>
      <c r="O284" s="1912">
        <f>+'Ordon-Dep'!M20</f>
        <v>2183563</v>
      </c>
      <c r="P284" s="1912">
        <f>+'Ordon-Dep'!N20</f>
        <v>2916130</v>
      </c>
      <c r="Q284" s="1912">
        <f>+'Ordon-Dep'!O20</f>
        <v>2061379</v>
      </c>
      <c r="R284" s="1912">
        <f>+'Ordon-Dep'!P20</f>
        <v>1919839</v>
      </c>
      <c r="S284" s="1980">
        <f>SUM(G284:R284)</f>
        <v>33524074.579</v>
      </c>
      <c r="T284" s="1856">
        <f t="shared" si="92"/>
        <v>20068596.579</v>
      </c>
      <c r="U284" s="1856">
        <f t="shared" si="93"/>
        <v>26626726.579</v>
      </c>
      <c r="V284" s="1856">
        <f t="shared" si="87"/>
        <v>33524074.579</v>
      </c>
      <c r="W284" s="1853">
        <f t="shared" si="33"/>
        <v>105.41830313197697</v>
      </c>
      <c r="X284" s="1854"/>
      <c r="Y284" s="2003"/>
      <c r="AA284" s="2008">
        <f t="shared" si="26"/>
        <v>33524.074579</v>
      </c>
      <c r="AB284" s="2010">
        <f>'[27]QUADRO 19 (2019)'!$AD$20</f>
        <v>18537.341</v>
      </c>
    </row>
    <row r="285" spans="1:28" s="1855" customFormat="1" ht="26.25" hidden="1">
      <c r="A285" s="1884" t="s">
        <v>500</v>
      </c>
      <c r="B285" s="1908" t="s">
        <v>3144</v>
      </c>
      <c r="C285" s="1914" t="s">
        <v>3143</v>
      </c>
      <c r="D285" s="1910">
        <v>0</v>
      </c>
      <c r="E285" s="1912"/>
      <c r="F285" s="2072"/>
      <c r="G285" s="1912"/>
      <c r="H285" s="1912"/>
      <c r="I285" s="1912"/>
      <c r="J285" s="1912"/>
      <c r="K285" s="1912"/>
      <c r="L285" s="1912"/>
      <c r="M285" s="1912"/>
      <c r="N285" s="1912"/>
      <c r="O285" s="1912"/>
      <c r="P285" s="1912"/>
      <c r="Q285" s="1912"/>
      <c r="R285" s="1985"/>
      <c r="S285" s="1980">
        <f t="shared" si="96"/>
        <v>0</v>
      </c>
      <c r="T285" s="1856">
        <f t="shared" si="92"/>
        <v>0</v>
      </c>
      <c r="U285" s="1856">
        <f t="shared" si="93"/>
        <v>0</v>
      </c>
      <c r="V285" s="1856">
        <f t="shared" si="87"/>
        <v>0</v>
      </c>
      <c r="W285" s="1853" t="e">
        <f t="shared" si="33"/>
        <v>#DIV/0!</v>
      </c>
      <c r="X285" s="1854"/>
      <c r="Y285" s="2003"/>
      <c r="AA285" s="2008">
        <f t="shared" si="26"/>
        <v>0</v>
      </c>
    </row>
    <row r="286" spans="1:28" s="1855" customFormat="1" ht="26.25">
      <c r="A286" s="1884" t="s">
        <v>503</v>
      </c>
      <c r="B286" s="1908" t="s">
        <v>502</v>
      </c>
      <c r="C286" s="1917" t="s">
        <v>3230</v>
      </c>
      <c r="D286" s="1910"/>
      <c r="E286" s="1912">
        <f>+[28]Tofe!$Q$44</f>
        <v>17369874.229999997</v>
      </c>
      <c r="F286" s="2072">
        <f>16300007+4000000</f>
        <v>20300007</v>
      </c>
      <c r="G286" s="1912">
        <f>+'Ordon-Dep'!E27+'Ordon-Dep'!E47</f>
        <v>1093845.723</v>
      </c>
      <c r="H286" s="1912">
        <f>+'Ordon-Dep'!F27+'Ordon-Dep'!F47</f>
        <v>2323513.8160000001</v>
      </c>
      <c r="I286" s="1912">
        <f>+'Ordon-Dep'!G27+'Ordon-Dep'!G47</f>
        <v>1561791.2080000001</v>
      </c>
      <c r="J286" s="1912">
        <f>+'Ordon-Dep'!H27+'Ordon-Dep'!H47</f>
        <v>1417869.8107499999</v>
      </c>
      <c r="K286" s="1912">
        <f>+'Ordon-Dep'!I27+'Ordon-Dep'!I47</f>
        <v>666378.2365</v>
      </c>
      <c r="L286" s="1912">
        <f>+'Ordon-Dep'!J27+'Ordon-Dep'!J47</f>
        <v>1767597.537</v>
      </c>
      <c r="M286" s="1912">
        <f>+'Ordon-Dep'!K27+'Ordon-Dep'!K47</f>
        <v>1857561.2560000001</v>
      </c>
      <c r="N286" s="1912">
        <f>+'Ordon-Dep'!L27+'Ordon-Dep'!L47</f>
        <v>2808164.8360000001</v>
      </c>
      <c r="O286" s="1912">
        <f>+'Ordon-Dep'!M27+'Ordon-Dep'!M47</f>
        <v>2487600.216</v>
      </c>
      <c r="P286" s="1912">
        <f>+'Ordon-Dep'!N27+'Ordon-Dep'!N47</f>
        <v>1950926.6839999999</v>
      </c>
      <c r="Q286" s="1912">
        <f>+'Ordon-Dep'!O27+'Ordon-Dep'!O47</f>
        <v>2488860.2919999999</v>
      </c>
      <c r="R286" s="1912">
        <f>+'Ordon-Dep'!P27+'Ordon-Dep'!P47</f>
        <v>2276769.1540000001</v>
      </c>
      <c r="S286" s="1980">
        <f t="shared" si="96"/>
        <v>22700878.769249994</v>
      </c>
      <c r="T286" s="1856">
        <f t="shared" si="92"/>
        <v>8830996.3312499989</v>
      </c>
      <c r="U286" s="1856">
        <f t="shared" si="93"/>
        <v>15984322.639249997</v>
      </c>
      <c r="V286" s="1856">
        <f t="shared" si="87"/>
        <v>22700878.769249994</v>
      </c>
      <c r="W286" s="1853">
        <f t="shared" si="33"/>
        <v>111.82695045006632</v>
      </c>
      <c r="X286" s="1854"/>
      <c r="Y286" s="2003"/>
      <c r="AA286" s="2008">
        <f t="shared" si="26"/>
        <v>22700.878769249994</v>
      </c>
      <c r="AB286" s="2010">
        <f>'[27]QUADRO 19 (2019)'!$AD$24+'[27]QUADRO 19 (2019)'!$AD$25</f>
        <v>9012.2327212500004</v>
      </c>
    </row>
    <row r="287" spans="1:28" s="1855" customFormat="1" ht="26.25">
      <c r="A287" s="1884" t="s">
        <v>506</v>
      </c>
      <c r="B287" s="1908" t="s">
        <v>505</v>
      </c>
      <c r="C287" s="1917" t="s">
        <v>3197</v>
      </c>
      <c r="D287" s="1910"/>
      <c r="E287" s="1912">
        <f>+E288+E289</f>
        <v>4876910.2394340653</v>
      </c>
      <c r="F287" s="2072">
        <v>9634784</v>
      </c>
      <c r="G287" s="1912">
        <f t="shared" ref="G287:Q287" si="97">SUM(G288:G289)</f>
        <v>242252.08201967998</v>
      </c>
      <c r="H287" s="1912">
        <f t="shared" si="97"/>
        <v>330538.99131265003</v>
      </c>
      <c r="I287" s="1912">
        <f t="shared" si="97"/>
        <v>207313.16995648976</v>
      </c>
      <c r="J287" s="1912">
        <f t="shared" si="97"/>
        <v>2359092.9443738847</v>
      </c>
      <c r="K287" s="1912">
        <f t="shared" si="97"/>
        <v>52372.900665000001</v>
      </c>
      <c r="L287" s="1912">
        <f t="shared" si="97"/>
        <v>761733.40408442006</v>
      </c>
      <c r="M287" s="1912">
        <f t="shared" si="97"/>
        <v>942839.57404800004</v>
      </c>
      <c r="N287" s="1912">
        <f t="shared" si="97"/>
        <v>550573.88899999997</v>
      </c>
      <c r="O287" s="1912">
        <f t="shared" si="97"/>
        <v>502892.32208510005</v>
      </c>
      <c r="P287" s="1912">
        <f t="shared" si="97"/>
        <v>1083713.5366149999</v>
      </c>
      <c r="Q287" s="1912">
        <f t="shared" si="97"/>
        <v>302280.15352519997</v>
      </c>
      <c r="R287" s="1912">
        <f>SUM(R288:R289)</f>
        <v>483264.08895194007</v>
      </c>
      <c r="S287" s="1980">
        <f>SUM(G287:R287)</f>
        <v>7818867.0566373654</v>
      </c>
      <c r="T287" s="1856">
        <f t="shared" si="92"/>
        <v>3953303.4924121248</v>
      </c>
      <c r="U287" s="1856">
        <f t="shared" si="93"/>
        <v>5949609.2775452258</v>
      </c>
      <c r="V287" s="1856">
        <f t="shared" si="87"/>
        <v>7818867.0566373654</v>
      </c>
      <c r="W287" s="1853">
        <f t="shared" si="33"/>
        <v>81.152489320335206</v>
      </c>
      <c r="X287" s="1854"/>
      <c r="Y287" s="2003"/>
      <c r="AA287" s="2008">
        <f t="shared" si="26"/>
        <v>7818.8670566373657</v>
      </c>
      <c r="AB287" s="2010">
        <f>'[27]QUADRO 19 (2019)'!$AD$21</f>
        <v>5228.1793056618135</v>
      </c>
    </row>
    <row r="288" spans="1:28" s="1855" customFormat="1" ht="26.25">
      <c r="A288" s="1884" t="s">
        <v>508</v>
      </c>
      <c r="B288" s="1908" t="s">
        <v>3147</v>
      </c>
      <c r="C288" s="1914" t="s">
        <v>3199</v>
      </c>
      <c r="D288" s="1910"/>
      <c r="E288" s="1912">
        <f>+[28]Tofe!$Q$46</f>
        <v>2103385.1166562876</v>
      </c>
      <c r="F288" s="2072"/>
      <c r="G288" s="1912">
        <f>+'Ordon-Dep'!E5</f>
        <v>242252.08201967998</v>
      </c>
      <c r="H288" s="1912">
        <f>+'Ordon-Dep'!F5</f>
        <v>57937.760312650003</v>
      </c>
      <c r="I288" s="1912">
        <f>+'Ordon-Dep'!G5</f>
        <v>93256.528511389697</v>
      </c>
      <c r="J288" s="1912">
        <f>+'Ordon-Dep'!H5</f>
        <v>551493.52637388499</v>
      </c>
      <c r="K288" s="1912">
        <f>+'Ordon-Dep'!I5</f>
        <v>22907.567665000002</v>
      </c>
      <c r="L288" s="1912">
        <f>+'Ordon-Dep'!J5</f>
        <v>520896.20263931999</v>
      </c>
      <c r="M288" s="1912">
        <f>+'Ordon-Dep'!K5</f>
        <v>279819.81404800003</v>
      </c>
      <c r="N288" s="1912">
        <f>+'Ordon-Dep'!L5</f>
        <v>95917.945000000007</v>
      </c>
      <c r="O288" s="1912">
        <f>+'Ordon-Dep'!M5</f>
        <v>130676.35164000001</v>
      </c>
      <c r="P288" s="1912">
        <f>+'Ordon-Dep'!N5</f>
        <v>723790.09461499983</v>
      </c>
      <c r="Q288" s="1912">
        <f>+'Ordon-Dep'!O5</f>
        <v>50926.7265252</v>
      </c>
      <c r="R288" s="1985">
        <f>+'Ordon-Dep'!P5</f>
        <v>372484.62850683997</v>
      </c>
      <c r="S288" s="2020">
        <f>SUM(G288:R288)</f>
        <v>3142359.2278569639</v>
      </c>
      <c r="T288" s="1856">
        <f t="shared" si="92"/>
        <v>1488743.6675219245</v>
      </c>
      <c r="U288" s="1856">
        <f t="shared" si="93"/>
        <v>1995157.7782099245</v>
      </c>
      <c r="V288" s="1856">
        <f t="shared" si="87"/>
        <v>3142359.2278569639</v>
      </c>
      <c r="W288" s="1853" t="e">
        <f t="shared" si="33"/>
        <v>#DIV/0!</v>
      </c>
      <c r="X288" s="1854"/>
      <c r="Y288" s="2003"/>
      <c r="AA288" s="2008">
        <f t="shared" si="26"/>
        <v>3142.359227856964</v>
      </c>
      <c r="AB288" s="2010">
        <f>'[27]QUADRO 19 (2019)'!$AD$22</f>
        <v>2365.598</v>
      </c>
    </row>
    <row r="289" spans="1:28" s="1866" customFormat="1" ht="26.25">
      <c r="A289" s="1889" t="s">
        <v>110</v>
      </c>
      <c r="B289" s="1926" t="s">
        <v>3148</v>
      </c>
      <c r="C289" s="1914" t="s">
        <v>3198</v>
      </c>
      <c r="D289" s="1911">
        <v>0</v>
      </c>
      <c r="E289" s="1984">
        <f>+[28]Tofe!$Q$47</f>
        <v>2773525.1227777773</v>
      </c>
      <c r="F289" s="2072"/>
      <c r="G289" s="1984">
        <f>+'Ordon-Dep'!E4+'Ordon-Dep'!E17</f>
        <v>0</v>
      </c>
      <c r="H289" s="1984">
        <f>+'Ordon-Dep'!F4+'Ordon-Dep'!F17</f>
        <v>272601.23100000003</v>
      </c>
      <c r="I289" s="1984">
        <f>+'Ordon-Dep'!G4+'Ordon-Dep'!G17</f>
        <v>114056.64144510006</v>
      </c>
      <c r="J289" s="1984">
        <f>+'Ordon-Dep'!H4+'Ordon-Dep'!H17</f>
        <v>1807599.4179999998</v>
      </c>
      <c r="K289" s="1984">
        <f>+'Ordon-Dep'!I4+'Ordon-Dep'!I17</f>
        <v>29465.332999999999</v>
      </c>
      <c r="L289" s="1984">
        <f>+'Ordon-Dep'!J4+'Ordon-Dep'!J17</f>
        <v>240837.20144510007</v>
      </c>
      <c r="M289" s="1984">
        <f>+'Ordon-Dep'!K4+'Ordon-Dep'!K17</f>
        <v>663019.76</v>
      </c>
      <c r="N289" s="1984">
        <f>+'Ordon-Dep'!L4+'Ordon-Dep'!L17</f>
        <v>454655.94400000002</v>
      </c>
      <c r="O289" s="1984">
        <f>+'Ordon-Dep'!M4+'Ordon-Dep'!M17</f>
        <v>372215.97044510004</v>
      </c>
      <c r="P289" s="1984">
        <f>+'Ordon-Dep'!N4+'Ordon-Dep'!N17</f>
        <v>359923.44199999998</v>
      </c>
      <c r="Q289" s="1984">
        <f>+'Ordon-Dep'!O4+'Ordon-Dep'!O17</f>
        <v>251353.427</v>
      </c>
      <c r="R289" s="1984">
        <f>+'Ordon-Dep'!P4+'Ordon-Dep'!P17</f>
        <v>110779.46044510006</v>
      </c>
      <c r="S289" s="2020">
        <f>SUM(G289:R289)</f>
        <v>4676507.8287804006</v>
      </c>
      <c r="T289" s="1864">
        <f t="shared" si="92"/>
        <v>2464559.8248902</v>
      </c>
      <c r="U289" s="1864">
        <f t="shared" si="93"/>
        <v>3954451.4993353002</v>
      </c>
      <c r="V289" s="1864">
        <f t="shared" si="87"/>
        <v>4676507.8287804006</v>
      </c>
      <c r="W289" s="1865" t="e">
        <f t="shared" si="33"/>
        <v>#DIV/0!</v>
      </c>
      <c r="X289" s="1854"/>
      <c r="Y289" s="2003"/>
      <c r="AA289" s="2008">
        <f t="shared" si="26"/>
        <v>4676.5078287804008</v>
      </c>
      <c r="AB289" s="2011">
        <f>'[27]QUADRO 19 (2019)'!$AD$23</f>
        <v>2862.581305661814</v>
      </c>
    </row>
    <row r="290" spans="1:28" s="1855" customFormat="1" ht="26.25">
      <c r="A290" s="1884"/>
      <c r="B290" s="1908" t="s">
        <v>3146</v>
      </c>
      <c r="C290" s="1924" t="s">
        <v>3229</v>
      </c>
      <c r="D290" s="1906"/>
      <c r="E290" s="1907">
        <f>+[28]Tofe!$Q$58</f>
        <v>5283565.262000001</v>
      </c>
      <c r="F290" s="2068"/>
      <c r="G290" s="1912"/>
      <c r="H290" s="1912"/>
      <c r="I290" s="1912"/>
      <c r="J290" s="1912"/>
      <c r="K290" s="1912"/>
      <c r="L290" s="1912"/>
      <c r="M290" s="1912"/>
      <c r="N290" s="1912"/>
      <c r="O290" s="1912"/>
      <c r="P290" s="1912"/>
      <c r="Q290" s="1912"/>
      <c r="R290" s="1912"/>
      <c r="S290" s="1980"/>
      <c r="T290" s="1856"/>
      <c r="U290" s="1856"/>
      <c r="V290" s="1856"/>
      <c r="W290" s="1853"/>
      <c r="X290" s="1854"/>
      <c r="Y290" s="2003"/>
      <c r="AA290" s="2008">
        <f t="shared" si="26"/>
        <v>0</v>
      </c>
    </row>
    <row r="291" spans="1:28" s="1855" customFormat="1" ht="26.25">
      <c r="A291" s="1883" t="s">
        <v>190</v>
      </c>
      <c r="B291" s="1904" t="s">
        <v>513</v>
      </c>
      <c r="C291" s="1925" t="s">
        <v>3200</v>
      </c>
      <c r="D291" s="1910">
        <f t="shared" ref="D291:R291" si="98">D292+D295</f>
        <v>0</v>
      </c>
      <c r="E291" s="1912">
        <f>+E292+E295</f>
        <v>50619739.536856003</v>
      </c>
      <c r="F291" s="2072">
        <f>+F292+F295</f>
        <v>73963595.937000006</v>
      </c>
      <c r="G291" s="1912">
        <f>G292+G295</f>
        <v>30000</v>
      </c>
      <c r="H291" s="1912">
        <f t="shared" si="98"/>
        <v>764241</v>
      </c>
      <c r="I291" s="1912">
        <f t="shared" si="98"/>
        <v>9900828.675999999</v>
      </c>
      <c r="J291" s="1912">
        <f t="shared" si="98"/>
        <v>41626</v>
      </c>
      <c r="K291" s="1912">
        <f t="shared" si="98"/>
        <v>0</v>
      </c>
      <c r="L291" s="1912">
        <f t="shared" si="98"/>
        <v>8737519.2275599986</v>
      </c>
      <c r="M291" s="1912">
        <f t="shared" si="98"/>
        <v>0</v>
      </c>
      <c r="N291" s="1912">
        <f t="shared" si="98"/>
        <v>316966</v>
      </c>
      <c r="O291" s="1912">
        <f t="shared" si="98"/>
        <v>14746764.695</v>
      </c>
      <c r="P291" s="1912">
        <f t="shared" si="98"/>
        <v>129000</v>
      </c>
      <c r="Q291" s="1912">
        <f t="shared" si="98"/>
        <v>0</v>
      </c>
      <c r="R291" s="1912">
        <f t="shared" si="98"/>
        <v>4209491.22</v>
      </c>
      <c r="S291" s="1980">
        <f t="shared" si="96"/>
        <v>38876436.818559997</v>
      </c>
      <c r="T291" s="1856">
        <f t="shared" si="92"/>
        <v>19474214.903559998</v>
      </c>
      <c r="U291" s="1856">
        <f t="shared" si="93"/>
        <v>34537945.598559998</v>
      </c>
      <c r="V291" s="1856">
        <f>S291</f>
        <v>38876436.818559997</v>
      </c>
      <c r="W291" s="1853">
        <f t="shared" ref="W291:W334" si="99">S291/F291*100</f>
        <v>52.561582932871175</v>
      </c>
      <c r="X291" s="1854">
        <f>S291/$X$1*100/1000</f>
        <v>4.8089999899259039</v>
      </c>
      <c r="Y291" s="2003">
        <f t="shared" si="88"/>
        <v>4.6732103400120204</v>
      </c>
      <c r="AA291" s="2008">
        <f t="shared" si="26"/>
        <v>38876.436818559996</v>
      </c>
      <c r="AB291" s="2010">
        <f>'[27]QUADRO 19 (2019)'!$AD$26</f>
        <v>21028.866999999998</v>
      </c>
    </row>
    <row r="292" spans="1:28" s="1855" customFormat="1" ht="26.25">
      <c r="A292" s="1884" t="s">
        <v>516</v>
      </c>
      <c r="B292" s="1918" t="s">
        <v>515</v>
      </c>
      <c r="C292" s="1917" t="s">
        <v>3201</v>
      </c>
      <c r="D292" s="1910">
        <f t="shared" ref="D292:R292" si="100">SUM(D293:D294)</f>
        <v>0</v>
      </c>
      <c r="E292" s="1912">
        <f>+E293+E294</f>
        <v>48531080.536856003</v>
      </c>
      <c r="F292" s="2072">
        <f>+F293+F294</f>
        <v>69963595.937000006</v>
      </c>
      <c r="G292" s="1912">
        <f t="shared" si="100"/>
        <v>0</v>
      </c>
      <c r="H292" s="1912">
        <f t="shared" si="100"/>
        <v>0</v>
      </c>
      <c r="I292" s="1912">
        <f t="shared" si="100"/>
        <v>9900828.675999999</v>
      </c>
      <c r="J292" s="1912">
        <f t="shared" si="100"/>
        <v>0</v>
      </c>
      <c r="K292" s="1912">
        <f t="shared" si="100"/>
        <v>0</v>
      </c>
      <c r="L292" s="1912">
        <f t="shared" si="100"/>
        <v>8737519.2275599986</v>
      </c>
      <c r="M292" s="1912">
        <f t="shared" si="100"/>
        <v>0</v>
      </c>
      <c r="N292" s="1912">
        <f t="shared" si="100"/>
        <v>0</v>
      </c>
      <c r="O292" s="1912">
        <f t="shared" si="100"/>
        <v>14255389.695</v>
      </c>
      <c r="P292" s="1912">
        <f t="shared" si="100"/>
        <v>0</v>
      </c>
      <c r="Q292" s="1912">
        <f t="shared" si="100"/>
        <v>0</v>
      </c>
      <c r="R292" s="1912">
        <f t="shared" si="100"/>
        <v>4189491.2199999997</v>
      </c>
      <c r="S292" s="1980">
        <f t="shared" si="96"/>
        <v>37083228.818559997</v>
      </c>
      <c r="T292" s="1856">
        <f t="shared" si="92"/>
        <v>18638347.903559998</v>
      </c>
      <c r="U292" s="1856">
        <f t="shared" si="93"/>
        <v>32893737.598559998</v>
      </c>
      <c r="V292" s="1856">
        <f>S292</f>
        <v>37083228.818559997</v>
      </c>
      <c r="W292" s="1853">
        <f t="shared" si="99"/>
        <v>53.003606121035098</v>
      </c>
      <c r="X292" s="1854">
        <f>S292/$X$1*100/1000</f>
        <v>4.5871808634925344</v>
      </c>
      <c r="Y292" s="2003">
        <f t="shared" si="88"/>
        <v>4.4576546241807913</v>
      </c>
      <c r="Z292" s="1871"/>
      <c r="AA292" s="2008">
        <f t="shared" si="26"/>
        <v>37083.228818559997</v>
      </c>
      <c r="AB292" s="2010">
        <f>'[27]QUADRO 19 (2019)'!$AD$27</f>
        <v>20193</v>
      </c>
    </row>
    <row r="293" spans="1:28" s="1855" customFormat="1" ht="26.25">
      <c r="A293" s="1884" t="s">
        <v>712</v>
      </c>
      <c r="B293" s="1918" t="s">
        <v>3151</v>
      </c>
      <c r="C293" s="1922" t="s">
        <v>674</v>
      </c>
      <c r="D293" s="1910"/>
      <c r="E293" s="1912">
        <f>+[28]Tofe!$Q$51</f>
        <v>30301714.789856002</v>
      </c>
      <c r="F293" s="2072">
        <f>+F276</f>
        <v>46482508.325999998</v>
      </c>
      <c r="G293" s="1912">
        <f t="shared" ref="G293:Q293" si="101">+G276</f>
        <v>0</v>
      </c>
      <c r="H293" s="1912">
        <f t="shared" si="101"/>
        <v>0</v>
      </c>
      <c r="I293" s="1912">
        <f t="shared" si="101"/>
        <v>6351667.6349999998</v>
      </c>
      <c r="J293" s="1912">
        <f t="shared" si="101"/>
        <v>0</v>
      </c>
      <c r="K293" s="1912">
        <f t="shared" si="101"/>
        <v>0</v>
      </c>
      <c r="L293" s="1912">
        <f t="shared" si="101"/>
        <v>6116982.7189999996</v>
      </c>
      <c r="M293" s="1912">
        <f t="shared" si="101"/>
        <v>0</v>
      </c>
      <c r="N293" s="1912">
        <f t="shared" si="101"/>
        <v>0</v>
      </c>
      <c r="O293" s="1912">
        <f t="shared" si="101"/>
        <v>5832614.3799999999</v>
      </c>
      <c r="P293" s="1912">
        <f t="shared" si="101"/>
        <v>0</v>
      </c>
      <c r="Q293" s="1912">
        <f t="shared" si="101"/>
        <v>0</v>
      </c>
      <c r="R293" s="1912">
        <f>+R276</f>
        <v>4189325.5199999996</v>
      </c>
      <c r="S293" s="1980">
        <f t="shared" si="96"/>
        <v>22490590.253999997</v>
      </c>
      <c r="T293" s="1856">
        <f t="shared" si="92"/>
        <v>12468650.353999998</v>
      </c>
      <c r="U293" s="1856">
        <f t="shared" si="93"/>
        <v>18301264.733999997</v>
      </c>
      <c r="V293" s="1856">
        <f>S293</f>
        <v>22490590.253999997</v>
      </c>
      <c r="W293" s="1853">
        <f t="shared" si="99"/>
        <v>48.38506152952138</v>
      </c>
      <c r="X293" s="1854"/>
      <c r="Y293" s="2003"/>
      <c r="Z293" s="1871"/>
      <c r="AA293" s="2008">
        <f t="shared" si="26"/>
        <v>22490.590253999995</v>
      </c>
    </row>
    <row r="294" spans="1:28" s="1855" customFormat="1" ht="26.25">
      <c r="A294" s="1884" t="s">
        <v>713</v>
      </c>
      <c r="B294" s="1918" t="s">
        <v>3152</v>
      </c>
      <c r="C294" s="1922" t="s">
        <v>675</v>
      </c>
      <c r="D294" s="1910">
        <v>0</v>
      </c>
      <c r="E294" s="1912">
        <f>+[28]Tofe!$Q$52</f>
        <v>18229365.747000001</v>
      </c>
      <c r="F294" s="2072">
        <f>+F376</f>
        <v>23481087.611000001</v>
      </c>
      <c r="G294" s="1912">
        <f t="shared" ref="G294:Q294" si="102">+G376</f>
        <v>0</v>
      </c>
      <c r="H294" s="1912">
        <f t="shared" si="102"/>
        <v>0</v>
      </c>
      <c r="I294" s="1912">
        <f t="shared" si="102"/>
        <v>3549161.0410000002</v>
      </c>
      <c r="J294" s="1912">
        <f t="shared" si="102"/>
        <v>0</v>
      </c>
      <c r="K294" s="1912">
        <f t="shared" si="102"/>
        <v>0</v>
      </c>
      <c r="L294" s="1912">
        <f t="shared" si="102"/>
        <v>2620536.50856</v>
      </c>
      <c r="M294" s="1912">
        <f t="shared" si="102"/>
        <v>0</v>
      </c>
      <c r="N294" s="1912">
        <f t="shared" si="102"/>
        <v>0</v>
      </c>
      <c r="O294" s="1912">
        <f t="shared" si="102"/>
        <v>8422775.3149999995</v>
      </c>
      <c r="P294" s="1912">
        <f t="shared" si="102"/>
        <v>0</v>
      </c>
      <c r="Q294" s="1912">
        <f t="shared" si="102"/>
        <v>0</v>
      </c>
      <c r="R294" s="1912">
        <f>+R376</f>
        <v>165.7</v>
      </c>
      <c r="S294" s="1980">
        <f t="shared" si="96"/>
        <v>14592638.56456</v>
      </c>
      <c r="T294" s="1856">
        <f t="shared" si="92"/>
        <v>6169697.5495600002</v>
      </c>
      <c r="U294" s="1856">
        <f t="shared" si="93"/>
        <v>14592472.864560001</v>
      </c>
      <c r="V294" s="1856">
        <f>S294</f>
        <v>14592638.56456</v>
      </c>
      <c r="W294" s="1853">
        <f t="shared" si="99"/>
        <v>62.146348611739356</v>
      </c>
      <c r="X294" s="1854"/>
      <c r="Y294" s="2003"/>
      <c r="Z294" s="1871"/>
      <c r="AA294" s="2008">
        <f t="shared" si="26"/>
        <v>14592.63856456</v>
      </c>
      <c r="AB294" s="2010">
        <f>'[27]QUADRO 19 (2019)'!$AD$12</f>
        <v>8462</v>
      </c>
    </row>
    <row r="295" spans="1:28" s="1855" customFormat="1" ht="26.25">
      <c r="A295" s="1884" t="s">
        <v>519</v>
      </c>
      <c r="B295" s="1918" t="s">
        <v>518</v>
      </c>
      <c r="C295" s="1917" t="s">
        <v>3202</v>
      </c>
      <c r="D295" s="1910"/>
      <c r="E295" s="1912">
        <f>+[28]Tofe!$Q$53</f>
        <v>2088659</v>
      </c>
      <c r="F295" s="2072">
        <v>4000000</v>
      </c>
      <c r="G295" s="1912">
        <f>+'Ordon-Dep'!E39</f>
        <v>30000</v>
      </c>
      <c r="H295" s="1912">
        <f>+'Ordon-Dep'!F39</f>
        <v>764241</v>
      </c>
      <c r="I295" s="1912">
        <f>+'Ordon-Dep'!G39</f>
        <v>0</v>
      </c>
      <c r="J295" s="1912">
        <f>+'Ordon-Dep'!H39</f>
        <v>41626</v>
      </c>
      <c r="K295" s="1912">
        <f>+'Ordon-Dep'!I39</f>
        <v>0</v>
      </c>
      <c r="L295" s="1912">
        <f>+'Ordon-Dep'!J39</f>
        <v>0</v>
      </c>
      <c r="M295" s="1912">
        <f>+'Ordon-Dep'!K39</f>
        <v>0</v>
      </c>
      <c r="N295" s="1912">
        <f>+'Ordon-Dep'!L39</f>
        <v>316966</v>
      </c>
      <c r="O295" s="1912">
        <f>+'Ordon-Dep'!M39</f>
        <v>491375</v>
      </c>
      <c r="P295" s="1912">
        <f>+'Ordon-Dep'!N39</f>
        <v>129000</v>
      </c>
      <c r="Q295" s="1912">
        <f>+'Ordon-Dep'!O39</f>
        <v>0</v>
      </c>
      <c r="R295" s="1912">
        <f>+'Ordon-Dep'!P39</f>
        <v>20000</v>
      </c>
      <c r="S295" s="1980">
        <f t="shared" si="96"/>
        <v>1793208</v>
      </c>
      <c r="T295" s="1856">
        <f t="shared" si="92"/>
        <v>835867</v>
      </c>
      <c r="U295" s="1856">
        <f t="shared" si="93"/>
        <v>1644208</v>
      </c>
      <c r="V295" s="1856">
        <f>S295</f>
        <v>1793208</v>
      </c>
      <c r="W295" s="1853">
        <f t="shared" si="99"/>
        <v>44.830199999999998</v>
      </c>
      <c r="X295" s="1854">
        <f>S295/$X$1*100/1000</f>
        <v>0.22181912643336918</v>
      </c>
      <c r="Y295" s="2003">
        <f t="shared" si="88"/>
        <v>0.21555571583122971</v>
      </c>
      <c r="Z295" s="1871"/>
      <c r="AA295" s="2008">
        <f t="shared" si="26"/>
        <v>1793.2080000000001</v>
      </c>
      <c r="AB295" s="2010">
        <f>'[27]QUADRO 19 (2019)'!$AD$28</f>
        <v>835.86699999999996</v>
      </c>
    </row>
    <row r="296" spans="1:28" s="1855" customFormat="1" ht="26.25" hidden="1">
      <c r="A296" s="1884"/>
      <c r="B296" s="1927"/>
      <c r="C296" s="1928"/>
      <c r="D296" s="1910"/>
      <c r="E296" s="1912">
        <f>'Ordon-Dep'!C43</f>
        <v>0</v>
      </c>
      <c r="F296" s="2072">
        <f>'Ordon-Dep'!D43</f>
        <v>0</v>
      </c>
      <c r="G296" s="1912">
        <f>'Ordon-Dep'!E43</f>
        <v>0</v>
      </c>
      <c r="H296" s="1912">
        <f>'Ordon-Dep'!F43</f>
        <v>0</v>
      </c>
      <c r="I296" s="1912">
        <f>'Ordon-Dep'!G43</f>
        <v>0</v>
      </c>
      <c r="J296" s="1912">
        <f>'Ordon-Dep'!H43</f>
        <v>0</v>
      </c>
      <c r="K296" s="1912">
        <f>'Ordon-Dep'!I43</f>
        <v>0</v>
      </c>
      <c r="L296" s="1912">
        <f>'Ordon-Dep'!J43</f>
        <v>0</v>
      </c>
      <c r="M296" s="1912">
        <f>'Ordon-Dep'!K43</f>
        <v>0</v>
      </c>
      <c r="N296" s="1912">
        <f>'Ordon-Dep'!L43</f>
        <v>0</v>
      </c>
      <c r="O296" s="1912">
        <f>'Ordon-Dep'!M43</f>
        <v>0</v>
      </c>
      <c r="P296" s="1912">
        <f>'Ordon-Dep'!N43</f>
        <v>0</v>
      </c>
      <c r="Q296" s="1912">
        <f>'Ordon-Dep'!O43</f>
        <v>0</v>
      </c>
      <c r="R296" s="1912">
        <f>'Ordon-Dep'!P43</f>
        <v>0</v>
      </c>
      <c r="S296" s="1980">
        <f t="shared" si="96"/>
        <v>0</v>
      </c>
      <c r="T296" s="1856">
        <f t="shared" si="92"/>
        <v>0</v>
      </c>
      <c r="U296" s="1856">
        <f t="shared" si="93"/>
        <v>0</v>
      </c>
      <c r="V296" s="1856">
        <f t="shared" ref="V296:V329" si="103">S296</f>
        <v>0</v>
      </c>
      <c r="W296" s="1853" t="e">
        <f t="shared" si="99"/>
        <v>#DIV/0!</v>
      </c>
      <c r="X296" s="1854"/>
      <c r="Y296" s="2003">
        <f t="shared" si="88"/>
        <v>0</v>
      </c>
      <c r="Z296" s="1871"/>
      <c r="AA296" s="2008">
        <f t="shared" si="26"/>
        <v>0</v>
      </c>
    </row>
    <row r="297" spans="1:28" s="1855" customFormat="1" ht="26.25" hidden="1">
      <c r="A297" s="1888" t="s">
        <v>522</v>
      </c>
      <c r="B297" s="1929"/>
      <c r="C297" s="1930" t="s">
        <v>523</v>
      </c>
      <c r="D297" s="1910"/>
      <c r="E297" s="1912">
        <v>-2</v>
      </c>
      <c r="F297" s="2072">
        <v>-2</v>
      </c>
      <c r="G297" s="1912">
        <v>0</v>
      </c>
      <c r="H297" s="1912">
        <v>0</v>
      </c>
      <c r="I297" s="1912">
        <v>0</v>
      </c>
      <c r="J297" s="1912">
        <v>0</v>
      </c>
      <c r="K297" s="1912">
        <v>0</v>
      </c>
      <c r="L297" s="1912">
        <v>0</v>
      </c>
      <c r="M297" s="1912">
        <v>0</v>
      </c>
      <c r="N297" s="1912">
        <v>0</v>
      </c>
      <c r="O297" s="1912">
        <v>0</v>
      </c>
      <c r="P297" s="1912">
        <v>0</v>
      </c>
      <c r="Q297" s="1912">
        <v>0</v>
      </c>
      <c r="R297" s="1912">
        <v>0</v>
      </c>
      <c r="S297" s="1980">
        <f t="shared" si="96"/>
        <v>0</v>
      </c>
      <c r="T297" s="1856">
        <f t="shared" si="92"/>
        <v>0</v>
      </c>
      <c r="U297" s="1856">
        <f t="shared" si="93"/>
        <v>0</v>
      </c>
      <c r="V297" s="1856">
        <f t="shared" si="103"/>
        <v>0</v>
      </c>
      <c r="W297" s="1853">
        <f t="shared" si="99"/>
        <v>0</v>
      </c>
      <c r="X297" s="1854"/>
      <c r="Y297" s="2003">
        <f t="shared" si="88"/>
        <v>0</v>
      </c>
      <c r="Z297" s="1871"/>
      <c r="AA297" s="2008">
        <f t="shared" si="26"/>
        <v>0</v>
      </c>
    </row>
    <row r="298" spans="1:28" s="1855" customFormat="1" ht="26.25" hidden="1">
      <c r="A298" s="1888" t="s">
        <v>525</v>
      </c>
      <c r="B298" s="1929"/>
      <c r="C298" s="1930" t="s">
        <v>526</v>
      </c>
      <c r="D298" s="1910"/>
      <c r="E298" s="1912"/>
      <c r="F298" s="2072"/>
      <c r="G298" s="1912"/>
      <c r="H298" s="1912"/>
      <c r="I298" s="1912"/>
      <c r="J298" s="1912"/>
      <c r="K298" s="1912"/>
      <c r="L298" s="1984"/>
      <c r="M298" s="1912"/>
      <c r="N298" s="1912"/>
      <c r="O298" s="1912"/>
      <c r="P298" s="1912"/>
      <c r="Q298" s="1912"/>
      <c r="R298" s="1985"/>
      <c r="S298" s="1980">
        <f t="shared" si="96"/>
        <v>0</v>
      </c>
      <c r="T298" s="1856">
        <f t="shared" si="92"/>
        <v>0</v>
      </c>
      <c r="U298" s="1856">
        <f t="shared" si="93"/>
        <v>0</v>
      </c>
      <c r="V298" s="1856">
        <f t="shared" si="103"/>
        <v>0</v>
      </c>
      <c r="W298" s="1853" t="e">
        <f t="shared" si="99"/>
        <v>#DIV/0!</v>
      </c>
      <c r="X298" s="1854"/>
      <c r="Y298" s="2003">
        <f t="shared" si="88"/>
        <v>0</v>
      </c>
      <c r="AA298" s="2008">
        <f t="shared" si="26"/>
        <v>0</v>
      </c>
    </row>
    <row r="299" spans="1:28" s="1855" customFormat="1" ht="26.25" hidden="1">
      <c r="A299" s="1888" t="s">
        <v>528</v>
      </c>
      <c r="B299" s="1929"/>
      <c r="C299" s="1930" t="s">
        <v>2869</v>
      </c>
      <c r="D299" s="1931"/>
      <c r="E299" s="1986"/>
      <c r="F299" s="2076"/>
      <c r="G299" s="1986"/>
      <c r="H299" s="1986"/>
      <c r="I299" s="1987"/>
      <c r="J299" s="1986"/>
      <c r="K299" s="1986"/>
      <c r="L299" s="1987"/>
      <c r="M299" s="1986"/>
      <c r="N299" s="1986"/>
      <c r="O299" s="1907"/>
      <c r="P299" s="1986"/>
      <c r="Q299" s="1907"/>
      <c r="R299" s="1907"/>
      <c r="S299" s="1980">
        <f t="shared" si="96"/>
        <v>0</v>
      </c>
      <c r="T299" s="1856">
        <f t="shared" si="92"/>
        <v>0</v>
      </c>
      <c r="U299" s="1856">
        <f t="shared" si="93"/>
        <v>0</v>
      </c>
      <c r="V299" s="1856">
        <f t="shared" si="103"/>
        <v>0</v>
      </c>
      <c r="W299" s="1853" t="e">
        <f t="shared" si="99"/>
        <v>#DIV/0!</v>
      </c>
      <c r="X299" s="1854">
        <f>S299/$X$1*100/1000</f>
        <v>0</v>
      </c>
      <c r="Y299" s="2003">
        <f t="shared" si="88"/>
        <v>0</v>
      </c>
      <c r="AA299" s="2008">
        <f t="shared" si="26"/>
        <v>0</v>
      </c>
    </row>
    <row r="300" spans="1:28" s="1855" customFormat="1" ht="26.25" hidden="1">
      <c r="A300" s="1883"/>
      <c r="B300" s="1932"/>
      <c r="C300" s="1933" t="s">
        <v>2758</v>
      </c>
      <c r="D300" s="1910"/>
      <c r="E300" s="1986"/>
      <c r="F300" s="2076"/>
      <c r="G300" s="1986"/>
      <c r="H300" s="1986"/>
      <c r="I300" s="1987"/>
      <c r="J300" s="1987"/>
      <c r="K300" s="1987"/>
      <c r="L300" s="1987"/>
      <c r="M300" s="1986"/>
      <c r="N300" s="1986"/>
      <c r="O300" s="1907">
        <v>0</v>
      </c>
      <c r="P300" s="1986"/>
      <c r="Q300" s="1986"/>
      <c r="R300" s="1988"/>
      <c r="S300" s="1980">
        <f>SUM(G300:R300)</f>
        <v>0</v>
      </c>
      <c r="T300" s="1856">
        <f t="shared" si="92"/>
        <v>0</v>
      </c>
      <c r="U300" s="1856">
        <f t="shared" si="93"/>
        <v>0</v>
      </c>
      <c r="V300" s="1856">
        <f t="shared" si="103"/>
        <v>0</v>
      </c>
      <c r="W300" s="1853" t="e">
        <f t="shared" si="99"/>
        <v>#DIV/0!</v>
      </c>
      <c r="X300" s="1854"/>
      <c r="Y300" s="2003">
        <f t="shared" si="88"/>
        <v>0</v>
      </c>
      <c r="AA300" s="2008">
        <f t="shared" si="26"/>
        <v>0</v>
      </c>
    </row>
    <row r="301" spans="1:28" s="1855" customFormat="1" ht="26.25">
      <c r="A301" s="1882" t="s">
        <v>531</v>
      </c>
      <c r="B301" s="1904" t="s">
        <v>530</v>
      </c>
      <c r="C301" s="1935" t="s">
        <v>3225</v>
      </c>
      <c r="D301" s="1906">
        <f t="shared" ref="D301:R301" si="104">SUM(D302:D306)</f>
        <v>0</v>
      </c>
      <c r="E301" s="1907">
        <v>0</v>
      </c>
      <c r="F301" s="2068">
        <v>0</v>
      </c>
      <c r="G301" s="1907">
        <f t="shared" si="104"/>
        <v>0</v>
      </c>
      <c r="H301" s="1907">
        <v>0</v>
      </c>
      <c r="I301" s="1907">
        <f t="shared" si="104"/>
        <v>0</v>
      </c>
      <c r="J301" s="1907">
        <f t="shared" si="104"/>
        <v>0</v>
      </c>
      <c r="K301" s="1907">
        <f t="shared" si="104"/>
        <v>0</v>
      </c>
      <c r="L301" s="1907">
        <f t="shared" si="104"/>
        <v>0</v>
      </c>
      <c r="M301" s="1907">
        <f t="shared" si="104"/>
        <v>0</v>
      </c>
      <c r="N301" s="1907">
        <f t="shared" si="104"/>
        <v>0</v>
      </c>
      <c r="O301" s="1907">
        <f t="shared" si="104"/>
        <v>0</v>
      </c>
      <c r="P301" s="1907">
        <f t="shared" si="104"/>
        <v>0</v>
      </c>
      <c r="Q301" s="1907">
        <f t="shared" si="104"/>
        <v>0</v>
      </c>
      <c r="R301" s="1907">
        <f t="shared" si="104"/>
        <v>0</v>
      </c>
      <c r="S301" s="1980">
        <f t="shared" si="96"/>
        <v>0</v>
      </c>
      <c r="T301" s="1852">
        <f t="shared" si="92"/>
        <v>0</v>
      </c>
      <c r="U301" s="1852">
        <f t="shared" si="93"/>
        <v>0</v>
      </c>
      <c r="V301" s="1852">
        <f t="shared" si="103"/>
        <v>0</v>
      </c>
      <c r="W301" s="1853" t="e">
        <f t="shared" si="99"/>
        <v>#DIV/0!</v>
      </c>
      <c r="X301" s="1854"/>
      <c r="Y301" s="2003"/>
      <c r="AA301" s="2008">
        <f t="shared" si="26"/>
        <v>0</v>
      </c>
    </row>
    <row r="302" spans="1:28" s="1855" customFormat="1" ht="26.25" hidden="1">
      <c r="A302" s="1888" t="s">
        <v>534</v>
      </c>
      <c r="B302" s="1927"/>
      <c r="C302" s="1928" t="s">
        <v>535</v>
      </c>
      <c r="D302" s="1906"/>
      <c r="E302" s="1907">
        <v>-2</v>
      </c>
      <c r="F302" s="2068">
        <v>-1</v>
      </c>
      <c r="G302" s="1907">
        <v>0</v>
      </c>
      <c r="H302" s="1907">
        <v>0</v>
      </c>
      <c r="I302" s="1989">
        <v>0</v>
      </c>
      <c r="J302" s="1907">
        <v>0</v>
      </c>
      <c r="K302" s="1907">
        <v>0</v>
      </c>
      <c r="L302" s="1907">
        <v>0</v>
      </c>
      <c r="M302" s="1907">
        <v>0</v>
      </c>
      <c r="N302" s="1907">
        <v>0</v>
      </c>
      <c r="O302" s="1907">
        <v>0</v>
      </c>
      <c r="P302" s="1907">
        <v>0</v>
      </c>
      <c r="Q302" s="1907">
        <v>0</v>
      </c>
      <c r="R302" s="1986">
        <v>0</v>
      </c>
      <c r="S302" s="1980">
        <f t="shared" si="96"/>
        <v>0</v>
      </c>
      <c r="T302" s="1852">
        <f t="shared" si="92"/>
        <v>0</v>
      </c>
      <c r="U302" s="1852">
        <f t="shared" si="93"/>
        <v>0</v>
      </c>
      <c r="V302" s="1852">
        <f t="shared" si="103"/>
        <v>0</v>
      </c>
      <c r="W302" s="1853">
        <f t="shared" si="99"/>
        <v>0</v>
      </c>
      <c r="X302" s="1854"/>
      <c r="Y302" s="2003">
        <f t="shared" si="88"/>
        <v>0</v>
      </c>
      <c r="AA302" s="2008">
        <f t="shared" si="26"/>
        <v>0</v>
      </c>
    </row>
    <row r="303" spans="1:28" s="1855" customFormat="1" ht="26.25" hidden="1">
      <c r="A303" s="1888" t="s">
        <v>540</v>
      </c>
      <c r="B303" s="1927"/>
      <c r="C303" s="1928" t="s">
        <v>541</v>
      </c>
      <c r="D303" s="1910"/>
      <c r="E303" s="1907">
        <f>+'Appui-Bud'!E9</f>
        <v>0</v>
      </c>
      <c r="F303" s="2068">
        <f>+'Appui-Bud'!F9</f>
        <v>0</v>
      </c>
      <c r="G303" s="1907">
        <f>+'Appui-Bud'!G9</f>
        <v>0</v>
      </c>
      <c r="H303" s="1907">
        <f>+'Appui-Bud'!H9</f>
        <v>0</v>
      </c>
      <c r="I303" s="1907">
        <f>+'Appui-Bud'!I9</f>
        <v>0</v>
      </c>
      <c r="J303" s="1907">
        <f>+'Appui-Bud'!J9</f>
        <v>0</v>
      </c>
      <c r="K303" s="1907">
        <f>+'Appui-Bud'!K9</f>
        <v>0</v>
      </c>
      <c r="L303" s="1907">
        <f>+'Appui-Bud'!L9</f>
        <v>0</v>
      </c>
      <c r="M303" s="1907">
        <f>+'Appui-Bud'!M9</f>
        <v>0</v>
      </c>
      <c r="N303" s="1907">
        <f>+'Appui-Bud'!N9</f>
        <v>0</v>
      </c>
      <c r="O303" s="1907">
        <f>+'Appui-Bud'!O9</f>
        <v>0</v>
      </c>
      <c r="P303" s="1907">
        <f>+'Appui-Bud'!P9</f>
        <v>0</v>
      </c>
      <c r="Q303" s="1907">
        <f>+'Appui-Bud'!Q9</f>
        <v>0</v>
      </c>
      <c r="R303" s="1907">
        <f>+'Appui-Bud'!R9</f>
        <v>0</v>
      </c>
      <c r="S303" s="1980">
        <f t="shared" si="96"/>
        <v>0</v>
      </c>
      <c r="T303" s="1852">
        <f t="shared" si="92"/>
        <v>0</v>
      </c>
      <c r="U303" s="1852">
        <f t="shared" si="93"/>
        <v>0</v>
      </c>
      <c r="V303" s="1852">
        <f t="shared" si="103"/>
        <v>0</v>
      </c>
      <c r="W303" s="1853" t="e">
        <f t="shared" si="99"/>
        <v>#DIV/0!</v>
      </c>
      <c r="X303" s="1854"/>
      <c r="Y303" s="2003">
        <f t="shared" si="88"/>
        <v>0</v>
      </c>
      <c r="AA303" s="2008">
        <f t="shared" si="26"/>
        <v>0</v>
      </c>
    </row>
    <row r="304" spans="1:28" s="1855" customFormat="1" ht="26.25" hidden="1">
      <c r="A304" s="1888" t="s">
        <v>544</v>
      </c>
      <c r="B304" s="1927"/>
      <c r="C304" s="1928" t="s">
        <v>545</v>
      </c>
      <c r="D304" s="1906">
        <v>0</v>
      </c>
      <c r="E304" s="1907">
        <v>0</v>
      </c>
      <c r="F304" s="2068">
        <v>0</v>
      </c>
      <c r="G304" s="1907">
        <v>0</v>
      </c>
      <c r="H304" s="1907">
        <v>0</v>
      </c>
      <c r="I304" s="1907">
        <v>0</v>
      </c>
      <c r="J304" s="1907">
        <v>0</v>
      </c>
      <c r="K304" s="1907">
        <v>0</v>
      </c>
      <c r="L304" s="1907">
        <v>0</v>
      </c>
      <c r="M304" s="1907">
        <v>0</v>
      </c>
      <c r="N304" s="1907">
        <v>0</v>
      </c>
      <c r="O304" s="1907">
        <v>0</v>
      </c>
      <c r="P304" s="1907">
        <v>0</v>
      </c>
      <c r="Q304" s="1907">
        <v>0</v>
      </c>
      <c r="R304" s="1986">
        <v>0</v>
      </c>
      <c r="S304" s="1980">
        <f t="shared" si="96"/>
        <v>0</v>
      </c>
      <c r="T304" s="1852">
        <f t="shared" si="92"/>
        <v>0</v>
      </c>
      <c r="U304" s="1852">
        <f t="shared" si="93"/>
        <v>0</v>
      </c>
      <c r="V304" s="1852">
        <f t="shared" si="103"/>
        <v>0</v>
      </c>
      <c r="W304" s="1853" t="e">
        <f t="shared" si="99"/>
        <v>#DIV/0!</v>
      </c>
      <c r="X304" s="1854"/>
      <c r="Y304" s="2003">
        <f t="shared" si="88"/>
        <v>0</v>
      </c>
      <c r="AA304" s="2008">
        <f t="shared" si="26"/>
        <v>0</v>
      </c>
    </row>
    <row r="305" spans="1:248" s="1855" customFormat="1" ht="26.25" hidden="1">
      <c r="A305" s="1888" t="s">
        <v>547</v>
      </c>
      <c r="B305" s="1927"/>
      <c r="C305" s="1928" t="s">
        <v>548</v>
      </c>
      <c r="D305" s="1906">
        <v>0</v>
      </c>
      <c r="E305" s="1907">
        <v>0</v>
      </c>
      <c r="F305" s="2068">
        <v>0</v>
      </c>
      <c r="G305" s="1907">
        <v>0</v>
      </c>
      <c r="H305" s="1907">
        <v>0</v>
      </c>
      <c r="I305" s="1907">
        <v>0</v>
      </c>
      <c r="J305" s="1907">
        <v>0</v>
      </c>
      <c r="K305" s="1907">
        <v>0</v>
      </c>
      <c r="L305" s="1907">
        <v>0</v>
      </c>
      <c r="M305" s="1907">
        <v>0</v>
      </c>
      <c r="N305" s="1907">
        <v>0</v>
      </c>
      <c r="O305" s="1907">
        <v>0</v>
      </c>
      <c r="P305" s="1907">
        <v>0</v>
      </c>
      <c r="Q305" s="1907">
        <v>0</v>
      </c>
      <c r="R305" s="1986">
        <v>0</v>
      </c>
      <c r="S305" s="1980">
        <f t="shared" si="96"/>
        <v>0</v>
      </c>
      <c r="T305" s="1852">
        <f t="shared" si="92"/>
        <v>0</v>
      </c>
      <c r="U305" s="1852">
        <f t="shared" si="93"/>
        <v>0</v>
      </c>
      <c r="V305" s="1852">
        <f t="shared" si="103"/>
        <v>0</v>
      </c>
      <c r="W305" s="1853" t="e">
        <f t="shared" si="99"/>
        <v>#DIV/0!</v>
      </c>
      <c r="X305" s="1854"/>
      <c r="Y305" s="2003">
        <f t="shared" si="88"/>
        <v>0</v>
      </c>
      <c r="AA305" s="2008">
        <f t="shared" si="26"/>
        <v>0</v>
      </c>
    </row>
    <row r="306" spans="1:248" s="1855" customFormat="1" ht="26.25" hidden="1">
      <c r="A306" s="1888" t="s">
        <v>550</v>
      </c>
      <c r="B306" s="1927"/>
      <c r="C306" s="1928" t="s">
        <v>551</v>
      </c>
      <c r="D306" s="1906">
        <v>0</v>
      </c>
      <c r="E306" s="1907">
        <v>0</v>
      </c>
      <c r="F306" s="2068">
        <v>0</v>
      </c>
      <c r="G306" s="1907">
        <v>0</v>
      </c>
      <c r="H306" s="1907">
        <v>0</v>
      </c>
      <c r="I306" s="1907">
        <v>0</v>
      </c>
      <c r="J306" s="1907">
        <v>0</v>
      </c>
      <c r="K306" s="1907">
        <v>0</v>
      </c>
      <c r="L306" s="1907">
        <v>0</v>
      </c>
      <c r="M306" s="1907">
        <v>0</v>
      </c>
      <c r="N306" s="1907">
        <v>0</v>
      </c>
      <c r="O306" s="1907">
        <v>0</v>
      </c>
      <c r="P306" s="1907">
        <v>0</v>
      </c>
      <c r="Q306" s="1907">
        <v>0</v>
      </c>
      <c r="R306" s="1986">
        <v>0</v>
      </c>
      <c r="S306" s="1980">
        <f t="shared" si="96"/>
        <v>0</v>
      </c>
      <c r="T306" s="1852">
        <f t="shared" si="92"/>
        <v>0</v>
      </c>
      <c r="U306" s="1852">
        <f t="shared" si="93"/>
        <v>0</v>
      </c>
      <c r="V306" s="1852">
        <f t="shared" si="103"/>
        <v>0</v>
      </c>
      <c r="W306" s="1853" t="e">
        <f t="shared" si="99"/>
        <v>#DIV/0!</v>
      </c>
      <c r="X306" s="1854"/>
      <c r="Y306" s="2003">
        <f t="shared" si="88"/>
        <v>0</v>
      </c>
      <c r="AA306" s="2008">
        <f t="shared" si="26"/>
        <v>0</v>
      </c>
    </row>
    <row r="307" spans="1:248" s="1855" customFormat="1" ht="26.25">
      <c r="A307" s="1888" t="s">
        <v>676</v>
      </c>
      <c r="B307" s="1964">
        <v>3</v>
      </c>
      <c r="C307" s="1965" t="s">
        <v>3214</v>
      </c>
      <c r="D307" s="1966" t="e">
        <f t="shared" ref="D307:S307" si="105">D4-D279</f>
        <v>#REF!</v>
      </c>
      <c r="E307" s="1990">
        <f t="shared" si="105"/>
        <v>-32754585.945434049</v>
      </c>
      <c r="F307" s="2068">
        <f t="shared" si="105"/>
        <v>76237201.719999999</v>
      </c>
      <c r="G307" s="1990">
        <f t="shared" si="105"/>
        <v>-1478176.422019681</v>
      </c>
      <c r="H307" s="1990">
        <f t="shared" si="105"/>
        <v>-4689276.2553126486</v>
      </c>
      <c r="I307" s="1990">
        <f t="shared" si="105"/>
        <v>-9035517.7029564939</v>
      </c>
      <c r="J307" s="1990">
        <f t="shared" si="105"/>
        <v>-5356066.7281238846</v>
      </c>
      <c r="K307" s="1990">
        <f t="shared" si="105"/>
        <v>2334728.4918350009</v>
      </c>
      <c r="L307" s="1990">
        <f t="shared" si="105"/>
        <v>487367.24235557765</v>
      </c>
      <c r="M307" s="1990">
        <f t="shared" si="105"/>
        <v>2453433.962952001</v>
      </c>
      <c r="N307" s="1990">
        <f t="shared" si="105"/>
        <v>-3934555.1249599988</v>
      </c>
      <c r="O307" s="1990">
        <f t="shared" si="105"/>
        <v>-12838679.6690851</v>
      </c>
      <c r="P307" s="1990">
        <f t="shared" si="105"/>
        <v>2927549.6463849992</v>
      </c>
      <c r="Q307" s="1990">
        <f t="shared" si="105"/>
        <v>-3587362.5515251989</v>
      </c>
      <c r="R307" s="1991">
        <f t="shared" si="105"/>
        <v>-3104863.072951939</v>
      </c>
      <c r="S307" s="1992">
        <f t="shared" si="105"/>
        <v>-35821418.183407366</v>
      </c>
      <c r="T307" s="1852">
        <f t="shared" si="92"/>
        <v>-17736941.37422213</v>
      </c>
      <c r="U307" s="1852">
        <f t="shared" si="93"/>
        <v>-32056742.205315229</v>
      </c>
      <c r="V307" s="1852">
        <f t="shared" si="103"/>
        <v>-35821418.183407366</v>
      </c>
      <c r="W307" s="1853">
        <f t="shared" si="99"/>
        <v>-46.986795652561327</v>
      </c>
      <c r="X307" s="1874">
        <f>S307/$X$1*100/1000</f>
        <v>-4.431095382715128</v>
      </c>
      <c r="Y307" s="2003">
        <f t="shared" si="88"/>
        <v>-4.305976461522703</v>
      </c>
      <c r="AA307" s="2008">
        <f t="shared" si="26"/>
        <v>-35821.418183407368</v>
      </c>
    </row>
    <row r="308" spans="1:248" s="1875" customFormat="1" ht="26.25" hidden="1">
      <c r="A308" s="1892" t="s">
        <v>678</v>
      </c>
      <c r="B308" s="1918"/>
      <c r="C308" s="1909" t="s">
        <v>556</v>
      </c>
      <c r="D308" s="1936" t="e">
        <f>D307-D89-#REF!</f>
        <v>#REF!</v>
      </c>
      <c r="E308" s="1989" t="e">
        <f>E307-E89-#REF!</f>
        <v>#REF!</v>
      </c>
      <c r="F308" s="2068" t="e">
        <f>F307-F89-#REF!</f>
        <v>#REF!</v>
      </c>
      <c r="G308" s="1989" t="e">
        <f>G307-G89-#REF!</f>
        <v>#REF!</v>
      </c>
      <c r="H308" s="1989" t="e">
        <f>H307-H89-#REF!</f>
        <v>#REF!</v>
      </c>
      <c r="I308" s="1989" t="e">
        <f>I307-I89-#REF!</f>
        <v>#REF!</v>
      </c>
      <c r="J308" s="1989" t="e">
        <f>J307-J89-#REF!</f>
        <v>#REF!</v>
      </c>
      <c r="K308" s="1989" t="e">
        <f>K307-K89-#REF!</f>
        <v>#REF!</v>
      </c>
      <c r="L308" s="1989" t="e">
        <f>L307-L89-#REF!</f>
        <v>#REF!</v>
      </c>
      <c r="M308" s="1989" t="e">
        <f>M307-M89-#REF!</f>
        <v>#REF!</v>
      </c>
      <c r="N308" s="1989" t="e">
        <f>N307-N89-#REF!</f>
        <v>#REF!</v>
      </c>
      <c r="O308" s="1989" t="e">
        <f>O307-O89-#REF!</f>
        <v>#REF!</v>
      </c>
      <c r="P308" s="1989" t="e">
        <f>P307-P89-#REF!</f>
        <v>#REF!</v>
      </c>
      <c r="Q308" s="1989" t="e">
        <f>Q307-Q89-#REF!</f>
        <v>#REF!</v>
      </c>
      <c r="R308" s="1989" t="e">
        <f>R307-R89-#REF!</f>
        <v>#REF!</v>
      </c>
      <c r="S308" s="1980" t="e">
        <f t="shared" ref="S308:S336" si="106">SUM(G308:R308)</f>
        <v>#REF!</v>
      </c>
      <c r="T308" s="1872" t="e">
        <f t="shared" si="92"/>
        <v>#REF!</v>
      </c>
      <c r="U308" s="1872" t="e">
        <f t="shared" si="93"/>
        <v>#REF!</v>
      </c>
      <c r="V308" s="1872" t="e">
        <f t="shared" si="103"/>
        <v>#REF!</v>
      </c>
      <c r="W308" s="1873" t="e">
        <f t="shared" si="99"/>
        <v>#REF!</v>
      </c>
      <c r="X308" s="1874" t="e">
        <f>S308/$X$1*100/1000</f>
        <v>#REF!</v>
      </c>
      <c r="Y308" s="2003" t="e">
        <f t="shared" si="88"/>
        <v>#REF!</v>
      </c>
      <c r="AA308" s="2008" t="e">
        <f t="shared" si="26"/>
        <v>#REF!</v>
      </c>
    </row>
    <row r="309" spans="1:248" s="1855" customFormat="1" ht="26.25" hidden="1">
      <c r="A309" s="1893" t="s">
        <v>679</v>
      </c>
      <c r="B309" s="1918"/>
      <c r="C309" s="1909" t="s">
        <v>679</v>
      </c>
      <c r="D309" s="1911" t="e">
        <f t="shared" ref="D309:R309" si="107">D4-D271-D279</f>
        <v>#REF!</v>
      </c>
      <c r="E309" s="1984">
        <f t="shared" si="107"/>
        <v>-63056300.735290051</v>
      </c>
      <c r="F309" s="2072">
        <f t="shared" si="107"/>
        <v>28045693.393999994</v>
      </c>
      <c r="G309" s="1984">
        <f t="shared" si="107"/>
        <v>-1478176.422019681</v>
      </c>
      <c r="H309" s="1984">
        <f t="shared" si="107"/>
        <v>-6398262.8913126485</v>
      </c>
      <c r="I309" s="1984">
        <f t="shared" si="107"/>
        <v>-15387185.337956494</v>
      </c>
      <c r="J309" s="1984">
        <f t="shared" si="107"/>
        <v>-5356066.7281238846</v>
      </c>
      <c r="K309" s="1984">
        <f t="shared" si="107"/>
        <v>2334728.4918350009</v>
      </c>
      <c r="L309" s="1984">
        <f t="shared" si="107"/>
        <v>-5629615.4766444229</v>
      </c>
      <c r="M309" s="1984">
        <f t="shared" si="107"/>
        <v>2453433.962952001</v>
      </c>
      <c r="N309" s="1984">
        <f t="shared" si="107"/>
        <v>-3934555.1249599988</v>
      </c>
      <c r="O309" s="1984">
        <f t="shared" si="107"/>
        <v>-18671294.049085099</v>
      </c>
      <c r="P309" s="1984">
        <f t="shared" si="107"/>
        <v>2927549.6463849992</v>
      </c>
      <c r="Q309" s="1984">
        <f t="shared" si="107"/>
        <v>-3752362.5515251989</v>
      </c>
      <c r="R309" s="1984">
        <f t="shared" si="107"/>
        <v>-7294188.5929519385</v>
      </c>
      <c r="S309" s="1980">
        <f t="shared" si="106"/>
        <v>-60185995.073407359</v>
      </c>
      <c r="T309" s="1856">
        <f t="shared" si="92"/>
        <v>-31914578.364222128</v>
      </c>
      <c r="U309" s="1856">
        <f t="shared" si="93"/>
        <v>-52066993.575315222</v>
      </c>
      <c r="V309" s="1856">
        <f t="shared" si="103"/>
        <v>-60185995.073407359</v>
      </c>
      <c r="W309" s="1853">
        <f t="shared" si="99"/>
        <v>-214.59977554444549</v>
      </c>
      <c r="X309" s="1854">
        <f>S309/$X$1*100/1000</f>
        <v>-7.4449839899812416</v>
      </c>
      <c r="Y309" s="2003">
        <f t="shared" ref="Y309:Y372" si="108">+S309/$Y$1*100</f>
        <v>-7.2347632015154897</v>
      </c>
      <c r="AA309" s="2008">
        <f t="shared" ref="AA309:AA372" si="109">S309/1000</f>
        <v>-60185.995073407357</v>
      </c>
    </row>
    <row r="310" spans="1:248" s="1855" customFormat="1" ht="26.25">
      <c r="A310" s="1893"/>
      <c r="B310" s="1918" t="s">
        <v>2536</v>
      </c>
      <c r="C310" s="1909" t="s">
        <v>3215</v>
      </c>
      <c r="D310" s="1911"/>
      <c r="E310" s="1984"/>
      <c r="F310" s="2072"/>
      <c r="G310" s="1984"/>
      <c r="H310" s="1984"/>
      <c r="I310" s="1984"/>
      <c r="J310" s="1984"/>
      <c r="K310" s="1984"/>
      <c r="L310" s="1984"/>
      <c r="M310" s="1984"/>
      <c r="N310" s="1984"/>
      <c r="O310" s="1984"/>
      <c r="P310" s="1984"/>
      <c r="Q310" s="1984"/>
      <c r="R310" s="1984"/>
      <c r="S310" s="1980">
        <f>+S5+S277-S281-S295</f>
        <v>-21228779.618847355</v>
      </c>
      <c r="T310" s="1856"/>
      <c r="U310" s="1856"/>
      <c r="V310" s="1856"/>
      <c r="W310" s="1853"/>
      <c r="X310" s="1854"/>
      <c r="Y310" s="2003"/>
      <c r="AA310" s="2008">
        <f t="shared" si="109"/>
        <v>-21228.779618847355</v>
      </c>
    </row>
    <row r="311" spans="1:248" s="1855" customFormat="1" ht="26.25">
      <c r="A311" s="1893" t="s">
        <v>680</v>
      </c>
      <c r="B311" s="1918" t="s">
        <v>2563</v>
      </c>
      <c r="C311" s="1909" t="s">
        <v>3216</v>
      </c>
      <c r="D311" s="1911" t="e">
        <f>D4-D271-D281+D287</f>
        <v>#REF!</v>
      </c>
      <c r="E311" s="1984">
        <f t="shared" ref="E311:S311" si="110">E5-E281+E287</f>
        <v>-2276087.696999995</v>
      </c>
      <c r="F311" s="2072">
        <f t="shared" si="110"/>
        <v>111644071.33100003</v>
      </c>
      <c r="G311" s="1984">
        <f t="shared" si="110"/>
        <v>-1205924.340000001</v>
      </c>
      <c r="H311" s="1984">
        <f t="shared" si="110"/>
        <v>-5303482.8999999985</v>
      </c>
      <c r="I311" s="1984">
        <f t="shared" si="110"/>
        <v>-5279043.4920000033</v>
      </c>
      <c r="J311" s="1984">
        <f t="shared" si="110"/>
        <v>-2955347.7837499999</v>
      </c>
      <c r="K311" s="1984">
        <f t="shared" si="110"/>
        <v>2387101.392500001</v>
      </c>
      <c r="L311" s="1984">
        <f t="shared" si="110"/>
        <v>3869637.1549999993</v>
      </c>
      <c r="M311" s="1984">
        <f t="shared" si="110"/>
        <v>3396273.5370000009</v>
      </c>
      <c r="N311" s="1984">
        <f t="shared" si="110"/>
        <v>-3067015.2359599988</v>
      </c>
      <c r="O311" s="1984">
        <f t="shared" si="110"/>
        <v>-3421637.0319999997</v>
      </c>
      <c r="P311" s="1984">
        <f t="shared" si="110"/>
        <v>4140263.1829999993</v>
      </c>
      <c r="Q311" s="1984">
        <f t="shared" si="110"/>
        <v>-3450082.3979999991</v>
      </c>
      <c r="R311" s="1984">
        <f t="shared" si="110"/>
        <v>-2601433.2839999986</v>
      </c>
      <c r="S311" s="1980">
        <f t="shared" si="110"/>
        <v>-13490691.198209997</v>
      </c>
      <c r="T311" s="1856">
        <f t="shared" si="92"/>
        <v>-8487059.9682500008</v>
      </c>
      <c r="U311" s="1856">
        <f t="shared" si="93"/>
        <v>-11579438.699209999</v>
      </c>
      <c r="V311" s="1856">
        <f t="shared" si="103"/>
        <v>-13490691.198209997</v>
      </c>
      <c r="W311" s="1853">
        <f t="shared" si="99"/>
        <v>-12.083661082381237</v>
      </c>
      <c r="X311" s="1854">
        <f>S311/$X$1*100/1000</f>
        <v>-1.6687932111440973</v>
      </c>
      <c r="Y311" s="2003">
        <f t="shared" si="108"/>
        <v>-1.621672220003606</v>
      </c>
      <c r="AA311" s="2008">
        <f t="shared" si="109"/>
        <v>-13490.691198209997</v>
      </c>
    </row>
    <row r="312" spans="1:248" s="1855" customFormat="1" ht="26.25">
      <c r="A312" s="1893" t="s">
        <v>681</v>
      </c>
      <c r="B312" s="1918" t="s">
        <v>2588</v>
      </c>
      <c r="C312" s="1909" t="s">
        <v>3217</v>
      </c>
      <c r="D312" s="1910" t="e">
        <f>D5-D280+D295</f>
        <v>#REF!</v>
      </c>
      <c r="E312" s="1912">
        <f t="shared" ref="E312:R312" si="111">E5-E281+E295</f>
        <v>-5064338.9364340603</v>
      </c>
      <c r="F312" s="2072">
        <f t="shared" si="111"/>
        <v>106009287.33100003</v>
      </c>
      <c r="G312" s="1912">
        <f t="shared" si="111"/>
        <v>-1418176.422019681</v>
      </c>
      <c r="H312" s="1912">
        <f t="shared" si="111"/>
        <v>-4869780.8913126485</v>
      </c>
      <c r="I312" s="1912">
        <f t="shared" si="111"/>
        <v>-5486356.6619564928</v>
      </c>
      <c r="J312" s="1912">
        <f t="shared" si="111"/>
        <v>-5272814.7281238846</v>
      </c>
      <c r="K312" s="1912">
        <f t="shared" si="111"/>
        <v>2334728.4918350009</v>
      </c>
      <c r="L312" s="1912">
        <f t="shared" si="111"/>
        <v>3107903.7509155795</v>
      </c>
      <c r="M312" s="1912">
        <f t="shared" si="111"/>
        <v>2453433.962952001</v>
      </c>
      <c r="N312" s="1912">
        <f t="shared" si="111"/>
        <v>-3300623.1249599988</v>
      </c>
      <c r="O312" s="1912">
        <f t="shared" si="111"/>
        <v>-3433154.3540850999</v>
      </c>
      <c r="P312" s="1912">
        <f t="shared" si="111"/>
        <v>3185549.6463849992</v>
      </c>
      <c r="Q312" s="1912">
        <f t="shared" si="111"/>
        <v>-3752362.5515251989</v>
      </c>
      <c r="R312" s="1912">
        <f t="shared" si="111"/>
        <v>-3064697.3729519388</v>
      </c>
      <c r="S312" s="1980">
        <f>S311-S295</f>
        <v>-15283899.198209997</v>
      </c>
      <c r="T312" s="1876">
        <f>T5-T281+T295</f>
        <v>-11604496.460662134</v>
      </c>
      <c r="U312" s="1876">
        <f>U5-U281+U295</f>
        <v>-15884839.976755217</v>
      </c>
      <c r="V312" s="1876">
        <f>V5-V281+V295</f>
        <v>-19516350.254847363</v>
      </c>
      <c r="W312" s="1876">
        <f>W5-W281+W295</f>
        <v>-10.788219056669199</v>
      </c>
      <c r="X312" s="1854">
        <f>X5-X281+X295</f>
        <v>-2.4141648736219703</v>
      </c>
      <c r="Y312" s="2003">
        <f t="shared" si="108"/>
        <v>-1.8372279358348356</v>
      </c>
      <c r="AA312" s="2008">
        <f t="shared" si="109"/>
        <v>-15283.899198209998</v>
      </c>
    </row>
    <row r="313" spans="1:248" s="1855" customFormat="1" ht="26.25" hidden="1">
      <c r="A313" s="1893"/>
      <c r="B313" s="1918"/>
      <c r="C313" s="1909" t="s">
        <v>2213</v>
      </c>
      <c r="D313" s="1934" t="e">
        <f t="shared" ref="D313:S313" si="112">D5-D281-D295+D277</f>
        <v>#REF!</v>
      </c>
      <c r="E313" s="1988">
        <f t="shared" si="112"/>
        <v>-9241656.9364340603</v>
      </c>
      <c r="F313" s="2069">
        <f t="shared" si="112"/>
        <v>99718287.33100003</v>
      </c>
      <c r="G313" s="1988">
        <f t="shared" si="112"/>
        <v>-1478176.422019681</v>
      </c>
      <c r="H313" s="1988">
        <f t="shared" si="112"/>
        <v>-4689276.2553126486</v>
      </c>
      <c r="I313" s="1988">
        <f t="shared" si="112"/>
        <v>-5486356.6619564928</v>
      </c>
      <c r="J313" s="1988">
        <f t="shared" si="112"/>
        <v>-5356066.7281238846</v>
      </c>
      <c r="K313" s="1988">
        <f t="shared" si="112"/>
        <v>2334728.4918350009</v>
      </c>
      <c r="L313" s="1988">
        <f t="shared" si="112"/>
        <v>3107903.7509155795</v>
      </c>
      <c r="M313" s="1988">
        <f t="shared" si="112"/>
        <v>2453433.962952001</v>
      </c>
      <c r="N313" s="1988">
        <f t="shared" si="112"/>
        <v>-3934555.1249599988</v>
      </c>
      <c r="O313" s="1988">
        <f t="shared" si="112"/>
        <v>-4415904.3540850999</v>
      </c>
      <c r="P313" s="1988">
        <f t="shared" si="112"/>
        <v>2927549.6463849992</v>
      </c>
      <c r="Q313" s="1988">
        <f t="shared" si="112"/>
        <v>-3587362.5515251989</v>
      </c>
      <c r="R313" s="1988">
        <f t="shared" si="112"/>
        <v>-3104697.3729519388</v>
      </c>
      <c r="S313" s="1993">
        <f t="shared" si="112"/>
        <v>-21228779.618847363</v>
      </c>
      <c r="T313" s="1856">
        <f t="shared" si="92"/>
        <v>-11567243.824662127</v>
      </c>
      <c r="U313" s="1856">
        <f t="shared" si="93"/>
        <v>-17464269.340755224</v>
      </c>
      <c r="V313" s="1856">
        <f t="shared" si="103"/>
        <v>-21228779.618847363</v>
      </c>
      <c r="W313" s="1853">
        <f t="shared" si="99"/>
        <v>-21.288752732366518</v>
      </c>
      <c r="X313" s="1854"/>
      <c r="Y313" s="2003">
        <f t="shared" si="108"/>
        <v>-2.5518427237465278</v>
      </c>
      <c r="AA313" s="2008">
        <f t="shared" si="109"/>
        <v>-21228.779618847362</v>
      </c>
    </row>
    <row r="314" spans="1:248" s="1855" customFormat="1" ht="26.25" hidden="1">
      <c r="A314" s="1893"/>
      <c r="B314" s="1918"/>
      <c r="C314" s="1909"/>
      <c r="D314" s="1910"/>
      <c r="E314" s="1912"/>
      <c r="F314" s="2072"/>
      <c r="G314" s="1912"/>
      <c r="H314" s="1912"/>
      <c r="I314" s="1912"/>
      <c r="J314" s="1912"/>
      <c r="K314" s="1912"/>
      <c r="L314" s="1912"/>
      <c r="M314" s="1912"/>
      <c r="N314" s="1912"/>
      <c r="O314" s="1912"/>
      <c r="P314" s="1912"/>
      <c r="Q314" s="1912"/>
      <c r="R314" s="1912"/>
      <c r="S314" s="1980">
        <f t="shared" si="106"/>
        <v>0</v>
      </c>
      <c r="T314" s="1856">
        <f t="shared" si="92"/>
        <v>0</v>
      </c>
      <c r="U314" s="1856">
        <f t="shared" si="93"/>
        <v>0</v>
      </c>
      <c r="V314" s="1856">
        <f t="shared" si="103"/>
        <v>0</v>
      </c>
      <c r="W314" s="1853" t="e">
        <f t="shared" si="99"/>
        <v>#DIV/0!</v>
      </c>
      <c r="X314" s="1854"/>
      <c r="Y314" s="2003">
        <f t="shared" si="108"/>
        <v>0</v>
      </c>
      <c r="AA314" s="2008">
        <f t="shared" si="109"/>
        <v>0</v>
      </c>
    </row>
    <row r="315" spans="1:248" s="1855" customFormat="1" ht="26.25">
      <c r="A315" s="1882" t="s">
        <v>182</v>
      </c>
      <c r="B315" s="1964">
        <v>4</v>
      </c>
      <c r="C315" s="1965" t="s">
        <v>3218</v>
      </c>
      <c r="D315" s="1966">
        <f>D316+D318</f>
        <v>0</v>
      </c>
      <c r="E315" s="1990">
        <f>+E316+E334</f>
        <v>595752.23499999847</v>
      </c>
      <c r="F315" s="2068">
        <f t="shared" ref="F315:K315" si="113">+F316+F333</f>
        <v>0</v>
      </c>
      <c r="G315" s="1990">
        <f t="shared" si="113"/>
        <v>-1325104.6641299999</v>
      </c>
      <c r="H315" s="1990">
        <f t="shared" si="113"/>
        <v>-528179.19999999995</v>
      </c>
      <c r="I315" s="1990">
        <f t="shared" si="113"/>
        <v>-795302.07799999998</v>
      </c>
      <c r="J315" s="1990">
        <f t="shared" si="113"/>
        <v>-175124</v>
      </c>
      <c r="K315" s="1990">
        <f t="shared" si="113"/>
        <v>-15207.615</v>
      </c>
      <c r="L315" s="1990">
        <f t="shared" ref="L315:S315" si="114">L316+L333</f>
        <v>106440.61356</v>
      </c>
      <c r="M315" s="1990">
        <f t="shared" si="114"/>
        <v>-222121.48095200001</v>
      </c>
      <c r="N315" s="1990">
        <f t="shared" si="114"/>
        <v>-11660.5</v>
      </c>
      <c r="O315" s="1990">
        <f>O316+O333</f>
        <v>-27317.892000000007</v>
      </c>
      <c r="P315" s="1990">
        <f t="shared" si="114"/>
        <v>430301.21499999997</v>
      </c>
      <c r="Q315" s="1990">
        <f t="shared" si="114"/>
        <v>-84743.602948</v>
      </c>
      <c r="R315" s="1991">
        <f t="shared" si="114"/>
        <v>12186421.632951751</v>
      </c>
      <c r="S315" s="1992">
        <f t="shared" si="114"/>
        <v>9538402.4284817502</v>
      </c>
      <c r="T315" s="1852">
        <f t="shared" si="92"/>
        <v>-2732476.9435700001</v>
      </c>
      <c r="U315" s="1852">
        <f t="shared" si="93"/>
        <v>-2993576.8165220004</v>
      </c>
      <c r="V315" s="1852">
        <f t="shared" si="103"/>
        <v>9538402.4284817502</v>
      </c>
      <c r="W315" s="1853" t="e">
        <f t="shared" si="99"/>
        <v>#DIV/0!</v>
      </c>
      <c r="X315" s="1854">
        <f>S315/$X$1*100/1000</f>
        <v>1.1798966401308435</v>
      </c>
      <c r="Y315" s="2003">
        <f t="shared" si="108"/>
        <v>1.1465804097225327</v>
      </c>
      <c r="AA315" s="2008">
        <f t="shared" si="109"/>
        <v>9538.4024284817497</v>
      </c>
    </row>
    <row r="316" spans="1:248" s="1855" customFormat="1" ht="26.25">
      <c r="A316" s="1888" t="s">
        <v>560</v>
      </c>
      <c r="B316" s="1918" t="s">
        <v>559</v>
      </c>
      <c r="C316" s="1909" t="s">
        <v>3220</v>
      </c>
      <c r="D316" s="1910"/>
      <c r="E316" s="1912">
        <f>+[28]Tofe!$Q$73</f>
        <v>-2055249.7390000001</v>
      </c>
      <c r="F316" s="2072">
        <f>F317+F331</f>
        <v>0</v>
      </c>
      <c r="G316" s="1912">
        <f>G317+G331</f>
        <v>-1325104.6641299999</v>
      </c>
      <c r="H316" s="1912">
        <f t="shared" ref="H316:M316" si="115">+H317+H331</f>
        <v>-528179.19999999995</v>
      </c>
      <c r="I316" s="1912">
        <f t="shared" si="115"/>
        <v>-795302.07799999998</v>
      </c>
      <c r="J316" s="1912">
        <f t="shared" si="115"/>
        <v>-175124</v>
      </c>
      <c r="K316" s="1912">
        <f t="shared" si="115"/>
        <v>-15207.615</v>
      </c>
      <c r="L316" s="1912">
        <f t="shared" si="115"/>
        <v>106440.61356</v>
      </c>
      <c r="M316" s="1912">
        <f t="shared" si="115"/>
        <v>-222121.48095200001</v>
      </c>
      <c r="N316" s="1912">
        <f>N317+N331</f>
        <v>-11660.5</v>
      </c>
      <c r="O316" s="1912">
        <f>O317+O331</f>
        <v>-27317.892000000007</v>
      </c>
      <c r="P316" s="1912">
        <f>+P317+P331</f>
        <v>430301.21499999997</v>
      </c>
      <c r="Q316" s="1912">
        <f>+Q317+Q331</f>
        <v>-84743.602948</v>
      </c>
      <c r="R316" s="1912">
        <f>R317+R331</f>
        <v>249243.61695174998</v>
      </c>
      <c r="S316" s="1981">
        <f>S317+S331</f>
        <v>-2398775.5875182506</v>
      </c>
      <c r="T316" s="1856">
        <f t="shared" si="92"/>
        <v>-2732476.9435700001</v>
      </c>
      <c r="U316" s="1856">
        <f t="shared" si="93"/>
        <v>-2993576.8165220004</v>
      </c>
      <c r="V316" s="1856">
        <f t="shared" si="103"/>
        <v>-2398775.5875182506</v>
      </c>
      <c r="W316" s="1853" t="e">
        <f t="shared" si="99"/>
        <v>#DIV/0!</v>
      </c>
      <c r="X316" s="1854">
        <f>S316/$X$1*100/1000</f>
        <v>-0.29672759954951705</v>
      </c>
      <c r="Y316" s="2003">
        <f t="shared" si="108"/>
        <v>-0.28834903083522667</v>
      </c>
      <c r="AA316" s="2008">
        <f t="shared" si="109"/>
        <v>-2398.7755875182506</v>
      </c>
    </row>
    <row r="317" spans="1:248" s="1855" customFormat="1" ht="26.25" hidden="1">
      <c r="A317" s="1888" t="s">
        <v>683</v>
      </c>
      <c r="B317" s="1918"/>
      <c r="C317" s="1909" t="s">
        <v>684</v>
      </c>
      <c r="D317" s="1910">
        <v>0</v>
      </c>
      <c r="E317" s="1912" t="e">
        <f>E320+E321</f>
        <v>#VALUE!</v>
      </c>
      <c r="F317" s="2072">
        <f>F320+F321</f>
        <v>0</v>
      </c>
      <c r="G317" s="1912">
        <f>G320+G321</f>
        <v>-1313866.4569999999</v>
      </c>
      <c r="H317" s="1912">
        <f t="shared" ref="H317:R317" si="116">H320+H321</f>
        <v>-528179.19999999995</v>
      </c>
      <c r="I317" s="1912">
        <f t="shared" si="116"/>
        <v>-795302.07799999998</v>
      </c>
      <c r="J317" s="1912">
        <f t="shared" si="116"/>
        <v>-175124</v>
      </c>
      <c r="K317" s="1912">
        <f t="shared" si="116"/>
        <v>-15207.615</v>
      </c>
      <c r="L317" s="1912">
        <f t="shared" si="116"/>
        <v>-174165.541</v>
      </c>
      <c r="M317" s="1912">
        <f t="shared" si="116"/>
        <v>-400180.66600000003</v>
      </c>
      <c r="N317" s="1912">
        <f t="shared" si="116"/>
        <v>-11660.5</v>
      </c>
      <c r="O317" s="1912">
        <f t="shared" si="116"/>
        <v>-62337.308000000005</v>
      </c>
      <c r="P317" s="1912">
        <f>P320+P321</f>
        <v>-207931.71600000001</v>
      </c>
      <c r="Q317" s="1912">
        <f>Q320+Q321</f>
        <v>-111374.527</v>
      </c>
      <c r="R317" s="1912">
        <f t="shared" si="116"/>
        <v>-71585.241000000009</v>
      </c>
      <c r="S317" s="1980">
        <f t="shared" si="106"/>
        <v>-3866914.8490000009</v>
      </c>
      <c r="T317" s="1856">
        <f t="shared" si="92"/>
        <v>-3001844.8910000003</v>
      </c>
      <c r="U317" s="1856">
        <f t="shared" si="93"/>
        <v>-3476023.3650000007</v>
      </c>
      <c r="V317" s="1856">
        <f t="shared" si="103"/>
        <v>-3866914.8490000009</v>
      </c>
      <c r="W317" s="1853" t="e">
        <f t="shared" si="99"/>
        <v>#DIV/0!</v>
      </c>
      <c r="X317" s="1854">
        <f>S317/$X$1*100/1000</f>
        <v>-0.478335850496654</v>
      </c>
      <c r="Y317" s="2003">
        <f t="shared" si="108"/>
        <v>-0.46482928825580005</v>
      </c>
      <c r="AA317" s="2008">
        <f t="shared" si="109"/>
        <v>-3866.9148490000007</v>
      </c>
    </row>
    <row r="318" spans="1:248" s="1855" customFormat="1" ht="26.25" hidden="1">
      <c r="A318" s="1884" t="s">
        <v>566</v>
      </c>
      <c r="B318" s="1918"/>
      <c r="C318" s="1909" t="s">
        <v>567</v>
      </c>
      <c r="D318" s="1910">
        <v>0</v>
      </c>
      <c r="E318" s="1912"/>
      <c r="F318" s="2072"/>
      <c r="G318" s="1912"/>
      <c r="H318" s="1912"/>
      <c r="I318" s="1912"/>
      <c r="J318" s="1912"/>
      <c r="K318" s="1912"/>
      <c r="L318" s="1912"/>
      <c r="M318" s="1912"/>
      <c r="N318" s="1912"/>
      <c r="O318" s="1912"/>
      <c r="P318" s="1912"/>
      <c r="Q318" s="1912"/>
      <c r="R318" s="1912"/>
      <c r="S318" s="1980">
        <f t="shared" si="106"/>
        <v>0</v>
      </c>
      <c r="T318" s="1856">
        <f t="shared" si="92"/>
        <v>0</v>
      </c>
      <c r="U318" s="1856">
        <f t="shared" si="93"/>
        <v>0</v>
      </c>
      <c r="V318" s="1856">
        <f t="shared" si="103"/>
        <v>0</v>
      </c>
      <c r="W318" s="1853" t="e">
        <f t="shared" si="99"/>
        <v>#DIV/0!</v>
      </c>
      <c r="X318" s="1854"/>
      <c r="Y318" s="2003">
        <f t="shared" si="108"/>
        <v>0</v>
      </c>
      <c r="AA318" s="2008">
        <f t="shared" si="109"/>
        <v>0</v>
      </c>
    </row>
    <row r="319" spans="1:248" s="1855" customFormat="1" ht="26.25" hidden="1">
      <c r="A319" s="1884" t="s">
        <v>579</v>
      </c>
      <c r="B319" s="1918"/>
      <c r="C319" s="1909" t="s">
        <v>537</v>
      </c>
      <c r="D319" s="1910"/>
      <c r="E319" s="1912"/>
      <c r="F319" s="2072"/>
      <c r="G319" s="1912"/>
      <c r="H319" s="1912"/>
      <c r="I319" s="1912"/>
      <c r="J319" s="1912"/>
      <c r="K319" s="1912"/>
      <c r="L319" s="1912"/>
      <c r="M319" s="1912"/>
      <c r="N319" s="1912"/>
      <c r="O319" s="1912"/>
      <c r="P319" s="1912"/>
      <c r="Q319" s="1912"/>
      <c r="R319" s="1912"/>
      <c r="S319" s="1980">
        <f t="shared" si="106"/>
        <v>0</v>
      </c>
      <c r="T319" s="1856">
        <f t="shared" si="92"/>
        <v>0</v>
      </c>
      <c r="U319" s="1856">
        <f t="shared" si="93"/>
        <v>0</v>
      </c>
      <c r="V319" s="1856">
        <f t="shared" si="103"/>
        <v>0</v>
      </c>
      <c r="W319" s="1856">
        <f>SUM(K319:M319)</f>
        <v>0</v>
      </c>
      <c r="X319" s="1856">
        <f>SUM(L319:N319)</f>
        <v>0</v>
      </c>
      <c r="Y319" s="2003">
        <f t="shared" si="108"/>
        <v>0</v>
      </c>
      <c r="Z319" s="1877"/>
      <c r="AA319" s="2008">
        <f t="shared" si="109"/>
        <v>0</v>
      </c>
      <c r="AB319" s="1877"/>
      <c r="AC319" s="1877"/>
      <c r="AD319" s="1877"/>
      <c r="AE319" s="1877"/>
      <c r="AF319" s="1877"/>
      <c r="AG319" s="1877"/>
      <c r="AH319" s="1877"/>
      <c r="AI319" s="1877"/>
      <c r="AJ319" s="1877"/>
      <c r="AK319" s="1877"/>
      <c r="AL319" s="1877"/>
      <c r="AM319" s="1877"/>
      <c r="AN319" s="1877"/>
      <c r="AO319" s="1877"/>
      <c r="AP319" s="1877"/>
      <c r="AQ319" s="1877"/>
      <c r="AR319" s="1877"/>
      <c r="AS319" s="1877"/>
      <c r="AT319" s="1877"/>
      <c r="AU319" s="1877"/>
      <c r="AV319" s="1877"/>
      <c r="AW319" s="1877"/>
      <c r="AX319" s="1877"/>
      <c r="AY319" s="1877"/>
      <c r="AZ319" s="1877"/>
      <c r="BA319" s="1877"/>
      <c r="BB319" s="1877"/>
      <c r="BC319" s="1877"/>
      <c r="BD319" s="1877"/>
      <c r="BE319" s="1877"/>
      <c r="BF319" s="1877"/>
      <c r="BG319" s="1877"/>
      <c r="BH319" s="1877"/>
      <c r="BI319" s="1877"/>
      <c r="BJ319" s="1877"/>
      <c r="BK319" s="1877"/>
      <c r="BL319" s="1877"/>
      <c r="BM319" s="1877"/>
      <c r="BN319" s="1877"/>
      <c r="BO319" s="1877"/>
      <c r="BP319" s="1877"/>
      <c r="BQ319" s="1877"/>
      <c r="BR319" s="1877"/>
      <c r="BS319" s="1877"/>
      <c r="BT319" s="1877"/>
      <c r="BU319" s="1877"/>
      <c r="BV319" s="1877"/>
      <c r="BW319" s="1877"/>
      <c r="BX319" s="1877"/>
      <c r="BY319" s="1877"/>
      <c r="BZ319" s="1877"/>
      <c r="CA319" s="1877"/>
      <c r="CB319" s="1877"/>
      <c r="CC319" s="1877"/>
      <c r="CD319" s="1877"/>
      <c r="CE319" s="1877"/>
      <c r="CF319" s="1877"/>
      <c r="CG319" s="1877"/>
      <c r="CH319" s="1877"/>
      <c r="CI319" s="1877"/>
      <c r="CJ319" s="1877"/>
      <c r="CK319" s="1877"/>
      <c r="CL319" s="1877"/>
      <c r="CM319" s="1877"/>
      <c r="CN319" s="1877"/>
      <c r="CO319" s="1877"/>
      <c r="CP319" s="1877"/>
      <c r="CQ319" s="1877"/>
      <c r="CR319" s="1877"/>
      <c r="CS319" s="1877"/>
      <c r="CT319" s="1877"/>
      <c r="CU319" s="1877"/>
      <c r="CV319" s="1877"/>
      <c r="CW319" s="1877"/>
      <c r="CX319" s="1877"/>
      <c r="CY319" s="1877"/>
      <c r="CZ319" s="1877"/>
      <c r="DA319" s="1877"/>
      <c r="DB319" s="1877"/>
      <c r="DC319" s="1877"/>
      <c r="DD319" s="1877"/>
      <c r="DE319" s="1877"/>
      <c r="DF319" s="1877"/>
      <c r="DG319" s="1877"/>
      <c r="DH319" s="1877"/>
      <c r="DI319" s="1877"/>
      <c r="DJ319" s="1877"/>
      <c r="DK319" s="1877"/>
      <c r="DL319" s="1877"/>
      <c r="DM319" s="1877"/>
      <c r="DN319" s="1877"/>
      <c r="DO319" s="1877"/>
      <c r="DP319" s="1877"/>
      <c r="DQ319" s="1877"/>
      <c r="DR319" s="1877"/>
      <c r="DS319" s="1877"/>
      <c r="DT319" s="1877"/>
      <c r="DU319" s="1877"/>
      <c r="DV319" s="1877"/>
      <c r="DW319" s="1877"/>
      <c r="DX319" s="1877"/>
      <c r="DY319" s="1877"/>
      <c r="DZ319" s="1877"/>
      <c r="EA319" s="1877"/>
      <c r="EB319" s="1877"/>
      <c r="EC319" s="1877"/>
      <c r="ED319" s="1877"/>
      <c r="EE319" s="1877"/>
      <c r="EF319" s="1877"/>
      <c r="EG319" s="1877"/>
      <c r="EH319" s="1877"/>
      <c r="EI319" s="1877"/>
      <c r="EJ319" s="1877"/>
      <c r="EK319" s="1877"/>
      <c r="EL319" s="1877"/>
      <c r="EM319" s="1877"/>
      <c r="EN319" s="1877"/>
      <c r="EO319" s="1877"/>
      <c r="EP319" s="1877"/>
      <c r="EQ319" s="1877"/>
      <c r="ER319" s="1877"/>
      <c r="ES319" s="1877"/>
      <c r="ET319" s="1877"/>
      <c r="EU319" s="1877"/>
      <c r="EV319" s="1877"/>
      <c r="EW319" s="1877"/>
      <c r="EX319" s="1877"/>
      <c r="EY319" s="1877"/>
      <c r="EZ319" s="1877"/>
      <c r="FA319" s="1877"/>
      <c r="FB319" s="1877"/>
      <c r="FC319" s="1877"/>
      <c r="FD319" s="1877"/>
      <c r="FE319" s="1877"/>
      <c r="FF319" s="1877"/>
      <c r="FG319" s="1877"/>
      <c r="FH319" s="1877"/>
      <c r="FI319" s="1877"/>
      <c r="FJ319" s="1877"/>
      <c r="FK319" s="1877"/>
      <c r="FL319" s="1877"/>
      <c r="FM319" s="1877"/>
      <c r="FN319" s="1877"/>
      <c r="FO319" s="1877"/>
      <c r="FP319" s="1877"/>
      <c r="FQ319" s="1877"/>
      <c r="FR319" s="1877"/>
      <c r="FS319" s="1877"/>
      <c r="FT319" s="1877"/>
      <c r="FU319" s="1877"/>
      <c r="FV319" s="1877"/>
      <c r="FW319" s="1877"/>
      <c r="FX319" s="1877"/>
      <c r="FY319" s="1877"/>
      <c r="FZ319" s="1877"/>
      <c r="GA319" s="1877"/>
      <c r="GB319" s="1877"/>
      <c r="GC319" s="1877"/>
      <c r="GD319" s="1877"/>
      <c r="GE319" s="1877"/>
      <c r="GF319" s="1877"/>
      <c r="GG319" s="1877"/>
      <c r="GH319" s="1877"/>
      <c r="GI319" s="1877"/>
      <c r="GJ319" s="1877"/>
      <c r="GK319" s="1877"/>
      <c r="GL319" s="1877"/>
      <c r="GM319" s="1877"/>
      <c r="GN319" s="1877"/>
      <c r="GO319" s="1877"/>
      <c r="GP319" s="1877"/>
      <c r="GQ319" s="1877"/>
      <c r="GR319" s="1877"/>
      <c r="GS319" s="1877"/>
      <c r="GT319" s="1877"/>
      <c r="GU319" s="1877"/>
      <c r="GV319" s="1877"/>
      <c r="GW319" s="1877"/>
      <c r="GX319" s="1877"/>
      <c r="GY319" s="1877"/>
      <c r="GZ319" s="1877"/>
      <c r="HA319" s="1877"/>
      <c r="HB319" s="1877"/>
      <c r="HC319" s="1877"/>
      <c r="HD319" s="1877"/>
      <c r="HE319" s="1877"/>
      <c r="HF319" s="1877"/>
      <c r="HG319" s="1877"/>
      <c r="HH319" s="1877"/>
      <c r="HI319" s="1877"/>
      <c r="HJ319" s="1877"/>
      <c r="HK319" s="1877"/>
      <c r="HL319" s="1877"/>
      <c r="HM319" s="1877"/>
      <c r="HN319" s="1877"/>
      <c r="HO319" s="1877"/>
      <c r="HP319" s="1877"/>
      <c r="HQ319" s="1877"/>
      <c r="HR319" s="1877"/>
      <c r="HS319" s="1877"/>
      <c r="HT319" s="1877"/>
      <c r="HU319" s="1877"/>
      <c r="HV319" s="1877"/>
      <c r="HW319" s="1877"/>
      <c r="HX319" s="1877"/>
      <c r="HY319" s="1877"/>
      <c r="HZ319" s="1877"/>
      <c r="IA319" s="1877"/>
      <c r="IB319" s="1877"/>
      <c r="IC319" s="1877"/>
      <c r="ID319" s="1877"/>
      <c r="IE319" s="1877"/>
      <c r="IF319" s="1877"/>
      <c r="IG319" s="1877"/>
      <c r="IH319" s="1877"/>
      <c r="II319" s="1877"/>
      <c r="IJ319" s="1877"/>
      <c r="IK319" s="1877"/>
      <c r="IL319" s="1877"/>
      <c r="IM319" s="1877"/>
      <c r="IN319" s="1877"/>
    </row>
    <row r="320" spans="1:248" s="1855" customFormat="1" ht="26.25" hidden="1">
      <c r="A320" s="1884"/>
      <c r="B320" s="1918"/>
      <c r="C320" s="1909" t="s">
        <v>2851</v>
      </c>
      <c r="D320" s="1910"/>
      <c r="E320" s="1912" t="e">
        <f>-ARRIERE!B26</f>
        <v>#VALUE!</v>
      </c>
      <c r="F320" s="2072">
        <f>-ARRIERE!C26</f>
        <v>0</v>
      </c>
      <c r="G320" s="1912">
        <f>-ARRIERE!D26</f>
        <v>-633373</v>
      </c>
      <c r="H320" s="1912">
        <f>-ARRIERE!E26</f>
        <v>-310643</v>
      </c>
      <c r="I320" s="1912">
        <f>-ARRIERE!F26</f>
        <v>-691360</v>
      </c>
      <c r="J320" s="1912">
        <f>-ARRIERE!G26</f>
        <v>-72239</v>
      </c>
      <c r="K320" s="1912">
        <f>-ARRIERE!H26</f>
        <v>0</v>
      </c>
      <c r="L320" s="1912">
        <f>-ARRIERE!I26</f>
        <v>0</v>
      </c>
      <c r="M320" s="1912">
        <f>-ARRIERE!J26</f>
        <v>0</v>
      </c>
      <c r="N320" s="1912">
        <f>-ARRIERE!K26</f>
        <v>-1279</v>
      </c>
      <c r="O320" s="1912">
        <f>-ARRIERE!L26</f>
        <v>0</v>
      </c>
      <c r="P320" s="1912">
        <f>-ARRIERE!M26</f>
        <v>0</v>
      </c>
      <c r="Q320" s="1912">
        <f>-ARRIERE!N26</f>
        <v>-11586</v>
      </c>
      <c r="R320" s="1912">
        <f>-ARRIERE!O26</f>
        <v>0</v>
      </c>
      <c r="S320" s="1980">
        <f t="shared" si="106"/>
        <v>-1720480</v>
      </c>
      <c r="T320" s="1856">
        <f t="shared" si="92"/>
        <v>-1707615</v>
      </c>
      <c r="U320" s="1856">
        <f t="shared" si="93"/>
        <v>-1708894</v>
      </c>
      <c r="V320" s="1856">
        <f t="shared" si="103"/>
        <v>-1720480</v>
      </c>
      <c r="W320" s="1856">
        <f>SUM(K320:M320)</f>
        <v>0</v>
      </c>
      <c r="X320" s="1856">
        <f>SUM(L320:N320)</f>
        <v>-1279</v>
      </c>
      <c r="Y320" s="2003">
        <f t="shared" si="108"/>
        <v>-0.20681331890852264</v>
      </c>
      <c r="Z320" s="1877"/>
      <c r="AA320" s="2008">
        <f t="shared" si="109"/>
        <v>-1720.48</v>
      </c>
      <c r="AB320" s="1877"/>
      <c r="AC320" s="1877"/>
      <c r="AD320" s="1877"/>
      <c r="AE320" s="1877"/>
      <c r="AF320" s="1877"/>
      <c r="AG320" s="1877"/>
      <c r="AH320" s="1877"/>
      <c r="AI320" s="1877"/>
      <c r="AJ320" s="1877"/>
      <c r="AK320" s="1877"/>
      <c r="AL320" s="1877"/>
      <c r="AM320" s="1877"/>
      <c r="AN320" s="1877"/>
      <c r="AO320" s="1877"/>
      <c r="AP320" s="1877"/>
      <c r="AQ320" s="1877"/>
      <c r="AR320" s="1877"/>
      <c r="AS320" s="1877"/>
      <c r="AT320" s="1877"/>
      <c r="AU320" s="1877"/>
      <c r="AV320" s="1877"/>
      <c r="AW320" s="1877"/>
      <c r="AX320" s="1877"/>
      <c r="AY320" s="1877"/>
      <c r="AZ320" s="1877"/>
      <c r="BA320" s="1877"/>
      <c r="BB320" s="1877"/>
      <c r="BC320" s="1877"/>
      <c r="BD320" s="1877"/>
      <c r="BE320" s="1877"/>
      <c r="BF320" s="1877"/>
      <c r="BG320" s="1877"/>
      <c r="BH320" s="1877"/>
      <c r="BI320" s="1877"/>
      <c r="BJ320" s="1877"/>
      <c r="BK320" s="1877"/>
      <c r="BL320" s="1877"/>
      <c r="BM320" s="1877"/>
      <c r="BN320" s="1877"/>
      <c r="BO320" s="1877"/>
      <c r="BP320" s="1877"/>
      <c r="BQ320" s="1877"/>
      <c r="BR320" s="1877"/>
      <c r="BS320" s="1877"/>
      <c r="BT320" s="1877"/>
      <c r="BU320" s="1877"/>
      <c r="BV320" s="1877"/>
      <c r="BW320" s="1877"/>
      <c r="BX320" s="1877"/>
      <c r="BY320" s="1877"/>
      <c r="BZ320" s="1877"/>
      <c r="CA320" s="1877"/>
      <c r="CB320" s="1877"/>
      <c r="CC320" s="1877"/>
      <c r="CD320" s="1877"/>
      <c r="CE320" s="1877"/>
      <c r="CF320" s="1877"/>
      <c r="CG320" s="1877"/>
      <c r="CH320" s="1877"/>
      <c r="CI320" s="1877"/>
      <c r="CJ320" s="1877"/>
      <c r="CK320" s="1877"/>
      <c r="CL320" s="1877"/>
      <c r="CM320" s="1877"/>
      <c r="CN320" s="1877"/>
      <c r="CO320" s="1877"/>
      <c r="CP320" s="1877"/>
      <c r="CQ320" s="1877"/>
      <c r="CR320" s="1877"/>
      <c r="CS320" s="1877"/>
      <c r="CT320" s="1877"/>
      <c r="CU320" s="1877"/>
      <c r="CV320" s="1877"/>
      <c r="CW320" s="1877"/>
      <c r="CX320" s="1877"/>
      <c r="CY320" s="1877"/>
      <c r="CZ320" s="1877"/>
      <c r="DA320" s="1877"/>
      <c r="DB320" s="1877"/>
      <c r="DC320" s="1877"/>
      <c r="DD320" s="1877"/>
      <c r="DE320" s="1877"/>
      <c r="DF320" s="1877"/>
      <c r="DG320" s="1877"/>
      <c r="DH320" s="1877"/>
      <c r="DI320" s="1877"/>
      <c r="DJ320" s="1877"/>
      <c r="DK320" s="1877"/>
      <c r="DL320" s="1877"/>
      <c r="DM320" s="1877"/>
      <c r="DN320" s="1877"/>
      <c r="DO320" s="1877"/>
      <c r="DP320" s="1877"/>
      <c r="DQ320" s="1877"/>
      <c r="DR320" s="1877"/>
      <c r="DS320" s="1877"/>
      <c r="DT320" s="1877"/>
      <c r="DU320" s="1877"/>
      <c r="DV320" s="1877"/>
      <c r="DW320" s="1877"/>
      <c r="DX320" s="1877"/>
      <c r="DY320" s="1877"/>
      <c r="DZ320" s="1877"/>
      <c r="EA320" s="1877"/>
      <c r="EB320" s="1877"/>
      <c r="EC320" s="1877"/>
      <c r="ED320" s="1877"/>
      <c r="EE320" s="1877"/>
      <c r="EF320" s="1877"/>
      <c r="EG320" s="1877"/>
      <c r="EH320" s="1877"/>
      <c r="EI320" s="1877"/>
      <c r="EJ320" s="1877"/>
      <c r="EK320" s="1877"/>
      <c r="EL320" s="1877"/>
      <c r="EM320" s="1877"/>
      <c r="EN320" s="1877"/>
      <c r="EO320" s="1877"/>
      <c r="EP320" s="1877"/>
      <c r="EQ320" s="1877"/>
      <c r="ER320" s="1877"/>
      <c r="ES320" s="1877"/>
      <c r="ET320" s="1877"/>
      <c r="EU320" s="1877"/>
      <c r="EV320" s="1877"/>
      <c r="EW320" s="1877"/>
      <c r="EX320" s="1877"/>
      <c r="EY320" s="1877"/>
      <c r="EZ320" s="1877"/>
      <c r="FA320" s="1877"/>
      <c r="FB320" s="1877"/>
      <c r="FC320" s="1877"/>
      <c r="FD320" s="1877"/>
      <c r="FE320" s="1877"/>
      <c r="FF320" s="1877"/>
      <c r="FG320" s="1877"/>
      <c r="FH320" s="1877"/>
      <c r="FI320" s="1877"/>
      <c r="FJ320" s="1877"/>
      <c r="FK320" s="1877"/>
      <c r="FL320" s="1877"/>
      <c r="FM320" s="1877"/>
      <c r="FN320" s="1877"/>
      <c r="FO320" s="1877"/>
      <c r="FP320" s="1877"/>
      <c r="FQ320" s="1877"/>
      <c r="FR320" s="1877"/>
      <c r="FS320" s="1877"/>
      <c r="FT320" s="1877"/>
      <c r="FU320" s="1877"/>
      <c r="FV320" s="1877"/>
      <c r="FW320" s="1877"/>
      <c r="FX320" s="1877"/>
      <c r="FY320" s="1877"/>
      <c r="FZ320" s="1877"/>
      <c r="GA320" s="1877"/>
      <c r="GB320" s="1877"/>
      <c r="GC320" s="1877"/>
      <c r="GD320" s="1877"/>
      <c r="GE320" s="1877"/>
      <c r="GF320" s="1877"/>
      <c r="GG320" s="1877"/>
      <c r="GH320" s="1877"/>
      <c r="GI320" s="1877"/>
      <c r="GJ320" s="1877"/>
      <c r="GK320" s="1877"/>
      <c r="GL320" s="1877"/>
      <c r="GM320" s="1877"/>
      <c r="GN320" s="1877"/>
      <c r="GO320" s="1877"/>
      <c r="GP320" s="1877"/>
      <c r="GQ320" s="1877"/>
      <c r="GR320" s="1877"/>
      <c r="GS320" s="1877"/>
      <c r="GT320" s="1877"/>
      <c r="GU320" s="1877"/>
      <c r="GV320" s="1877"/>
      <c r="GW320" s="1877"/>
      <c r="GX320" s="1877"/>
      <c r="GY320" s="1877"/>
      <c r="GZ320" s="1877"/>
      <c r="HA320" s="1877"/>
      <c r="HB320" s="1877"/>
      <c r="HC320" s="1877"/>
      <c r="HD320" s="1877"/>
      <c r="HE320" s="1877"/>
      <c r="HF320" s="1877"/>
      <c r="HG320" s="1877"/>
      <c r="HH320" s="1877"/>
      <c r="HI320" s="1877"/>
      <c r="HJ320" s="1877"/>
      <c r="HK320" s="1877"/>
      <c r="HL320" s="1877"/>
      <c r="HM320" s="1877"/>
      <c r="HN320" s="1877"/>
      <c r="HO320" s="1877"/>
      <c r="HP320" s="1877"/>
      <c r="HQ320" s="1877"/>
      <c r="HR320" s="1877"/>
      <c r="HS320" s="1877"/>
      <c r="HT320" s="1877"/>
      <c r="HU320" s="1877"/>
      <c r="HV320" s="1877"/>
      <c r="HW320" s="1877"/>
      <c r="HX320" s="1877"/>
      <c r="HY320" s="1877"/>
      <c r="HZ320" s="1877"/>
      <c r="IA320" s="1877"/>
      <c r="IB320" s="1877"/>
      <c r="IC320" s="1877"/>
      <c r="ID320" s="1877"/>
      <c r="IE320" s="1877"/>
      <c r="IF320" s="1877"/>
      <c r="IG320" s="1877"/>
      <c r="IH320" s="1877"/>
      <c r="II320" s="1877"/>
      <c r="IJ320" s="1877"/>
      <c r="IK320" s="1877"/>
      <c r="IL320" s="1877"/>
      <c r="IM320" s="1877"/>
      <c r="IN320" s="1877"/>
    </row>
    <row r="321" spans="1:248" s="1855" customFormat="1" ht="26.25" hidden="1">
      <c r="A321" s="1884"/>
      <c r="B321" s="1967"/>
      <c r="C321" s="1909" t="s">
        <v>2900</v>
      </c>
      <c r="D321" s="1910"/>
      <c r="E321" s="1994" t="e">
        <f>SUM(E323:E330)</f>
        <v>#VALUE!</v>
      </c>
      <c r="F321" s="2077">
        <f>SUM(F323:F330)</f>
        <v>0</v>
      </c>
      <c r="G321" s="1994">
        <f>SUM(G323:G330)</f>
        <v>-680493.45699999994</v>
      </c>
      <c r="H321" s="1994">
        <f t="shared" ref="H321:R321" si="117">SUM(H323:H330)</f>
        <v>-217536.2</v>
      </c>
      <c r="I321" s="1994">
        <f t="shared" si="117"/>
        <v>-103942.07799999999</v>
      </c>
      <c r="J321" s="1994">
        <f t="shared" si="117"/>
        <v>-102885</v>
      </c>
      <c r="K321" s="1994">
        <f t="shared" si="117"/>
        <v>-15207.615</v>
      </c>
      <c r="L321" s="1994">
        <f t="shared" si="117"/>
        <v>-174165.541</v>
      </c>
      <c r="M321" s="1994">
        <f t="shared" si="117"/>
        <v>-400180.66600000003</v>
      </c>
      <c r="N321" s="1994">
        <f t="shared" si="117"/>
        <v>-10381.5</v>
      </c>
      <c r="O321" s="1994">
        <f t="shared" si="117"/>
        <v>-62337.308000000005</v>
      </c>
      <c r="P321" s="1994">
        <f>SUM(P323:P330)</f>
        <v>-207931.71600000001</v>
      </c>
      <c r="Q321" s="1994">
        <f>SUM(Q323:Q330)</f>
        <v>-99788.527000000002</v>
      </c>
      <c r="R321" s="1994">
        <f t="shared" si="117"/>
        <v>-71585.241000000009</v>
      </c>
      <c r="S321" s="1980">
        <f t="shared" si="106"/>
        <v>-2146434.8489999999</v>
      </c>
      <c r="T321" s="1856">
        <f t="shared" si="92"/>
        <v>-1294229.8909999998</v>
      </c>
      <c r="U321" s="1856">
        <f t="shared" si="93"/>
        <v>-1767129.3649999998</v>
      </c>
      <c r="V321" s="1856">
        <f t="shared" si="103"/>
        <v>-2146434.8489999999</v>
      </c>
      <c r="W321" s="1853" t="e">
        <f t="shared" si="99"/>
        <v>#DIV/0!</v>
      </c>
      <c r="X321" s="1854"/>
      <c r="Y321" s="2003">
        <f t="shared" si="108"/>
        <v>-0.25801596934727727</v>
      </c>
      <c r="Z321" s="1877"/>
      <c r="AA321" s="2008">
        <f t="shared" si="109"/>
        <v>-2146.4348489999998</v>
      </c>
      <c r="AB321" s="1877"/>
      <c r="AC321" s="1877"/>
      <c r="AD321" s="1877"/>
      <c r="AE321" s="1877"/>
      <c r="AF321" s="1877"/>
      <c r="AG321" s="1877"/>
      <c r="AH321" s="1877"/>
      <c r="AI321" s="1877"/>
      <c r="AJ321" s="1877"/>
      <c r="AK321" s="1877"/>
      <c r="AL321" s="1877"/>
      <c r="AM321" s="1877"/>
      <c r="AN321" s="1877"/>
      <c r="AO321" s="1877"/>
      <c r="AP321" s="1877"/>
      <c r="AQ321" s="1877"/>
      <c r="AR321" s="1877"/>
      <c r="AS321" s="1877"/>
      <c r="AT321" s="1877"/>
      <c r="AU321" s="1877"/>
      <c r="AV321" s="1877"/>
      <c r="AW321" s="1877"/>
      <c r="AX321" s="1877"/>
      <c r="AY321" s="1877"/>
      <c r="AZ321" s="1877"/>
      <c r="BA321" s="1877"/>
      <c r="BB321" s="1877"/>
      <c r="BC321" s="1877"/>
      <c r="BD321" s="1877"/>
      <c r="BE321" s="1877"/>
      <c r="BF321" s="1877"/>
      <c r="BG321" s="1877"/>
      <c r="BH321" s="1877"/>
      <c r="BI321" s="1877"/>
      <c r="BJ321" s="1877"/>
      <c r="BK321" s="1877"/>
      <c r="BL321" s="1877"/>
      <c r="BM321" s="1877"/>
      <c r="BN321" s="1877"/>
      <c r="BO321" s="1877"/>
      <c r="BP321" s="1877"/>
      <c r="BQ321" s="1877"/>
      <c r="BR321" s="1877"/>
      <c r="BS321" s="1877"/>
      <c r="BT321" s="1877"/>
      <c r="BU321" s="1877"/>
      <c r="BV321" s="1877"/>
      <c r="BW321" s="1877"/>
      <c r="BX321" s="1877"/>
      <c r="BY321" s="1877"/>
      <c r="BZ321" s="1877"/>
      <c r="CA321" s="1877"/>
      <c r="CB321" s="1877"/>
      <c r="CC321" s="1877"/>
      <c r="CD321" s="1877"/>
      <c r="CE321" s="1877"/>
      <c r="CF321" s="1877"/>
      <c r="CG321" s="1877"/>
      <c r="CH321" s="1877"/>
      <c r="CI321" s="1877"/>
      <c r="CJ321" s="1877"/>
      <c r="CK321" s="1877"/>
      <c r="CL321" s="1877"/>
      <c r="CM321" s="1877"/>
      <c r="CN321" s="1877"/>
      <c r="CO321" s="1877"/>
      <c r="CP321" s="1877"/>
      <c r="CQ321" s="1877"/>
      <c r="CR321" s="1877"/>
      <c r="CS321" s="1877"/>
      <c r="CT321" s="1877"/>
      <c r="CU321" s="1877"/>
      <c r="CV321" s="1877"/>
      <c r="CW321" s="1877"/>
      <c r="CX321" s="1877"/>
      <c r="CY321" s="1877"/>
      <c r="CZ321" s="1877"/>
      <c r="DA321" s="1877"/>
      <c r="DB321" s="1877"/>
      <c r="DC321" s="1877"/>
      <c r="DD321" s="1877"/>
      <c r="DE321" s="1877"/>
      <c r="DF321" s="1877"/>
      <c r="DG321" s="1877"/>
      <c r="DH321" s="1877"/>
      <c r="DI321" s="1877"/>
      <c r="DJ321" s="1877"/>
      <c r="DK321" s="1877"/>
      <c r="DL321" s="1877"/>
      <c r="DM321" s="1877"/>
      <c r="DN321" s="1877"/>
      <c r="DO321" s="1877"/>
      <c r="DP321" s="1877"/>
      <c r="DQ321" s="1877"/>
      <c r="DR321" s="1877"/>
      <c r="DS321" s="1877"/>
      <c r="DT321" s="1877"/>
      <c r="DU321" s="1877"/>
      <c r="DV321" s="1877"/>
      <c r="DW321" s="1877"/>
      <c r="DX321" s="1877"/>
      <c r="DY321" s="1877"/>
      <c r="DZ321" s="1877"/>
      <c r="EA321" s="1877"/>
      <c r="EB321" s="1877"/>
      <c r="EC321" s="1877"/>
      <c r="ED321" s="1877"/>
      <c r="EE321" s="1877"/>
      <c r="EF321" s="1877"/>
      <c r="EG321" s="1877"/>
      <c r="EH321" s="1877"/>
      <c r="EI321" s="1877"/>
      <c r="EJ321" s="1877"/>
      <c r="EK321" s="1877"/>
      <c r="EL321" s="1877"/>
      <c r="EM321" s="1877"/>
      <c r="EN321" s="1877"/>
      <c r="EO321" s="1877"/>
      <c r="EP321" s="1877"/>
      <c r="EQ321" s="1877"/>
      <c r="ER321" s="1877"/>
      <c r="ES321" s="1877"/>
      <c r="ET321" s="1877"/>
      <c r="EU321" s="1877"/>
      <c r="EV321" s="1877"/>
      <c r="EW321" s="1877"/>
      <c r="EX321" s="1877"/>
      <c r="EY321" s="1877"/>
      <c r="EZ321" s="1877"/>
      <c r="FA321" s="1877"/>
      <c r="FB321" s="1877"/>
      <c r="FC321" s="1877"/>
      <c r="FD321" s="1877"/>
      <c r="FE321" s="1877"/>
      <c r="FF321" s="1877"/>
      <c r="FG321" s="1877"/>
      <c r="FH321" s="1877"/>
      <c r="FI321" s="1877"/>
      <c r="FJ321" s="1877"/>
      <c r="FK321" s="1877"/>
      <c r="FL321" s="1877"/>
      <c r="FM321" s="1877"/>
      <c r="FN321" s="1877"/>
      <c r="FO321" s="1877"/>
      <c r="FP321" s="1877"/>
      <c r="FQ321" s="1877"/>
      <c r="FR321" s="1877"/>
      <c r="FS321" s="1877"/>
      <c r="FT321" s="1877"/>
      <c r="FU321" s="1877"/>
      <c r="FV321" s="1877"/>
      <c r="FW321" s="1877"/>
      <c r="FX321" s="1877"/>
      <c r="FY321" s="1877"/>
      <c r="FZ321" s="1877"/>
      <c r="GA321" s="1877"/>
      <c r="GB321" s="1877"/>
      <c r="GC321" s="1877"/>
      <c r="GD321" s="1877"/>
      <c r="GE321" s="1877"/>
      <c r="GF321" s="1877"/>
      <c r="GG321" s="1877"/>
      <c r="GH321" s="1877"/>
      <c r="GI321" s="1877"/>
      <c r="GJ321" s="1877"/>
      <c r="GK321" s="1877"/>
      <c r="GL321" s="1877"/>
      <c r="GM321" s="1877"/>
      <c r="GN321" s="1877"/>
      <c r="GO321" s="1877"/>
      <c r="GP321" s="1877"/>
      <c r="GQ321" s="1877"/>
      <c r="GR321" s="1877"/>
      <c r="GS321" s="1877"/>
      <c r="GT321" s="1877"/>
      <c r="GU321" s="1877"/>
      <c r="GV321" s="1877"/>
      <c r="GW321" s="1877"/>
      <c r="GX321" s="1877"/>
      <c r="GY321" s="1877"/>
      <c r="GZ321" s="1877"/>
      <c r="HA321" s="1877"/>
      <c r="HB321" s="1877"/>
      <c r="HC321" s="1877"/>
      <c r="HD321" s="1877"/>
      <c r="HE321" s="1877"/>
      <c r="HF321" s="1877"/>
      <c r="HG321" s="1877"/>
      <c r="HH321" s="1877"/>
      <c r="HI321" s="1877"/>
      <c r="HJ321" s="1877"/>
      <c r="HK321" s="1877"/>
      <c r="HL321" s="1877"/>
      <c r="HM321" s="1877"/>
      <c r="HN321" s="1877"/>
      <c r="HO321" s="1877"/>
      <c r="HP321" s="1877"/>
      <c r="HQ321" s="1877"/>
      <c r="HR321" s="1877"/>
      <c r="HS321" s="1877"/>
      <c r="HT321" s="1877"/>
      <c r="HU321" s="1877"/>
      <c r="HV321" s="1877"/>
      <c r="HW321" s="1877"/>
      <c r="HX321" s="1877"/>
      <c r="HY321" s="1877"/>
      <c r="HZ321" s="1877"/>
      <c r="IA321" s="1877"/>
      <c r="IB321" s="1877"/>
      <c r="IC321" s="1877"/>
      <c r="ID321" s="1877"/>
      <c r="IE321" s="1877"/>
      <c r="IF321" s="1877"/>
      <c r="IG321" s="1877"/>
      <c r="IH321" s="1877"/>
      <c r="II321" s="1877"/>
      <c r="IJ321" s="1877"/>
      <c r="IK321" s="1877"/>
      <c r="IL321" s="1877"/>
      <c r="IM321" s="1877"/>
      <c r="IN321" s="1877"/>
    </row>
    <row r="322" spans="1:248" s="1855" customFormat="1" ht="26.25" hidden="1">
      <c r="A322" s="1884"/>
      <c r="B322" s="1918"/>
      <c r="C322" s="1909" t="s">
        <v>2738</v>
      </c>
      <c r="D322" s="1910"/>
      <c r="E322" s="1985"/>
      <c r="F322" s="2078"/>
      <c r="G322" s="1985"/>
      <c r="H322" s="1912"/>
      <c r="I322" s="1912"/>
      <c r="J322" s="1912"/>
      <c r="K322" s="1912"/>
      <c r="L322" s="1912"/>
      <c r="M322" s="1912"/>
      <c r="N322" s="1912"/>
      <c r="O322" s="1912"/>
      <c r="P322" s="1912"/>
      <c r="Q322" s="1912"/>
      <c r="R322" s="1912"/>
      <c r="S322" s="1980">
        <f t="shared" si="106"/>
        <v>0</v>
      </c>
      <c r="T322" s="1856">
        <f t="shared" si="92"/>
        <v>0</v>
      </c>
      <c r="U322" s="1856">
        <f t="shared" si="93"/>
        <v>0</v>
      </c>
      <c r="V322" s="1856">
        <f t="shared" si="103"/>
        <v>0</v>
      </c>
      <c r="W322" s="1853" t="e">
        <f t="shared" si="99"/>
        <v>#DIV/0!</v>
      </c>
      <c r="X322" s="1854"/>
      <c r="Y322" s="2003">
        <f t="shared" si="108"/>
        <v>0</v>
      </c>
      <c r="Z322" s="1877"/>
      <c r="AA322" s="2008">
        <f t="shared" si="109"/>
        <v>0</v>
      </c>
      <c r="AB322" s="1877"/>
      <c r="AC322" s="1877"/>
      <c r="AD322" s="1877"/>
      <c r="AE322" s="1877"/>
      <c r="AF322" s="1877"/>
      <c r="AG322" s="1877"/>
      <c r="AH322" s="1877"/>
      <c r="AI322" s="1877"/>
      <c r="AJ322" s="1877"/>
      <c r="AK322" s="1877"/>
      <c r="AL322" s="1877"/>
      <c r="AM322" s="1877"/>
      <c r="AN322" s="1877"/>
      <c r="AO322" s="1877"/>
      <c r="AP322" s="1877"/>
      <c r="AQ322" s="1877"/>
      <c r="AR322" s="1877"/>
      <c r="AS322" s="1877"/>
      <c r="AT322" s="1877"/>
      <c r="AU322" s="1877"/>
      <c r="AV322" s="1877"/>
      <c r="AW322" s="1877"/>
      <c r="AX322" s="1877"/>
      <c r="AY322" s="1877"/>
      <c r="AZ322" s="1877"/>
      <c r="BA322" s="1877"/>
      <c r="BB322" s="1877"/>
      <c r="BC322" s="1877"/>
      <c r="BD322" s="1877"/>
      <c r="BE322" s="1877"/>
      <c r="BF322" s="1877"/>
      <c r="BG322" s="1877"/>
      <c r="BH322" s="1877"/>
      <c r="BI322" s="1877"/>
      <c r="BJ322" s="1877"/>
      <c r="BK322" s="1877"/>
      <c r="BL322" s="1877"/>
      <c r="BM322" s="1877"/>
      <c r="BN322" s="1877"/>
      <c r="BO322" s="1877"/>
      <c r="BP322" s="1877"/>
      <c r="BQ322" s="1877"/>
      <c r="BR322" s="1877"/>
      <c r="BS322" s="1877"/>
      <c r="BT322" s="1877"/>
      <c r="BU322" s="1877"/>
      <c r="BV322" s="1877"/>
      <c r="BW322" s="1877"/>
      <c r="BX322" s="1877"/>
      <c r="BY322" s="1877"/>
      <c r="BZ322" s="1877"/>
      <c r="CA322" s="1877"/>
      <c r="CB322" s="1877"/>
      <c r="CC322" s="1877"/>
      <c r="CD322" s="1877"/>
      <c r="CE322" s="1877"/>
      <c r="CF322" s="1877"/>
      <c r="CG322" s="1877"/>
      <c r="CH322" s="1877"/>
      <c r="CI322" s="1877"/>
      <c r="CJ322" s="1877"/>
      <c r="CK322" s="1877"/>
      <c r="CL322" s="1877"/>
      <c r="CM322" s="1877"/>
      <c r="CN322" s="1877"/>
      <c r="CO322" s="1877"/>
      <c r="CP322" s="1877"/>
      <c r="CQ322" s="1877"/>
      <c r="CR322" s="1877"/>
      <c r="CS322" s="1877"/>
      <c r="CT322" s="1877"/>
      <c r="CU322" s="1877"/>
      <c r="CV322" s="1877"/>
      <c r="CW322" s="1877"/>
      <c r="CX322" s="1877"/>
      <c r="CY322" s="1877"/>
      <c r="CZ322" s="1877"/>
      <c r="DA322" s="1877"/>
      <c r="DB322" s="1877"/>
      <c r="DC322" s="1877"/>
      <c r="DD322" s="1877"/>
      <c r="DE322" s="1877"/>
      <c r="DF322" s="1877"/>
      <c r="DG322" s="1877"/>
      <c r="DH322" s="1877"/>
      <c r="DI322" s="1877"/>
      <c r="DJ322" s="1877"/>
      <c r="DK322" s="1877"/>
      <c r="DL322" s="1877"/>
      <c r="DM322" s="1877"/>
      <c r="DN322" s="1877"/>
      <c r="DO322" s="1877"/>
      <c r="DP322" s="1877"/>
      <c r="DQ322" s="1877"/>
      <c r="DR322" s="1877"/>
      <c r="DS322" s="1877"/>
      <c r="DT322" s="1877"/>
      <c r="DU322" s="1877"/>
      <c r="DV322" s="1877"/>
      <c r="DW322" s="1877"/>
      <c r="DX322" s="1877"/>
      <c r="DY322" s="1877"/>
      <c r="DZ322" s="1877"/>
      <c r="EA322" s="1877"/>
      <c r="EB322" s="1877"/>
      <c r="EC322" s="1877"/>
      <c r="ED322" s="1877"/>
      <c r="EE322" s="1877"/>
      <c r="EF322" s="1877"/>
      <c r="EG322" s="1877"/>
      <c r="EH322" s="1877"/>
      <c r="EI322" s="1877"/>
      <c r="EJ322" s="1877"/>
      <c r="EK322" s="1877"/>
      <c r="EL322" s="1877"/>
      <c r="EM322" s="1877"/>
      <c r="EN322" s="1877"/>
      <c r="EO322" s="1877"/>
      <c r="EP322" s="1877"/>
      <c r="EQ322" s="1877"/>
      <c r="ER322" s="1877"/>
      <c r="ES322" s="1877"/>
      <c r="ET322" s="1877"/>
      <c r="EU322" s="1877"/>
      <c r="EV322" s="1877"/>
      <c r="EW322" s="1877"/>
      <c r="EX322" s="1877"/>
      <c r="EY322" s="1877"/>
      <c r="EZ322" s="1877"/>
      <c r="FA322" s="1877"/>
      <c r="FB322" s="1877"/>
      <c r="FC322" s="1877"/>
      <c r="FD322" s="1877"/>
      <c r="FE322" s="1877"/>
      <c r="FF322" s="1877"/>
      <c r="FG322" s="1877"/>
      <c r="FH322" s="1877"/>
      <c r="FI322" s="1877"/>
      <c r="FJ322" s="1877"/>
      <c r="FK322" s="1877"/>
      <c r="FL322" s="1877"/>
      <c r="FM322" s="1877"/>
      <c r="FN322" s="1877"/>
      <c r="FO322" s="1877"/>
      <c r="FP322" s="1877"/>
      <c r="FQ322" s="1877"/>
      <c r="FR322" s="1877"/>
      <c r="FS322" s="1877"/>
      <c r="FT322" s="1877"/>
      <c r="FU322" s="1877"/>
      <c r="FV322" s="1877"/>
      <c r="FW322" s="1877"/>
      <c r="FX322" s="1877"/>
      <c r="FY322" s="1877"/>
      <c r="FZ322" s="1877"/>
      <c r="GA322" s="1877"/>
      <c r="GB322" s="1877"/>
      <c r="GC322" s="1877"/>
      <c r="GD322" s="1877"/>
      <c r="GE322" s="1877"/>
      <c r="GF322" s="1877"/>
      <c r="GG322" s="1877"/>
      <c r="GH322" s="1877"/>
      <c r="GI322" s="1877"/>
      <c r="GJ322" s="1877"/>
      <c r="GK322" s="1877"/>
      <c r="GL322" s="1877"/>
      <c r="GM322" s="1877"/>
      <c r="GN322" s="1877"/>
      <c r="GO322" s="1877"/>
      <c r="GP322" s="1877"/>
      <c r="GQ322" s="1877"/>
      <c r="GR322" s="1877"/>
      <c r="GS322" s="1877"/>
      <c r="GT322" s="1877"/>
      <c r="GU322" s="1877"/>
      <c r="GV322" s="1877"/>
      <c r="GW322" s="1877"/>
      <c r="GX322" s="1877"/>
      <c r="GY322" s="1877"/>
      <c r="GZ322" s="1877"/>
      <c r="HA322" s="1877"/>
      <c r="HB322" s="1877"/>
      <c r="HC322" s="1877"/>
      <c r="HD322" s="1877"/>
      <c r="HE322" s="1877"/>
      <c r="HF322" s="1877"/>
      <c r="HG322" s="1877"/>
      <c r="HH322" s="1877"/>
      <c r="HI322" s="1877"/>
      <c r="HJ322" s="1877"/>
      <c r="HK322" s="1877"/>
      <c r="HL322" s="1877"/>
      <c r="HM322" s="1877"/>
      <c r="HN322" s="1877"/>
      <c r="HO322" s="1877"/>
      <c r="HP322" s="1877"/>
      <c r="HQ322" s="1877"/>
      <c r="HR322" s="1877"/>
      <c r="HS322" s="1877"/>
      <c r="HT322" s="1877"/>
      <c r="HU322" s="1877"/>
      <c r="HV322" s="1877"/>
      <c r="HW322" s="1877"/>
      <c r="HX322" s="1877"/>
      <c r="HY322" s="1877"/>
      <c r="HZ322" s="1877"/>
      <c r="IA322" s="1877"/>
      <c r="IB322" s="1877"/>
      <c r="IC322" s="1877"/>
      <c r="ID322" s="1877"/>
      <c r="IE322" s="1877"/>
      <c r="IF322" s="1877"/>
      <c r="IG322" s="1877"/>
      <c r="IH322" s="1877"/>
      <c r="II322" s="1877"/>
      <c r="IJ322" s="1877"/>
      <c r="IK322" s="1877"/>
      <c r="IL322" s="1877"/>
      <c r="IM322" s="1877"/>
      <c r="IN322" s="1877"/>
    </row>
    <row r="323" spans="1:248" s="1855" customFormat="1" ht="26.25" hidden="1">
      <c r="A323" s="1884"/>
      <c r="B323" s="1918"/>
      <c r="C323" s="1909" t="s">
        <v>538</v>
      </c>
      <c r="D323" s="1910"/>
      <c r="E323" s="1985"/>
      <c r="F323" s="2078"/>
      <c r="G323" s="1985"/>
      <c r="H323" s="1912"/>
      <c r="I323" s="1912"/>
      <c r="J323" s="1912"/>
      <c r="K323" s="1912"/>
      <c r="L323" s="1912"/>
      <c r="M323" s="1912"/>
      <c r="N323" s="1912"/>
      <c r="O323" s="1912"/>
      <c r="P323" s="1912"/>
      <c r="Q323" s="1912"/>
      <c r="R323" s="1912"/>
      <c r="S323" s="1980">
        <f t="shared" si="106"/>
        <v>0</v>
      </c>
      <c r="T323" s="1856">
        <f t="shared" si="92"/>
        <v>0</v>
      </c>
      <c r="U323" s="1856">
        <f t="shared" si="93"/>
        <v>0</v>
      </c>
      <c r="V323" s="1856">
        <f t="shared" si="103"/>
        <v>0</v>
      </c>
      <c r="W323" s="1853" t="e">
        <f t="shared" si="99"/>
        <v>#DIV/0!</v>
      </c>
      <c r="X323" s="1854"/>
      <c r="Y323" s="2003">
        <f t="shared" si="108"/>
        <v>0</v>
      </c>
      <c r="Z323" s="1877"/>
      <c r="AA323" s="2008">
        <f t="shared" si="109"/>
        <v>0</v>
      </c>
      <c r="AB323" s="1877"/>
      <c r="AC323" s="1877"/>
      <c r="AD323" s="1877"/>
      <c r="AE323" s="1877"/>
      <c r="AF323" s="1877"/>
      <c r="AG323" s="1877"/>
      <c r="AH323" s="1877"/>
      <c r="AI323" s="1877"/>
      <c r="AJ323" s="1877"/>
      <c r="AK323" s="1877"/>
      <c r="AL323" s="1877"/>
      <c r="AM323" s="1877"/>
      <c r="AN323" s="1877"/>
      <c r="AO323" s="1877"/>
      <c r="AP323" s="1877"/>
      <c r="AQ323" s="1877"/>
      <c r="AR323" s="1877"/>
      <c r="AS323" s="1877"/>
      <c r="AT323" s="1877"/>
      <c r="AU323" s="1877"/>
      <c r="AV323" s="1877"/>
      <c r="AW323" s="1877"/>
      <c r="AX323" s="1877"/>
      <c r="AY323" s="1877"/>
      <c r="AZ323" s="1877"/>
      <c r="BA323" s="1877"/>
      <c r="BB323" s="1877"/>
      <c r="BC323" s="1877"/>
      <c r="BD323" s="1877"/>
      <c r="BE323" s="1877"/>
      <c r="BF323" s="1877"/>
      <c r="BG323" s="1877"/>
      <c r="BH323" s="1877"/>
      <c r="BI323" s="1877"/>
      <c r="BJ323" s="1877"/>
      <c r="BK323" s="1877"/>
      <c r="BL323" s="1877"/>
      <c r="BM323" s="1877"/>
      <c r="BN323" s="1877"/>
      <c r="BO323" s="1877"/>
      <c r="BP323" s="1877"/>
      <c r="BQ323" s="1877"/>
      <c r="BR323" s="1877"/>
      <c r="BS323" s="1877"/>
      <c r="BT323" s="1877"/>
      <c r="BU323" s="1877"/>
      <c r="BV323" s="1877"/>
      <c r="BW323" s="1877"/>
      <c r="BX323" s="1877"/>
      <c r="BY323" s="1877"/>
      <c r="BZ323" s="1877"/>
      <c r="CA323" s="1877"/>
      <c r="CB323" s="1877"/>
      <c r="CC323" s="1877"/>
      <c r="CD323" s="1877"/>
      <c r="CE323" s="1877"/>
      <c r="CF323" s="1877"/>
      <c r="CG323" s="1877"/>
      <c r="CH323" s="1877"/>
      <c r="CI323" s="1877"/>
      <c r="CJ323" s="1877"/>
      <c r="CK323" s="1877"/>
      <c r="CL323" s="1877"/>
      <c r="CM323" s="1877"/>
      <c r="CN323" s="1877"/>
      <c r="CO323" s="1877"/>
      <c r="CP323" s="1877"/>
      <c r="CQ323" s="1877"/>
      <c r="CR323" s="1877"/>
      <c r="CS323" s="1877"/>
      <c r="CT323" s="1877"/>
      <c r="CU323" s="1877"/>
      <c r="CV323" s="1877"/>
      <c r="CW323" s="1877"/>
      <c r="CX323" s="1877"/>
      <c r="CY323" s="1877"/>
      <c r="CZ323" s="1877"/>
      <c r="DA323" s="1877"/>
      <c r="DB323" s="1877"/>
      <c r="DC323" s="1877"/>
      <c r="DD323" s="1877"/>
      <c r="DE323" s="1877"/>
      <c r="DF323" s="1877"/>
      <c r="DG323" s="1877"/>
      <c r="DH323" s="1877"/>
      <c r="DI323" s="1877"/>
      <c r="DJ323" s="1877"/>
      <c r="DK323" s="1877"/>
      <c r="DL323" s="1877"/>
      <c r="DM323" s="1877"/>
      <c r="DN323" s="1877"/>
      <c r="DO323" s="1877"/>
      <c r="DP323" s="1877"/>
      <c r="DQ323" s="1877"/>
      <c r="DR323" s="1877"/>
      <c r="DS323" s="1877"/>
      <c r="DT323" s="1877"/>
      <c r="DU323" s="1877"/>
      <c r="DV323" s="1877"/>
      <c r="DW323" s="1877"/>
      <c r="DX323" s="1877"/>
      <c r="DY323" s="1877"/>
      <c r="DZ323" s="1877"/>
      <c r="EA323" s="1877"/>
      <c r="EB323" s="1877"/>
      <c r="EC323" s="1877"/>
      <c r="ED323" s="1877"/>
      <c r="EE323" s="1877"/>
      <c r="EF323" s="1877"/>
      <c r="EG323" s="1877"/>
      <c r="EH323" s="1877"/>
      <c r="EI323" s="1877"/>
      <c r="EJ323" s="1877"/>
      <c r="EK323" s="1877"/>
      <c r="EL323" s="1877"/>
      <c r="EM323" s="1877"/>
      <c r="EN323" s="1877"/>
      <c r="EO323" s="1877"/>
      <c r="EP323" s="1877"/>
      <c r="EQ323" s="1877"/>
      <c r="ER323" s="1877"/>
      <c r="ES323" s="1877"/>
      <c r="ET323" s="1877"/>
      <c r="EU323" s="1877"/>
      <c r="EV323" s="1877"/>
      <c r="EW323" s="1877"/>
      <c r="EX323" s="1877"/>
      <c r="EY323" s="1877"/>
      <c r="EZ323" s="1877"/>
      <c r="FA323" s="1877"/>
      <c r="FB323" s="1877"/>
      <c r="FC323" s="1877"/>
      <c r="FD323" s="1877"/>
      <c r="FE323" s="1877"/>
      <c r="FF323" s="1877"/>
      <c r="FG323" s="1877"/>
      <c r="FH323" s="1877"/>
      <c r="FI323" s="1877"/>
      <c r="FJ323" s="1877"/>
      <c r="FK323" s="1877"/>
      <c r="FL323" s="1877"/>
      <c r="FM323" s="1877"/>
      <c r="FN323" s="1877"/>
      <c r="FO323" s="1877"/>
      <c r="FP323" s="1877"/>
      <c r="FQ323" s="1877"/>
      <c r="FR323" s="1877"/>
      <c r="FS323" s="1877"/>
      <c r="FT323" s="1877"/>
      <c r="FU323" s="1877"/>
      <c r="FV323" s="1877"/>
      <c r="FW323" s="1877"/>
      <c r="FX323" s="1877"/>
      <c r="FY323" s="1877"/>
      <c r="FZ323" s="1877"/>
      <c r="GA323" s="1877"/>
      <c r="GB323" s="1877"/>
      <c r="GC323" s="1877"/>
      <c r="GD323" s="1877"/>
      <c r="GE323" s="1877"/>
      <c r="GF323" s="1877"/>
      <c r="GG323" s="1877"/>
      <c r="GH323" s="1877"/>
      <c r="GI323" s="1877"/>
      <c r="GJ323" s="1877"/>
      <c r="GK323" s="1877"/>
      <c r="GL323" s="1877"/>
      <c r="GM323" s="1877"/>
      <c r="GN323" s="1877"/>
      <c r="GO323" s="1877"/>
      <c r="GP323" s="1877"/>
      <c r="GQ323" s="1877"/>
      <c r="GR323" s="1877"/>
      <c r="GS323" s="1877"/>
      <c r="GT323" s="1877"/>
      <c r="GU323" s="1877"/>
      <c r="GV323" s="1877"/>
      <c r="GW323" s="1877"/>
      <c r="GX323" s="1877"/>
      <c r="GY323" s="1877"/>
      <c r="GZ323" s="1877"/>
      <c r="HA323" s="1877"/>
      <c r="HB323" s="1877"/>
      <c r="HC323" s="1877"/>
      <c r="HD323" s="1877"/>
      <c r="HE323" s="1877"/>
      <c r="HF323" s="1877"/>
      <c r="HG323" s="1877"/>
      <c r="HH323" s="1877"/>
      <c r="HI323" s="1877"/>
      <c r="HJ323" s="1877"/>
      <c r="HK323" s="1877"/>
      <c r="HL323" s="1877"/>
      <c r="HM323" s="1877"/>
      <c r="HN323" s="1877"/>
      <c r="HO323" s="1877"/>
      <c r="HP323" s="1877"/>
      <c r="HQ323" s="1877"/>
      <c r="HR323" s="1877"/>
      <c r="HS323" s="1877"/>
      <c r="HT323" s="1877"/>
      <c r="HU323" s="1877"/>
      <c r="HV323" s="1877"/>
      <c r="HW323" s="1877"/>
      <c r="HX323" s="1877"/>
      <c r="HY323" s="1877"/>
      <c r="HZ323" s="1877"/>
      <c r="IA323" s="1877"/>
      <c r="IB323" s="1877"/>
      <c r="IC323" s="1877"/>
      <c r="ID323" s="1877"/>
      <c r="IE323" s="1877"/>
      <c r="IF323" s="1877"/>
      <c r="IG323" s="1877"/>
      <c r="IH323" s="1877"/>
      <c r="II323" s="1877"/>
      <c r="IJ323" s="1877"/>
      <c r="IK323" s="1877"/>
      <c r="IL323" s="1877"/>
      <c r="IM323" s="1877"/>
      <c r="IN323" s="1877"/>
    </row>
    <row r="324" spans="1:248" s="1855" customFormat="1" ht="26.25" hidden="1">
      <c r="A324" s="1884"/>
      <c r="B324" s="1918"/>
      <c r="C324" s="1909" t="s">
        <v>539</v>
      </c>
      <c r="D324" s="1910"/>
      <c r="E324" s="1985"/>
      <c r="F324" s="2078"/>
      <c r="G324" s="1985"/>
      <c r="H324" s="1912"/>
      <c r="I324" s="1912"/>
      <c r="J324" s="1912"/>
      <c r="K324" s="1912"/>
      <c r="L324" s="1912"/>
      <c r="M324" s="1912"/>
      <c r="N324" s="1912"/>
      <c r="O324" s="1912"/>
      <c r="P324" s="1912"/>
      <c r="Q324" s="1912"/>
      <c r="R324" s="1912"/>
      <c r="S324" s="1980">
        <f t="shared" si="106"/>
        <v>0</v>
      </c>
      <c r="T324" s="1856">
        <f t="shared" si="92"/>
        <v>0</v>
      </c>
      <c r="U324" s="1856">
        <f t="shared" si="93"/>
        <v>0</v>
      </c>
      <c r="V324" s="1856">
        <f t="shared" si="103"/>
        <v>0</v>
      </c>
      <c r="W324" s="1853" t="e">
        <f t="shared" si="99"/>
        <v>#DIV/0!</v>
      </c>
      <c r="X324" s="1854"/>
      <c r="Y324" s="2003">
        <f t="shared" si="108"/>
        <v>0</v>
      </c>
      <c r="Z324" s="1877"/>
      <c r="AA324" s="2008">
        <f t="shared" si="109"/>
        <v>0</v>
      </c>
      <c r="AB324" s="1877"/>
      <c r="AC324" s="1877"/>
      <c r="AD324" s="1877"/>
      <c r="AE324" s="1877"/>
      <c r="AF324" s="1877"/>
      <c r="AG324" s="1877"/>
      <c r="AH324" s="1877"/>
      <c r="AI324" s="1877"/>
      <c r="AJ324" s="1877"/>
      <c r="AK324" s="1877"/>
      <c r="AL324" s="1877"/>
      <c r="AM324" s="1877"/>
      <c r="AN324" s="1877"/>
      <c r="AO324" s="1877"/>
      <c r="AP324" s="1877"/>
      <c r="AQ324" s="1877"/>
      <c r="AR324" s="1877"/>
      <c r="AS324" s="1877"/>
      <c r="AT324" s="1877"/>
      <c r="AU324" s="1877"/>
      <c r="AV324" s="1877"/>
      <c r="AW324" s="1877"/>
      <c r="AX324" s="1877"/>
      <c r="AY324" s="1877"/>
      <c r="AZ324" s="1877"/>
      <c r="BA324" s="1877"/>
      <c r="BB324" s="1877"/>
      <c r="BC324" s="1877"/>
      <c r="BD324" s="1877"/>
      <c r="BE324" s="1877"/>
      <c r="BF324" s="1877"/>
      <c r="BG324" s="1877"/>
      <c r="BH324" s="1877"/>
      <c r="BI324" s="1877"/>
      <c r="BJ324" s="1877"/>
      <c r="BK324" s="1877"/>
      <c r="BL324" s="1877"/>
      <c r="BM324" s="1877"/>
      <c r="BN324" s="1877"/>
      <c r="BO324" s="1877"/>
      <c r="BP324" s="1877"/>
      <c r="BQ324" s="1877"/>
      <c r="BR324" s="1877"/>
      <c r="BS324" s="1877"/>
      <c r="BT324" s="1877"/>
      <c r="BU324" s="1877"/>
      <c r="BV324" s="1877"/>
      <c r="BW324" s="1877"/>
      <c r="BX324" s="1877"/>
      <c r="BY324" s="1877"/>
      <c r="BZ324" s="1877"/>
      <c r="CA324" s="1877"/>
      <c r="CB324" s="1877"/>
      <c r="CC324" s="1877"/>
      <c r="CD324" s="1877"/>
      <c r="CE324" s="1877"/>
      <c r="CF324" s="1877"/>
      <c r="CG324" s="1877"/>
      <c r="CH324" s="1877"/>
      <c r="CI324" s="1877"/>
      <c r="CJ324" s="1877"/>
      <c r="CK324" s="1877"/>
      <c r="CL324" s="1877"/>
      <c r="CM324" s="1877"/>
      <c r="CN324" s="1877"/>
      <c r="CO324" s="1877"/>
      <c r="CP324" s="1877"/>
      <c r="CQ324" s="1877"/>
      <c r="CR324" s="1877"/>
      <c r="CS324" s="1877"/>
      <c r="CT324" s="1877"/>
      <c r="CU324" s="1877"/>
      <c r="CV324" s="1877"/>
      <c r="CW324" s="1877"/>
      <c r="CX324" s="1877"/>
      <c r="CY324" s="1877"/>
      <c r="CZ324" s="1877"/>
      <c r="DA324" s="1877"/>
      <c r="DB324" s="1877"/>
      <c r="DC324" s="1877"/>
      <c r="DD324" s="1877"/>
      <c r="DE324" s="1877"/>
      <c r="DF324" s="1877"/>
      <c r="DG324" s="1877"/>
      <c r="DH324" s="1877"/>
      <c r="DI324" s="1877"/>
      <c r="DJ324" s="1877"/>
      <c r="DK324" s="1877"/>
      <c r="DL324" s="1877"/>
      <c r="DM324" s="1877"/>
      <c r="DN324" s="1877"/>
      <c r="DO324" s="1877"/>
      <c r="DP324" s="1877"/>
      <c r="DQ324" s="1877"/>
      <c r="DR324" s="1877"/>
      <c r="DS324" s="1877"/>
      <c r="DT324" s="1877"/>
      <c r="DU324" s="1877"/>
      <c r="DV324" s="1877"/>
      <c r="DW324" s="1877"/>
      <c r="DX324" s="1877"/>
      <c r="DY324" s="1877"/>
      <c r="DZ324" s="1877"/>
      <c r="EA324" s="1877"/>
      <c r="EB324" s="1877"/>
      <c r="EC324" s="1877"/>
      <c r="ED324" s="1877"/>
      <c r="EE324" s="1877"/>
      <c r="EF324" s="1877"/>
      <c r="EG324" s="1877"/>
      <c r="EH324" s="1877"/>
      <c r="EI324" s="1877"/>
      <c r="EJ324" s="1877"/>
      <c r="EK324" s="1877"/>
      <c r="EL324" s="1877"/>
      <c r="EM324" s="1877"/>
      <c r="EN324" s="1877"/>
      <c r="EO324" s="1877"/>
      <c r="EP324" s="1877"/>
      <c r="EQ324" s="1877"/>
      <c r="ER324" s="1877"/>
      <c r="ES324" s="1877"/>
      <c r="ET324" s="1877"/>
      <c r="EU324" s="1877"/>
      <c r="EV324" s="1877"/>
      <c r="EW324" s="1877"/>
      <c r="EX324" s="1877"/>
      <c r="EY324" s="1877"/>
      <c r="EZ324" s="1877"/>
      <c r="FA324" s="1877"/>
      <c r="FB324" s="1877"/>
      <c r="FC324" s="1877"/>
      <c r="FD324" s="1877"/>
      <c r="FE324" s="1877"/>
      <c r="FF324" s="1877"/>
      <c r="FG324" s="1877"/>
      <c r="FH324" s="1877"/>
      <c r="FI324" s="1877"/>
      <c r="FJ324" s="1877"/>
      <c r="FK324" s="1877"/>
      <c r="FL324" s="1877"/>
      <c r="FM324" s="1877"/>
      <c r="FN324" s="1877"/>
      <c r="FO324" s="1877"/>
      <c r="FP324" s="1877"/>
      <c r="FQ324" s="1877"/>
      <c r="FR324" s="1877"/>
      <c r="FS324" s="1877"/>
      <c r="FT324" s="1877"/>
      <c r="FU324" s="1877"/>
      <c r="FV324" s="1877"/>
      <c r="FW324" s="1877"/>
      <c r="FX324" s="1877"/>
      <c r="FY324" s="1877"/>
      <c r="FZ324" s="1877"/>
      <c r="GA324" s="1877"/>
      <c r="GB324" s="1877"/>
      <c r="GC324" s="1877"/>
      <c r="GD324" s="1877"/>
      <c r="GE324" s="1877"/>
      <c r="GF324" s="1877"/>
      <c r="GG324" s="1877"/>
      <c r="GH324" s="1877"/>
      <c r="GI324" s="1877"/>
      <c r="GJ324" s="1877"/>
      <c r="GK324" s="1877"/>
      <c r="GL324" s="1877"/>
      <c r="GM324" s="1877"/>
      <c r="GN324" s="1877"/>
      <c r="GO324" s="1877"/>
      <c r="GP324" s="1877"/>
      <c r="GQ324" s="1877"/>
      <c r="GR324" s="1877"/>
      <c r="GS324" s="1877"/>
      <c r="GT324" s="1877"/>
      <c r="GU324" s="1877"/>
      <c r="GV324" s="1877"/>
      <c r="GW324" s="1877"/>
      <c r="GX324" s="1877"/>
      <c r="GY324" s="1877"/>
      <c r="GZ324" s="1877"/>
      <c r="HA324" s="1877"/>
      <c r="HB324" s="1877"/>
      <c r="HC324" s="1877"/>
      <c r="HD324" s="1877"/>
      <c r="HE324" s="1877"/>
      <c r="HF324" s="1877"/>
      <c r="HG324" s="1877"/>
      <c r="HH324" s="1877"/>
      <c r="HI324" s="1877"/>
      <c r="HJ324" s="1877"/>
      <c r="HK324" s="1877"/>
      <c r="HL324" s="1877"/>
      <c r="HM324" s="1877"/>
      <c r="HN324" s="1877"/>
      <c r="HO324" s="1877"/>
      <c r="HP324" s="1877"/>
      <c r="HQ324" s="1877"/>
      <c r="HR324" s="1877"/>
      <c r="HS324" s="1877"/>
      <c r="HT324" s="1877"/>
      <c r="HU324" s="1877"/>
      <c r="HV324" s="1877"/>
      <c r="HW324" s="1877"/>
      <c r="HX324" s="1877"/>
      <c r="HY324" s="1877"/>
      <c r="HZ324" s="1877"/>
      <c r="IA324" s="1877"/>
      <c r="IB324" s="1877"/>
      <c r="IC324" s="1877"/>
      <c r="ID324" s="1877"/>
      <c r="IE324" s="1877"/>
      <c r="IF324" s="1877"/>
      <c r="IG324" s="1877"/>
      <c r="IH324" s="1877"/>
      <c r="II324" s="1877"/>
      <c r="IJ324" s="1877"/>
      <c r="IK324" s="1877"/>
      <c r="IL324" s="1877"/>
      <c r="IM324" s="1877"/>
      <c r="IN324" s="1877"/>
    </row>
    <row r="325" spans="1:248" s="1855" customFormat="1" ht="26.25" hidden="1">
      <c r="A325" s="1884"/>
      <c r="B325" s="1918"/>
      <c r="C325" s="1909" t="s">
        <v>1579</v>
      </c>
      <c r="D325" s="1910"/>
      <c r="E325" s="1985"/>
      <c r="F325" s="2078"/>
      <c r="G325" s="1985"/>
      <c r="H325" s="1912"/>
      <c r="I325" s="1912"/>
      <c r="J325" s="1912"/>
      <c r="K325" s="1912"/>
      <c r="L325" s="1912"/>
      <c r="M325" s="1912"/>
      <c r="N325" s="1912"/>
      <c r="O325" s="1912"/>
      <c r="P325" s="1912"/>
      <c r="Q325" s="1912"/>
      <c r="R325" s="1912"/>
      <c r="S325" s="1980">
        <f t="shared" si="106"/>
        <v>0</v>
      </c>
      <c r="T325" s="1856">
        <f t="shared" si="92"/>
        <v>0</v>
      </c>
      <c r="U325" s="1856">
        <f t="shared" si="93"/>
        <v>0</v>
      </c>
      <c r="V325" s="1856">
        <f t="shared" si="103"/>
        <v>0</v>
      </c>
      <c r="W325" s="1853" t="e">
        <f t="shared" si="99"/>
        <v>#DIV/0!</v>
      </c>
      <c r="X325" s="1854"/>
      <c r="Y325" s="2003">
        <f t="shared" si="108"/>
        <v>0</v>
      </c>
      <c r="Z325" s="1877"/>
      <c r="AA325" s="2008">
        <f t="shared" si="109"/>
        <v>0</v>
      </c>
      <c r="AB325" s="1877"/>
      <c r="AC325" s="1877"/>
      <c r="AD325" s="1877"/>
      <c r="AE325" s="1877"/>
      <c r="AF325" s="1877"/>
      <c r="AG325" s="1877"/>
      <c r="AH325" s="1877"/>
      <c r="AI325" s="1877"/>
      <c r="AJ325" s="1877"/>
      <c r="AK325" s="1877"/>
      <c r="AL325" s="1877"/>
      <c r="AM325" s="1877"/>
      <c r="AN325" s="1877"/>
      <c r="AO325" s="1877"/>
      <c r="AP325" s="1877"/>
      <c r="AQ325" s="1877"/>
      <c r="AR325" s="1877"/>
      <c r="AS325" s="1877"/>
      <c r="AT325" s="1877"/>
      <c r="AU325" s="1877"/>
      <c r="AV325" s="1877"/>
      <c r="AW325" s="1877"/>
      <c r="AX325" s="1877"/>
      <c r="AY325" s="1877"/>
      <c r="AZ325" s="1877"/>
      <c r="BA325" s="1877"/>
      <c r="BB325" s="1877"/>
      <c r="BC325" s="1877"/>
      <c r="BD325" s="1877"/>
      <c r="BE325" s="1877"/>
      <c r="BF325" s="1877"/>
      <c r="BG325" s="1877"/>
      <c r="BH325" s="1877"/>
      <c r="BI325" s="1877"/>
      <c r="BJ325" s="1877"/>
      <c r="BK325" s="1877"/>
      <c r="BL325" s="1877"/>
      <c r="BM325" s="1877"/>
      <c r="BN325" s="1877"/>
      <c r="BO325" s="1877"/>
      <c r="BP325" s="1877"/>
      <c r="BQ325" s="1877"/>
      <c r="BR325" s="1877"/>
      <c r="BS325" s="1877"/>
      <c r="BT325" s="1877"/>
      <c r="BU325" s="1877"/>
      <c r="BV325" s="1877"/>
      <c r="BW325" s="1877"/>
      <c r="BX325" s="1877"/>
      <c r="BY325" s="1877"/>
      <c r="BZ325" s="1877"/>
      <c r="CA325" s="1877"/>
      <c r="CB325" s="1877"/>
      <c r="CC325" s="1877"/>
      <c r="CD325" s="1877"/>
      <c r="CE325" s="1877"/>
      <c r="CF325" s="1877"/>
      <c r="CG325" s="1877"/>
      <c r="CH325" s="1877"/>
      <c r="CI325" s="1877"/>
      <c r="CJ325" s="1877"/>
      <c r="CK325" s="1877"/>
      <c r="CL325" s="1877"/>
      <c r="CM325" s="1877"/>
      <c r="CN325" s="1877"/>
      <c r="CO325" s="1877"/>
      <c r="CP325" s="1877"/>
      <c r="CQ325" s="1877"/>
      <c r="CR325" s="1877"/>
      <c r="CS325" s="1877"/>
      <c r="CT325" s="1877"/>
      <c r="CU325" s="1877"/>
      <c r="CV325" s="1877"/>
      <c r="CW325" s="1877"/>
      <c r="CX325" s="1877"/>
      <c r="CY325" s="1877"/>
      <c r="CZ325" s="1877"/>
      <c r="DA325" s="1877"/>
      <c r="DB325" s="1877"/>
      <c r="DC325" s="1877"/>
      <c r="DD325" s="1877"/>
      <c r="DE325" s="1877"/>
      <c r="DF325" s="1877"/>
      <c r="DG325" s="1877"/>
      <c r="DH325" s="1877"/>
      <c r="DI325" s="1877"/>
      <c r="DJ325" s="1877"/>
      <c r="DK325" s="1877"/>
      <c r="DL325" s="1877"/>
      <c r="DM325" s="1877"/>
      <c r="DN325" s="1877"/>
      <c r="DO325" s="1877"/>
      <c r="DP325" s="1877"/>
      <c r="DQ325" s="1877"/>
      <c r="DR325" s="1877"/>
      <c r="DS325" s="1877"/>
      <c r="DT325" s="1877"/>
      <c r="DU325" s="1877"/>
      <c r="DV325" s="1877"/>
      <c r="DW325" s="1877"/>
      <c r="DX325" s="1877"/>
      <c r="DY325" s="1877"/>
      <c r="DZ325" s="1877"/>
      <c r="EA325" s="1877"/>
      <c r="EB325" s="1877"/>
      <c r="EC325" s="1877"/>
      <c r="ED325" s="1877"/>
      <c r="EE325" s="1877"/>
      <c r="EF325" s="1877"/>
      <c r="EG325" s="1877"/>
      <c r="EH325" s="1877"/>
      <c r="EI325" s="1877"/>
      <c r="EJ325" s="1877"/>
      <c r="EK325" s="1877"/>
      <c r="EL325" s="1877"/>
      <c r="EM325" s="1877"/>
      <c r="EN325" s="1877"/>
      <c r="EO325" s="1877"/>
      <c r="EP325" s="1877"/>
      <c r="EQ325" s="1877"/>
      <c r="ER325" s="1877"/>
      <c r="ES325" s="1877"/>
      <c r="ET325" s="1877"/>
      <c r="EU325" s="1877"/>
      <c r="EV325" s="1877"/>
      <c r="EW325" s="1877"/>
      <c r="EX325" s="1877"/>
      <c r="EY325" s="1877"/>
      <c r="EZ325" s="1877"/>
      <c r="FA325" s="1877"/>
      <c r="FB325" s="1877"/>
      <c r="FC325" s="1877"/>
      <c r="FD325" s="1877"/>
      <c r="FE325" s="1877"/>
      <c r="FF325" s="1877"/>
      <c r="FG325" s="1877"/>
      <c r="FH325" s="1877"/>
      <c r="FI325" s="1877"/>
      <c r="FJ325" s="1877"/>
      <c r="FK325" s="1877"/>
      <c r="FL325" s="1877"/>
      <c r="FM325" s="1877"/>
      <c r="FN325" s="1877"/>
      <c r="FO325" s="1877"/>
      <c r="FP325" s="1877"/>
      <c r="FQ325" s="1877"/>
      <c r="FR325" s="1877"/>
      <c r="FS325" s="1877"/>
      <c r="FT325" s="1877"/>
      <c r="FU325" s="1877"/>
      <c r="FV325" s="1877"/>
      <c r="FW325" s="1877"/>
      <c r="FX325" s="1877"/>
      <c r="FY325" s="1877"/>
      <c r="FZ325" s="1877"/>
      <c r="GA325" s="1877"/>
      <c r="GB325" s="1877"/>
      <c r="GC325" s="1877"/>
      <c r="GD325" s="1877"/>
      <c r="GE325" s="1877"/>
      <c r="GF325" s="1877"/>
      <c r="GG325" s="1877"/>
      <c r="GH325" s="1877"/>
      <c r="GI325" s="1877"/>
      <c r="GJ325" s="1877"/>
      <c r="GK325" s="1877"/>
      <c r="GL325" s="1877"/>
      <c r="GM325" s="1877"/>
      <c r="GN325" s="1877"/>
      <c r="GO325" s="1877"/>
      <c r="GP325" s="1877"/>
      <c r="GQ325" s="1877"/>
      <c r="GR325" s="1877"/>
      <c r="GS325" s="1877"/>
      <c r="GT325" s="1877"/>
      <c r="GU325" s="1877"/>
      <c r="GV325" s="1877"/>
      <c r="GW325" s="1877"/>
      <c r="GX325" s="1877"/>
      <c r="GY325" s="1877"/>
      <c r="GZ325" s="1877"/>
      <c r="HA325" s="1877"/>
      <c r="HB325" s="1877"/>
      <c r="HC325" s="1877"/>
      <c r="HD325" s="1877"/>
      <c r="HE325" s="1877"/>
      <c r="HF325" s="1877"/>
      <c r="HG325" s="1877"/>
      <c r="HH325" s="1877"/>
      <c r="HI325" s="1877"/>
      <c r="HJ325" s="1877"/>
      <c r="HK325" s="1877"/>
      <c r="HL325" s="1877"/>
      <c r="HM325" s="1877"/>
      <c r="HN325" s="1877"/>
      <c r="HO325" s="1877"/>
      <c r="HP325" s="1877"/>
      <c r="HQ325" s="1877"/>
      <c r="HR325" s="1877"/>
      <c r="HS325" s="1877"/>
      <c r="HT325" s="1877"/>
      <c r="HU325" s="1877"/>
      <c r="HV325" s="1877"/>
      <c r="HW325" s="1877"/>
      <c r="HX325" s="1877"/>
      <c r="HY325" s="1877"/>
      <c r="HZ325" s="1877"/>
      <c r="IA325" s="1877"/>
      <c r="IB325" s="1877"/>
      <c r="IC325" s="1877"/>
      <c r="ID325" s="1877"/>
      <c r="IE325" s="1877"/>
      <c r="IF325" s="1877"/>
      <c r="IG325" s="1877"/>
      <c r="IH325" s="1877"/>
      <c r="II325" s="1877"/>
      <c r="IJ325" s="1877"/>
      <c r="IK325" s="1877"/>
      <c r="IL325" s="1877"/>
      <c r="IM325" s="1877"/>
      <c r="IN325" s="1877"/>
    </row>
    <row r="326" spans="1:248" s="1855" customFormat="1" ht="26.25" hidden="1">
      <c r="A326" s="1884"/>
      <c r="B326" s="1918"/>
      <c r="C326" s="1909" t="s">
        <v>596</v>
      </c>
      <c r="D326" s="1910"/>
      <c r="E326" s="1985"/>
      <c r="F326" s="2078"/>
      <c r="G326" s="1985"/>
      <c r="H326" s="1912"/>
      <c r="I326" s="1912"/>
      <c r="J326" s="1912"/>
      <c r="K326" s="1912"/>
      <c r="L326" s="1912"/>
      <c r="M326" s="1912"/>
      <c r="N326" s="1912"/>
      <c r="O326" s="1912"/>
      <c r="P326" s="1912"/>
      <c r="Q326" s="1912"/>
      <c r="R326" s="1912"/>
      <c r="S326" s="1980">
        <f t="shared" si="106"/>
        <v>0</v>
      </c>
      <c r="T326" s="1856">
        <f t="shared" si="92"/>
        <v>0</v>
      </c>
      <c r="U326" s="1856">
        <f t="shared" si="93"/>
        <v>0</v>
      </c>
      <c r="V326" s="1856">
        <f t="shared" si="103"/>
        <v>0</v>
      </c>
      <c r="W326" s="1853" t="e">
        <f t="shared" si="99"/>
        <v>#DIV/0!</v>
      </c>
      <c r="X326" s="1854"/>
      <c r="Y326" s="2003">
        <f t="shared" si="108"/>
        <v>0</v>
      </c>
      <c r="Z326" s="1877"/>
      <c r="AA326" s="2008">
        <f t="shared" si="109"/>
        <v>0</v>
      </c>
      <c r="AB326" s="1877"/>
      <c r="AC326" s="1877"/>
      <c r="AD326" s="1877"/>
      <c r="AE326" s="1877"/>
      <c r="AF326" s="1877"/>
      <c r="AG326" s="1877"/>
      <c r="AH326" s="1877"/>
      <c r="AI326" s="1877"/>
      <c r="AJ326" s="1877"/>
      <c r="AK326" s="1877"/>
      <c r="AL326" s="1877"/>
      <c r="AM326" s="1877"/>
      <c r="AN326" s="1877"/>
      <c r="AO326" s="1877"/>
      <c r="AP326" s="1877"/>
      <c r="AQ326" s="1877"/>
      <c r="AR326" s="1877"/>
      <c r="AS326" s="1877"/>
      <c r="AT326" s="1877"/>
      <c r="AU326" s="1877"/>
      <c r="AV326" s="1877"/>
      <c r="AW326" s="1877"/>
      <c r="AX326" s="1877"/>
      <c r="AY326" s="1877"/>
      <c r="AZ326" s="1877"/>
      <c r="BA326" s="1877"/>
      <c r="BB326" s="1877"/>
      <c r="BC326" s="1877"/>
      <c r="BD326" s="1877"/>
      <c r="BE326" s="1877"/>
      <c r="BF326" s="1877"/>
      <c r="BG326" s="1877"/>
      <c r="BH326" s="1877"/>
      <c r="BI326" s="1877"/>
      <c r="BJ326" s="1877"/>
      <c r="BK326" s="1877"/>
      <c r="BL326" s="1877"/>
      <c r="BM326" s="1877"/>
      <c r="BN326" s="1877"/>
      <c r="BO326" s="1877"/>
      <c r="BP326" s="1877"/>
      <c r="BQ326" s="1877"/>
      <c r="BR326" s="1877"/>
      <c r="BS326" s="1877"/>
      <c r="BT326" s="1877"/>
      <c r="BU326" s="1877"/>
      <c r="BV326" s="1877"/>
      <c r="BW326" s="1877"/>
      <c r="BX326" s="1877"/>
      <c r="BY326" s="1877"/>
      <c r="BZ326" s="1877"/>
      <c r="CA326" s="1877"/>
      <c r="CB326" s="1877"/>
      <c r="CC326" s="1877"/>
      <c r="CD326" s="1877"/>
      <c r="CE326" s="1877"/>
      <c r="CF326" s="1877"/>
      <c r="CG326" s="1877"/>
      <c r="CH326" s="1877"/>
      <c r="CI326" s="1877"/>
      <c r="CJ326" s="1877"/>
      <c r="CK326" s="1877"/>
      <c r="CL326" s="1877"/>
      <c r="CM326" s="1877"/>
      <c r="CN326" s="1877"/>
      <c r="CO326" s="1877"/>
      <c r="CP326" s="1877"/>
      <c r="CQ326" s="1877"/>
      <c r="CR326" s="1877"/>
      <c r="CS326" s="1877"/>
      <c r="CT326" s="1877"/>
      <c r="CU326" s="1877"/>
      <c r="CV326" s="1877"/>
      <c r="CW326" s="1877"/>
      <c r="CX326" s="1877"/>
      <c r="CY326" s="1877"/>
      <c r="CZ326" s="1877"/>
      <c r="DA326" s="1877"/>
      <c r="DB326" s="1877"/>
      <c r="DC326" s="1877"/>
      <c r="DD326" s="1877"/>
      <c r="DE326" s="1877"/>
      <c r="DF326" s="1877"/>
      <c r="DG326" s="1877"/>
      <c r="DH326" s="1877"/>
      <c r="DI326" s="1877"/>
      <c r="DJ326" s="1877"/>
      <c r="DK326" s="1877"/>
      <c r="DL326" s="1877"/>
      <c r="DM326" s="1877"/>
      <c r="DN326" s="1877"/>
      <c r="DO326" s="1877"/>
      <c r="DP326" s="1877"/>
      <c r="DQ326" s="1877"/>
      <c r="DR326" s="1877"/>
      <c r="DS326" s="1877"/>
      <c r="DT326" s="1877"/>
      <c r="DU326" s="1877"/>
      <c r="DV326" s="1877"/>
      <c r="DW326" s="1877"/>
      <c r="DX326" s="1877"/>
      <c r="DY326" s="1877"/>
      <c r="DZ326" s="1877"/>
      <c r="EA326" s="1877"/>
      <c r="EB326" s="1877"/>
      <c r="EC326" s="1877"/>
      <c r="ED326" s="1877"/>
      <c r="EE326" s="1877"/>
      <c r="EF326" s="1877"/>
      <c r="EG326" s="1877"/>
      <c r="EH326" s="1877"/>
      <c r="EI326" s="1877"/>
      <c r="EJ326" s="1877"/>
      <c r="EK326" s="1877"/>
      <c r="EL326" s="1877"/>
      <c r="EM326" s="1877"/>
      <c r="EN326" s="1877"/>
      <c r="EO326" s="1877"/>
      <c r="EP326" s="1877"/>
      <c r="EQ326" s="1877"/>
      <c r="ER326" s="1877"/>
      <c r="ES326" s="1877"/>
      <c r="ET326" s="1877"/>
      <c r="EU326" s="1877"/>
      <c r="EV326" s="1877"/>
      <c r="EW326" s="1877"/>
      <c r="EX326" s="1877"/>
      <c r="EY326" s="1877"/>
      <c r="EZ326" s="1877"/>
      <c r="FA326" s="1877"/>
      <c r="FB326" s="1877"/>
      <c r="FC326" s="1877"/>
      <c r="FD326" s="1877"/>
      <c r="FE326" s="1877"/>
      <c r="FF326" s="1877"/>
      <c r="FG326" s="1877"/>
      <c r="FH326" s="1877"/>
      <c r="FI326" s="1877"/>
      <c r="FJ326" s="1877"/>
      <c r="FK326" s="1877"/>
      <c r="FL326" s="1877"/>
      <c r="FM326" s="1877"/>
      <c r="FN326" s="1877"/>
      <c r="FO326" s="1877"/>
      <c r="FP326" s="1877"/>
      <c r="FQ326" s="1877"/>
      <c r="FR326" s="1877"/>
      <c r="FS326" s="1877"/>
      <c r="FT326" s="1877"/>
      <c r="FU326" s="1877"/>
      <c r="FV326" s="1877"/>
      <c r="FW326" s="1877"/>
      <c r="FX326" s="1877"/>
      <c r="FY326" s="1877"/>
      <c r="FZ326" s="1877"/>
      <c r="GA326" s="1877"/>
      <c r="GB326" s="1877"/>
      <c r="GC326" s="1877"/>
      <c r="GD326" s="1877"/>
      <c r="GE326" s="1877"/>
      <c r="GF326" s="1877"/>
      <c r="GG326" s="1877"/>
      <c r="GH326" s="1877"/>
      <c r="GI326" s="1877"/>
      <c r="GJ326" s="1877"/>
      <c r="GK326" s="1877"/>
      <c r="GL326" s="1877"/>
      <c r="GM326" s="1877"/>
      <c r="GN326" s="1877"/>
      <c r="GO326" s="1877"/>
      <c r="GP326" s="1877"/>
      <c r="GQ326" s="1877"/>
      <c r="GR326" s="1877"/>
      <c r="GS326" s="1877"/>
      <c r="GT326" s="1877"/>
      <c r="GU326" s="1877"/>
      <c r="GV326" s="1877"/>
      <c r="GW326" s="1877"/>
      <c r="GX326" s="1877"/>
      <c r="GY326" s="1877"/>
      <c r="GZ326" s="1877"/>
      <c r="HA326" s="1877"/>
      <c r="HB326" s="1877"/>
      <c r="HC326" s="1877"/>
      <c r="HD326" s="1877"/>
      <c r="HE326" s="1877"/>
      <c r="HF326" s="1877"/>
      <c r="HG326" s="1877"/>
      <c r="HH326" s="1877"/>
      <c r="HI326" s="1877"/>
      <c r="HJ326" s="1877"/>
      <c r="HK326" s="1877"/>
      <c r="HL326" s="1877"/>
      <c r="HM326" s="1877"/>
      <c r="HN326" s="1877"/>
      <c r="HO326" s="1877"/>
      <c r="HP326" s="1877"/>
      <c r="HQ326" s="1877"/>
      <c r="HR326" s="1877"/>
      <c r="HS326" s="1877"/>
      <c r="HT326" s="1877"/>
      <c r="HU326" s="1877"/>
      <c r="HV326" s="1877"/>
      <c r="HW326" s="1877"/>
      <c r="HX326" s="1877"/>
      <c r="HY326" s="1877"/>
      <c r="HZ326" s="1877"/>
      <c r="IA326" s="1877"/>
      <c r="IB326" s="1877"/>
      <c r="IC326" s="1877"/>
      <c r="ID326" s="1877"/>
      <c r="IE326" s="1877"/>
      <c r="IF326" s="1877"/>
      <c r="IG326" s="1877"/>
      <c r="IH326" s="1877"/>
      <c r="II326" s="1877"/>
      <c r="IJ326" s="1877"/>
      <c r="IK326" s="1877"/>
      <c r="IL326" s="1877"/>
      <c r="IM326" s="1877"/>
      <c r="IN326" s="1877"/>
    </row>
    <row r="327" spans="1:248" s="1855" customFormat="1" ht="26.25" hidden="1">
      <c r="A327" s="1884"/>
      <c r="B327" s="1918"/>
      <c r="C327" s="1909" t="s">
        <v>2729</v>
      </c>
      <c r="D327" s="1910"/>
      <c r="E327" s="1985"/>
      <c r="F327" s="2078"/>
      <c r="G327" s="1985"/>
      <c r="H327" s="1912"/>
      <c r="I327" s="1912"/>
      <c r="J327" s="1912"/>
      <c r="K327" s="1912"/>
      <c r="L327" s="1912"/>
      <c r="M327" s="1912"/>
      <c r="N327" s="1912"/>
      <c r="O327" s="1912"/>
      <c r="P327" s="1912"/>
      <c r="Q327" s="1912"/>
      <c r="R327" s="1912"/>
      <c r="S327" s="1980">
        <f t="shared" si="106"/>
        <v>0</v>
      </c>
      <c r="T327" s="1856">
        <f t="shared" si="92"/>
        <v>0</v>
      </c>
      <c r="U327" s="1856">
        <f t="shared" si="93"/>
        <v>0</v>
      </c>
      <c r="V327" s="1856">
        <f t="shared" si="103"/>
        <v>0</v>
      </c>
      <c r="W327" s="1853" t="e">
        <f t="shared" si="99"/>
        <v>#DIV/0!</v>
      </c>
      <c r="X327" s="1854"/>
      <c r="Y327" s="2003">
        <f t="shared" si="108"/>
        <v>0</v>
      </c>
      <c r="Z327" s="1877"/>
      <c r="AA327" s="2008">
        <f t="shared" si="109"/>
        <v>0</v>
      </c>
      <c r="AB327" s="1877"/>
      <c r="AC327" s="1877"/>
      <c r="AD327" s="1877"/>
      <c r="AE327" s="1877"/>
      <c r="AF327" s="1877"/>
      <c r="AG327" s="1877"/>
      <c r="AH327" s="1877"/>
      <c r="AI327" s="1877"/>
      <c r="AJ327" s="1877"/>
      <c r="AK327" s="1877"/>
      <c r="AL327" s="1877"/>
      <c r="AM327" s="1877"/>
      <c r="AN327" s="1877"/>
      <c r="AO327" s="1877"/>
      <c r="AP327" s="1877"/>
      <c r="AQ327" s="1877"/>
      <c r="AR327" s="1877"/>
      <c r="AS327" s="1877"/>
      <c r="AT327" s="1877"/>
      <c r="AU327" s="1877"/>
      <c r="AV327" s="1877"/>
      <c r="AW327" s="1877"/>
      <c r="AX327" s="1877"/>
      <c r="AY327" s="1877"/>
      <c r="AZ327" s="1877"/>
      <c r="BA327" s="1877"/>
      <c r="BB327" s="1877"/>
      <c r="BC327" s="1877"/>
      <c r="BD327" s="1877"/>
      <c r="BE327" s="1877"/>
      <c r="BF327" s="1877"/>
      <c r="BG327" s="1877"/>
      <c r="BH327" s="1877"/>
      <c r="BI327" s="1877"/>
      <c r="BJ327" s="1877"/>
      <c r="BK327" s="1877"/>
      <c r="BL327" s="1877"/>
      <c r="BM327" s="1877"/>
      <c r="BN327" s="1877"/>
      <c r="BO327" s="1877"/>
      <c r="BP327" s="1877"/>
      <c r="BQ327" s="1877"/>
      <c r="BR327" s="1877"/>
      <c r="BS327" s="1877"/>
      <c r="BT327" s="1877"/>
      <c r="BU327" s="1877"/>
      <c r="BV327" s="1877"/>
      <c r="BW327" s="1877"/>
      <c r="BX327" s="1877"/>
      <c r="BY327" s="1877"/>
      <c r="BZ327" s="1877"/>
      <c r="CA327" s="1877"/>
      <c r="CB327" s="1877"/>
      <c r="CC327" s="1877"/>
      <c r="CD327" s="1877"/>
      <c r="CE327" s="1877"/>
      <c r="CF327" s="1877"/>
      <c r="CG327" s="1877"/>
      <c r="CH327" s="1877"/>
      <c r="CI327" s="1877"/>
      <c r="CJ327" s="1877"/>
      <c r="CK327" s="1877"/>
      <c r="CL327" s="1877"/>
      <c r="CM327" s="1877"/>
      <c r="CN327" s="1877"/>
      <c r="CO327" s="1877"/>
      <c r="CP327" s="1877"/>
      <c r="CQ327" s="1877"/>
      <c r="CR327" s="1877"/>
      <c r="CS327" s="1877"/>
      <c r="CT327" s="1877"/>
      <c r="CU327" s="1877"/>
      <c r="CV327" s="1877"/>
      <c r="CW327" s="1877"/>
      <c r="CX327" s="1877"/>
      <c r="CY327" s="1877"/>
      <c r="CZ327" s="1877"/>
      <c r="DA327" s="1877"/>
      <c r="DB327" s="1877"/>
      <c r="DC327" s="1877"/>
      <c r="DD327" s="1877"/>
      <c r="DE327" s="1877"/>
      <c r="DF327" s="1877"/>
      <c r="DG327" s="1877"/>
      <c r="DH327" s="1877"/>
      <c r="DI327" s="1877"/>
      <c r="DJ327" s="1877"/>
      <c r="DK327" s="1877"/>
      <c r="DL327" s="1877"/>
      <c r="DM327" s="1877"/>
      <c r="DN327" s="1877"/>
      <c r="DO327" s="1877"/>
      <c r="DP327" s="1877"/>
      <c r="DQ327" s="1877"/>
      <c r="DR327" s="1877"/>
      <c r="DS327" s="1877"/>
      <c r="DT327" s="1877"/>
      <c r="DU327" s="1877"/>
      <c r="DV327" s="1877"/>
      <c r="DW327" s="1877"/>
      <c r="DX327" s="1877"/>
      <c r="DY327" s="1877"/>
      <c r="DZ327" s="1877"/>
      <c r="EA327" s="1877"/>
      <c r="EB327" s="1877"/>
      <c r="EC327" s="1877"/>
      <c r="ED327" s="1877"/>
      <c r="EE327" s="1877"/>
      <c r="EF327" s="1877"/>
      <c r="EG327" s="1877"/>
      <c r="EH327" s="1877"/>
      <c r="EI327" s="1877"/>
      <c r="EJ327" s="1877"/>
      <c r="EK327" s="1877"/>
      <c r="EL327" s="1877"/>
      <c r="EM327" s="1877"/>
      <c r="EN327" s="1877"/>
      <c r="EO327" s="1877"/>
      <c r="EP327" s="1877"/>
      <c r="EQ327" s="1877"/>
      <c r="ER327" s="1877"/>
      <c r="ES327" s="1877"/>
      <c r="ET327" s="1877"/>
      <c r="EU327" s="1877"/>
      <c r="EV327" s="1877"/>
      <c r="EW327" s="1877"/>
      <c r="EX327" s="1877"/>
      <c r="EY327" s="1877"/>
      <c r="EZ327" s="1877"/>
      <c r="FA327" s="1877"/>
      <c r="FB327" s="1877"/>
      <c r="FC327" s="1877"/>
      <c r="FD327" s="1877"/>
      <c r="FE327" s="1877"/>
      <c r="FF327" s="1877"/>
      <c r="FG327" s="1877"/>
      <c r="FH327" s="1877"/>
      <c r="FI327" s="1877"/>
      <c r="FJ327" s="1877"/>
      <c r="FK327" s="1877"/>
      <c r="FL327" s="1877"/>
      <c r="FM327" s="1877"/>
      <c r="FN327" s="1877"/>
      <c r="FO327" s="1877"/>
      <c r="FP327" s="1877"/>
      <c r="FQ327" s="1877"/>
      <c r="FR327" s="1877"/>
      <c r="FS327" s="1877"/>
      <c r="FT327" s="1877"/>
      <c r="FU327" s="1877"/>
      <c r="FV327" s="1877"/>
      <c r="FW327" s="1877"/>
      <c r="FX327" s="1877"/>
      <c r="FY327" s="1877"/>
      <c r="FZ327" s="1877"/>
      <c r="GA327" s="1877"/>
      <c r="GB327" s="1877"/>
      <c r="GC327" s="1877"/>
      <c r="GD327" s="1877"/>
      <c r="GE327" s="1877"/>
      <c r="GF327" s="1877"/>
      <c r="GG327" s="1877"/>
      <c r="GH327" s="1877"/>
      <c r="GI327" s="1877"/>
      <c r="GJ327" s="1877"/>
      <c r="GK327" s="1877"/>
      <c r="GL327" s="1877"/>
      <c r="GM327" s="1877"/>
      <c r="GN327" s="1877"/>
      <c r="GO327" s="1877"/>
      <c r="GP327" s="1877"/>
      <c r="GQ327" s="1877"/>
      <c r="GR327" s="1877"/>
      <c r="GS327" s="1877"/>
      <c r="GT327" s="1877"/>
      <c r="GU327" s="1877"/>
      <c r="GV327" s="1877"/>
      <c r="GW327" s="1877"/>
      <c r="GX327" s="1877"/>
      <c r="GY327" s="1877"/>
      <c r="GZ327" s="1877"/>
      <c r="HA327" s="1877"/>
      <c r="HB327" s="1877"/>
      <c r="HC327" s="1877"/>
      <c r="HD327" s="1877"/>
      <c r="HE327" s="1877"/>
      <c r="HF327" s="1877"/>
      <c r="HG327" s="1877"/>
      <c r="HH327" s="1877"/>
      <c r="HI327" s="1877"/>
      <c r="HJ327" s="1877"/>
      <c r="HK327" s="1877"/>
      <c r="HL327" s="1877"/>
      <c r="HM327" s="1877"/>
      <c r="HN327" s="1877"/>
      <c r="HO327" s="1877"/>
      <c r="HP327" s="1877"/>
      <c r="HQ327" s="1877"/>
      <c r="HR327" s="1877"/>
      <c r="HS327" s="1877"/>
      <c r="HT327" s="1877"/>
      <c r="HU327" s="1877"/>
      <c r="HV327" s="1877"/>
      <c r="HW327" s="1877"/>
      <c r="HX327" s="1877"/>
      <c r="HY327" s="1877"/>
      <c r="HZ327" s="1877"/>
      <c r="IA327" s="1877"/>
      <c r="IB327" s="1877"/>
      <c r="IC327" s="1877"/>
      <c r="ID327" s="1877"/>
      <c r="IE327" s="1877"/>
      <c r="IF327" s="1877"/>
      <c r="IG327" s="1877"/>
      <c r="IH327" s="1877"/>
      <c r="II327" s="1877"/>
      <c r="IJ327" s="1877"/>
      <c r="IK327" s="1877"/>
      <c r="IL327" s="1877"/>
      <c r="IM327" s="1877"/>
      <c r="IN327" s="1877"/>
    </row>
    <row r="328" spans="1:248" s="1855" customFormat="1" ht="26.25" hidden="1">
      <c r="A328" s="1884"/>
      <c r="B328" s="1918"/>
      <c r="C328" s="1909" t="s">
        <v>2728</v>
      </c>
      <c r="D328" s="1910"/>
      <c r="E328" s="1985"/>
      <c r="F328" s="2078"/>
      <c r="G328" s="1985"/>
      <c r="H328" s="1912"/>
      <c r="I328" s="1912"/>
      <c r="J328" s="1912"/>
      <c r="K328" s="1912"/>
      <c r="L328" s="1912"/>
      <c r="M328" s="1912"/>
      <c r="N328" s="1912"/>
      <c r="O328" s="1912"/>
      <c r="P328" s="1912"/>
      <c r="Q328" s="1912"/>
      <c r="R328" s="1912"/>
      <c r="S328" s="1980">
        <f t="shared" si="106"/>
        <v>0</v>
      </c>
      <c r="T328" s="1856">
        <f t="shared" si="92"/>
        <v>0</v>
      </c>
      <c r="U328" s="1856">
        <f t="shared" si="93"/>
        <v>0</v>
      </c>
      <c r="V328" s="1856">
        <f t="shared" si="103"/>
        <v>0</v>
      </c>
      <c r="W328" s="1853" t="e">
        <f t="shared" si="99"/>
        <v>#DIV/0!</v>
      </c>
      <c r="X328" s="1854"/>
      <c r="Y328" s="2003">
        <f t="shared" si="108"/>
        <v>0</v>
      </c>
      <c r="Z328" s="1877"/>
      <c r="AA328" s="2008">
        <f t="shared" si="109"/>
        <v>0</v>
      </c>
      <c r="AB328" s="1877"/>
      <c r="AC328" s="1877"/>
      <c r="AD328" s="1877"/>
      <c r="AE328" s="1877"/>
      <c r="AF328" s="1877"/>
      <c r="AG328" s="1877"/>
      <c r="AH328" s="1877"/>
      <c r="AI328" s="1877"/>
      <c r="AJ328" s="1877"/>
      <c r="AK328" s="1877"/>
      <c r="AL328" s="1877"/>
      <c r="AM328" s="1877"/>
      <c r="AN328" s="1877"/>
      <c r="AO328" s="1877"/>
      <c r="AP328" s="1877"/>
      <c r="AQ328" s="1877"/>
      <c r="AR328" s="1877"/>
      <c r="AS328" s="1877"/>
      <c r="AT328" s="1877"/>
      <c r="AU328" s="1877"/>
      <c r="AV328" s="1877"/>
      <c r="AW328" s="1877"/>
      <c r="AX328" s="1877"/>
      <c r="AY328" s="1877"/>
      <c r="AZ328" s="1877"/>
      <c r="BA328" s="1877"/>
      <c r="BB328" s="1877"/>
      <c r="BC328" s="1877"/>
      <c r="BD328" s="1877"/>
      <c r="BE328" s="1877"/>
      <c r="BF328" s="1877"/>
      <c r="BG328" s="1877"/>
      <c r="BH328" s="1877"/>
      <c r="BI328" s="1877"/>
      <c r="BJ328" s="1877"/>
      <c r="BK328" s="1877"/>
      <c r="BL328" s="1877"/>
      <c r="BM328" s="1877"/>
      <c r="BN328" s="1877"/>
      <c r="BO328" s="1877"/>
      <c r="BP328" s="1877"/>
      <c r="BQ328" s="1877"/>
      <c r="BR328" s="1877"/>
      <c r="BS328" s="1877"/>
      <c r="BT328" s="1877"/>
      <c r="BU328" s="1877"/>
      <c r="BV328" s="1877"/>
      <c r="BW328" s="1877"/>
      <c r="BX328" s="1877"/>
      <c r="BY328" s="1877"/>
      <c r="BZ328" s="1877"/>
      <c r="CA328" s="1877"/>
      <c r="CB328" s="1877"/>
      <c r="CC328" s="1877"/>
      <c r="CD328" s="1877"/>
      <c r="CE328" s="1877"/>
      <c r="CF328" s="1877"/>
      <c r="CG328" s="1877"/>
      <c r="CH328" s="1877"/>
      <c r="CI328" s="1877"/>
      <c r="CJ328" s="1877"/>
      <c r="CK328" s="1877"/>
      <c r="CL328" s="1877"/>
      <c r="CM328" s="1877"/>
      <c r="CN328" s="1877"/>
      <c r="CO328" s="1877"/>
      <c r="CP328" s="1877"/>
      <c r="CQ328" s="1877"/>
      <c r="CR328" s="1877"/>
      <c r="CS328" s="1877"/>
      <c r="CT328" s="1877"/>
      <c r="CU328" s="1877"/>
      <c r="CV328" s="1877"/>
      <c r="CW328" s="1877"/>
      <c r="CX328" s="1877"/>
      <c r="CY328" s="1877"/>
      <c r="CZ328" s="1877"/>
      <c r="DA328" s="1877"/>
      <c r="DB328" s="1877"/>
      <c r="DC328" s="1877"/>
      <c r="DD328" s="1877"/>
      <c r="DE328" s="1877"/>
      <c r="DF328" s="1877"/>
      <c r="DG328" s="1877"/>
      <c r="DH328" s="1877"/>
      <c r="DI328" s="1877"/>
      <c r="DJ328" s="1877"/>
      <c r="DK328" s="1877"/>
      <c r="DL328" s="1877"/>
      <c r="DM328" s="1877"/>
      <c r="DN328" s="1877"/>
      <c r="DO328" s="1877"/>
      <c r="DP328" s="1877"/>
      <c r="DQ328" s="1877"/>
      <c r="DR328" s="1877"/>
      <c r="DS328" s="1877"/>
      <c r="DT328" s="1877"/>
      <c r="DU328" s="1877"/>
      <c r="DV328" s="1877"/>
      <c r="DW328" s="1877"/>
      <c r="DX328" s="1877"/>
      <c r="DY328" s="1877"/>
      <c r="DZ328" s="1877"/>
      <c r="EA328" s="1877"/>
      <c r="EB328" s="1877"/>
      <c r="EC328" s="1877"/>
      <c r="ED328" s="1877"/>
      <c r="EE328" s="1877"/>
      <c r="EF328" s="1877"/>
      <c r="EG328" s="1877"/>
      <c r="EH328" s="1877"/>
      <c r="EI328" s="1877"/>
      <c r="EJ328" s="1877"/>
      <c r="EK328" s="1877"/>
      <c r="EL328" s="1877"/>
      <c r="EM328" s="1877"/>
      <c r="EN328" s="1877"/>
      <c r="EO328" s="1877"/>
      <c r="EP328" s="1877"/>
      <c r="EQ328" s="1877"/>
      <c r="ER328" s="1877"/>
      <c r="ES328" s="1877"/>
      <c r="ET328" s="1877"/>
      <c r="EU328" s="1877"/>
      <c r="EV328" s="1877"/>
      <c r="EW328" s="1877"/>
      <c r="EX328" s="1877"/>
      <c r="EY328" s="1877"/>
      <c r="EZ328" s="1877"/>
      <c r="FA328" s="1877"/>
      <c r="FB328" s="1877"/>
      <c r="FC328" s="1877"/>
      <c r="FD328" s="1877"/>
      <c r="FE328" s="1877"/>
      <c r="FF328" s="1877"/>
      <c r="FG328" s="1877"/>
      <c r="FH328" s="1877"/>
      <c r="FI328" s="1877"/>
      <c r="FJ328" s="1877"/>
      <c r="FK328" s="1877"/>
      <c r="FL328" s="1877"/>
      <c r="FM328" s="1877"/>
      <c r="FN328" s="1877"/>
      <c r="FO328" s="1877"/>
      <c r="FP328" s="1877"/>
      <c r="FQ328" s="1877"/>
      <c r="FR328" s="1877"/>
      <c r="FS328" s="1877"/>
      <c r="FT328" s="1877"/>
      <c r="FU328" s="1877"/>
      <c r="FV328" s="1877"/>
      <c r="FW328" s="1877"/>
      <c r="FX328" s="1877"/>
      <c r="FY328" s="1877"/>
      <c r="FZ328" s="1877"/>
      <c r="GA328" s="1877"/>
      <c r="GB328" s="1877"/>
      <c r="GC328" s="1877"/>
      <c r="GD328" s="1877"/>
      <c r="GE328" s="1877"/>
      <c r="GF328" s="1877"/>
      <c r="GG328" s="1877"/>
      <c r="GH328" s="1877"/>
      <c r="GI328" s="1877"/>
      <c r="GJ328" s="1877"/>
      <c r="GK328" s="1877"/>
      <c r="GL328" s="1877"/>
      <c r="GM328" s="1877"/>
      <c r="GN328" s="1877"/>
      <c r="GO328" s="1877"/>
      <c r="GP328" s="1877"/>
      <c r="GQ328" s="1877"/>
      <c r="GR328" s="1877"/>
      <c r="GS328" s="1877"/>
      <c r="GT328" s="1877"/>
      <c r="GU328" s="1877"/>
      <c r="GV328" s="1877"/>
      <c r="GW328" s="1877"/>
      <c r="GX328" s="1877"/>
      <c r="GY328" s="1877"/>
      <c r="GZ328" s="1877"/>
      <c r="HA328" s="1877"/>
      <c r="HB328" s="1877"/>
      <c r="HC328" s="1877"/>
      <c r="HD328" s="1877"/>
      <c r="HE328" s="1877"/>
      <c r="HF328" s="1877"/>
      <c r="HG328" s="1877"/>
      <c r="HH328" s="1877"/>
      <c r="HI328" s="1877"/>
      <c r="HJ328" s="1877"/>
      <c r="HK328" s="1877"/>
      <c r="HL328" s="1877"/>
      <c r="HM328" s="1877"/>
      <c r="HN328" s="1877"/>
      <c r="HO328" s="1877"/>
      <c r="HP328" s="1877"/>
      <c r="HQ328" s="1877"/>
      <c r="HR328" s="1877"/>
      <c r="HS328" s="1877"/>
      <c r="HT328" s="1877"/>
      <c r="HU328" s="1877"/>
      <c r="HV328" s="1877"/>
      <c r="HW328" s="1877"/>
      <c r="HX328" s="1877"/>
      <c r="HY328" s="1877"/>
      <c r="HZ328" s="1877"/>
      <c r="IA328" s="1877"/>
      <c r="IB328" s="1877"/>
      <c r="IC328" s="1877"/>
      <c r="ID328" s="1877"/>
      <c r="IE328" s="1877"/>
      <c r="IF328" s="1877"/>
      <c r="IG328" s="1877"/>
      <c r="IH328" s="1877"/>
      <c r="II328" s="1877"/>
      <c r="IJ328" s="1877"/>
      <c r="IK328" s="1877"/>
      <c r="IL328" s="1877"/>
      <c r="IM328" s="1877"/>
      <c r="IN328" s="1877"/>
    </row>
    <row r="329" spans="1:248" s="1855" customFormat="1" ht="26.25" hidden="1">
      <c r="A329" s="1884"/>
      <c r="B329" s="1918"/>
      <c r="C329" s="1909" t="s">
        <v>2727</v>
      </c>
      <c r="D329" s="1910"/>
      <c r="E329" s="1912"/>
      <c r="F329" s="2072"/>
      <c r="G329" s="1912"/>
      <c r="H329" s="1912"/>
      <c r="I329" s="1912"/>
      <c r="J329" s="1912"/>
      <c r="K329" s="1912"/>
      <c r="L329" s="1912"/>
      <c r="M329" s="1912"/>
      <c r="N329" s="1912"/>
      <c r="O329" s="1912"/>
      <c r="P329" s="1912"/>
      <c r="Q329" s="1912"/>
      <c r="R329" s="1912"/>
      <c r="S329" s="1980">
        <f t="shared" si="106"/>
        <v>0</v>
      </c>
      <c r="T329" s="1856">
        <f t="shared" si="92"/>
        <v>0</v>
      </c>
      <c r="U329" s="1856">
        <f t="shared" si="93"/>
        <v>0</v>
      </c>
      <c r="V329" s="1856">
        <f t="shared" si="103"/>
        <v>0</v>
      </c>
      <c r="W329" s="1853" t="e">
        <f t="shared" si="99"/>
        <v>#DIV/0!</v>
      </c>
      <c r="X329" s="1854"/>
      <c r="Y329" s="2003">
        <f t="shared" si="108"/>
        <v>0</v>
      </c>
      <c r="Z329" s="1877"/>
      <c r="AA329" s="2008">
        <f t="shared" si="109"/>
        <v>0</v>
      </c>
      <c r="AB329" s="1877"/>
      <c r="AC329" s="1877"/>
      <c r="AD329" s="1877"/>
      <c r="AE329" s="1877"/>
      <c r="AF329" s="1877"/>
      <c r="AG329" s="1877"/>
      <c r="AH329" s="1877"/>
      <c r="AI329" s="1877"/>
      <c r="AJ329" s="1877"/>
      <c r="AK329" s="1877"/>
      <c r="AL329" s="1877"/>
      <c r="AM329" s="1877"/>
      <c r="AN329" s="1877"/>
      <c r="AO329" s="1877"/>
      <c r="AP329" s="1877"/>
      <c r="AQ329" s="1877"/>
      <c r="AR329" s="1877"/>
      <c r="AS329" s="1877"/>
      <c r="AT329" s="1877"/>
      <c r="AU329" s="1877"/>
      <c r="AV329" s="1877"/>
      <c r="AW329" s="1877"/>
      <c r="AX329" s="1877"/>
      <c r="AY329" s="1877"/>
      <c r="AZ329" s="1877"/>
      <c r="BA329" s="1877"/>
      <c r="BB329" s="1877"/>
      <c r="BC329" s="1877"/>
      <c r="BD329" s="1877"/>
      <c r="BE329" s="1877"/>
      <c r="BF329" s="1877"/>
      <c r="BG329" s="1877"/>
      <c r="BH329" s="1877"/>
      <c r="BI329" s="1877"/>
      <c r="BJ329" s="1877"/>
      <c r="BK329" s="1877"/>
      <c r="BL329" s="1877"/>
      <c r="BM329" s="1877"/>
      <c r="BN329" s="1877"/>
      <c r="BO329" s="1877"/>
      <c r="BP329" s="1877"/>
      <c r="BQ329" s="1877"/>
      <c r="BR329" s="1877"/>
      <c r="BS329" s="1877"/>
      <c r="BT329" s="1877"/>
      <c r="BU329" s="1877"/>
      <c r="BV329" s="1877"/>
      <c r="BW329" s="1877"/>
      <c r="BX329" s="1877"/>
      <c r="BY329" s="1877"/>
      <c r="BZ329" s="1877"/>
      <c r="CA329" s="1877"/>
      <c r="CB329" s="1877"/>
      <c r="CC329" s="1877"/>
      <c r="CD329" s="1877"/>
      <c r="CE329" s="1877"/>
      <c r="CF329" s="1877"/>
      <c r="CG329" s="1877"/>
      <c r="CH329" s="1877"/>
      <c r="CI329" s="1877"/>
      <c r="CJ329" s="1877"/>
      <c r="CK329" s="1877"/>
      <c r="CL329" s="1877"/>
      <c r="CM329" s="1877"/>
      <c r="CN329" s="1877"/>
      <c r="CO329" s="1877"/>
      <c r="CP329" s="1877"/>
      <c r="CQ329" s="1877"/>
      <c r="CR329" s="1877"/>
      <c r="CS329" s="1877"/>
      <c r="CT329" s="1877"/>
      <c r="CU329" s="1877"/>
      <c r="CV329" s="1877"/>
      <c r="CW329" s="1877"/>
      <c r="CX329" s="1877"/>
      <c r="CY329" s="1877"/>
      <c r="CZ329" s="1877"/>
      <c r="DA329" s="1877"/>
      <c r="DB329" s="1877"/>
      <c r="DC329" s="1877"/>
      <c r="DD329" s="1877"/>
      <c r="DE329" s="1877"/>
      <c r="DF329" s="1877"/>
      <c r="DG329" s="1877"/>
      <c r="DH329" s="1877"/>
      <c r="DI329" s="1877"/>
      <c r="DJ329" s="1877"/>
      <c r="DK329" s="1877"/>
      <c r="DL329" s="1877"/>
      <c r="DM329" s="1877"/>
      <c r="DN329" s="1877"/>
      <c r="DO329" s="1877"/>
      <c r="DP329" s="1877"/>
      <c r="DQ329" s="1877"/>
      <c r="DR329" s="1877"/>
      <c r="DS329" s="1877"/>
      <c r="DT329" s="1877"/>
      <c r="DU329" s="1877"/>
      <c r="DV329" s="1877"/>
      <c r="DW329" s="1877"/>
      <c r="DX329" s="1877"/>
      <c r="DY329" s="1877"/>
      <c r="DZ329" s="1877"/>
      <c r="EA329" s="1877"/>
      <c r="EB329" s="1877"/>
      <c r="EC329" s="1877"/>
      <c r="ED329" s="1877"/>
      <c r="EE329" s="1877"/>
      <c r="EF329" s="1877"/>
      <c r="EG329" s="1877"/>
      <c r="EH329" s="1877"/>
      <c r="EI329" s="1877"/>
      <c r="EJ329" s="1877"/>
      <c r="EK329" s="1877"/>
      <c r="EL329" s="1877"/>
      <c r="EM329" s="1877"/>
      <c r="EN329" s="1877"/>
      <c r="EO329" s="1877"/>
      <c r="EP329" s="1877"/>
      <c r="EQ329" s="1877"/>
      <c r="ER329" s="1877"/>
      <c r="ES329" s="1877"/>
      <c r="ET329" s="1877"/>
      <c r="EU329" s="1877"/>
      <c r="EV329" s="1877"/>
      <c r="EW329" s="1877"/>
      <c r="EX329" s="1877"/>
      <c r="EY329" s="1877"/>
      <c r="EZ329" s="1877"/>
      <c r="FA329" s="1877"/>
      <c r="FB329" s="1877"/>
      <c r="FC329" s="1877"/>
      <c r="FD329" s="1877"/>
      <c r="FE329" s="1877"/>
      <c r="FF329" s="1877"/>
      <c r="FG329" s="1877"/>
      <c r="FH329" s="1877"/>
      <c r="FI329" s="1877"/>
      <c r="FJ329" s="1877"/>
      <c r="FK329" s="1877"/>
      <c r="FL329" s="1877"/>
      <c r="FM329" s="1877"/>
      <c r="FN329" s="1877"/>
      <c r="FO329" s="1877"/>
      <c r="FP329" s="1877"/>
      <c r="FQ329" s="1877"/>
      <c r="FR329" s="1877"/>
      <c r="FS329" s="1877"/>
      <c r="FT329" s="1877"/>
      <c r="FU329" s="1877"/>
      <c r="FV329" s="1877"/>
      <c r="FW329" s="1877"/>
      <c r="FX329" s="1877"/>
      <c r="FY329" s="1877"/>
      <c r="FZ329" s="1877"/>
      <c r="GA329" s="1877"/>
      <c r="GB329" s="1877"/>
      <c r="GC329" s="1877"/>
      <c r="GD329" s="1877"/>
      <c r="GE329" s="1877"/>
      <c r="GF329" s="1877"/>
      <c r="GG329" s="1877"/>
      <c r="GH329" s="1877"/>
      <c r="GI329" s="1877"/>
      <c r="GJ329" s="1877"/>
      <c r="GK329" s="1877"/>
      <c r="GL329" s="1877"/>
      <c r="GM329" s="1877"/>
      <c r="GN329" s="1877"/>
      <c r="GO329" s="1877"/>
      <c r="GP329" s="1877"/>
      <c r="GQ329" s="1877"/>
      <c r="GR329" s="1877"/>
      <c r="GS329" s="1877"/>
      <c r="GT329" s="1877"/>
      <c r="GU329" s="1877"/>
      <c r="GV329" s="1877"/>
      <c r="GW329" s="1877"/>
      <c r="GX329" s="1877"/>
      <c r="GY329" s="1877"/>
      <c r="GZ329" s="1877"/>
      <c r="HA329" s="1877"/>
      <c r="HB329" s="1877"/>
      <c r="HC329" s="1877"/>
      <c r="HD329" s="1877"/>
      <c r="HE329" s="1877"/>
      <c r="HF329" s="1877"/>
      <c r="HG329" s="1877"/>
      <c r="HH329" s="1877"/>
      <c r="HI329" s="1877"/>
      <c r="HJ329" s="1877"/>
      <c r="HK329" s="1877"/>
      <c r="HL329" s="1877"/>
      <c r="HM329" s="1877"/>
      <c r="HN329" s="1877"/>
      <c r="HO329" s="1877"/>
      <c r="HP329" s="1877"/>
      <c r="HQ329" s="1877"/>
      <c r="HR329" s="1877"/>
      <c r="HS329" s="1877"/>
      <c r="HT329" s="1877"/>
      <c r="HU329" s="1877"/>
      <c r="HV329" s="1877"/>
      <c r="HW329" s="1877"/>
      <c r="HX329" s="1877"/>
      <c r="HY329" s="1877"/>
      <c r="HZ329" s="1877"/>
      <c r="IA329" s="1877"/>
      <c r="IB329" s="1877"/>
      <c r="IC329" s="1877"/>
      <c r="ID329" s="1877"/>
      <c r="IE329" s="1877"/>
      <c r="IF329" s="1877"/>
      <c r="IG329" s="1877"/>
      <c r="IH329" s="1877"/>
      <c r="II329" s="1877"/>
      <c r="IJ329" s="1877"/>
      <c r="IK329" s="1877"/>
      <c r="IL329" s="1877"/>
      <c r="IM329" s="1877"/>
      <c r="IN329" s="1877"/>
    </row>
    <row r="330" spans="1:248" s="1855" customFormat="1" ht="26.25" hidden="1">
      <c r="A330" s="1884"/>
      <c r="B330" s="1918"/>
      <c r="C330" s="1909" t="s">
        <v>3209</v>
      </c>
      <c r="D330" s="1910"/>
      <c r="E330" s="1912" t="e">
        <f>-ARRIERE!B28</f>
        <v>#VALUE!</v>
      </c>
      <c r="F330" s="2072">
        <f>-ARRIERE!C28</f>
        <v>0</v>
      </c>
      <c r="G330" s="1912">
        <f>-ARRIERE!D28</f>
        <v>-680493.45699999994</v>
      </c>
      <c r="H330" s="1912">
        <f>-ARRIERE!E28</f>
        <v>-217536.2</v>
      </c>
      <c r="I330" s="1912">
        <f>-ARRIERE!F28</f>
        <v>-103942.07799999999</v>
      </c>
      <c r="J330" s="1912">
        <f>-ARRIERE!G28</f>
        <v>-102885</v>
      </c>
      <c r="K330" s="1912">
        <f>-ARRIERE!H28</f>
        <v>-15207.615</v>
      </c>
      <c r="L330" s="1912">
        <f>-ARRIERE!I28</f>
        <v>-174165.541</v>
      </c>
      <c r="M330" s="1912">
        <f>-ARRIERE!J28</f>
        <v>-400180.66600000003</v>
      </c>
      <c r="N330" s="1912">
        <f>-ARRIERE!K28</f>
        <v>-10381.5</v>
      </c>
      <c r="O330" s="1912">
        <f>-ARRIERE!L28</f>
        <v>-62337.308000000005</v>
      </c>
      <c r="P330" s="1912">
        <f>-ARRIERE!M28</f>
        <v>-207931.71600000001</v>
      </c>
      <c r="Q330" s="1912">
        <f>-ARRIERE!N28</f>
        <v>-99788.527000000002</v>
      </c>
      <c r="R330" s="1912">
        <f>-ARRIERE!O28</f>
        <v>-71585.241000000009</v>
      </c>
      <c r="S330" s="1980">
        <f t="shared" si="106"/>
        <v>-2146434.8489999999</v>
      </c>
      <c r="T330" s="1856"/>
      <c r="U330" s="1856"/>
      <c r="V330" s="1856"/>
      <c r="W330" s="1853" t="e">
        <f t="shared" si="99"/>
        <v>#DIV/0!</v>
      </c>
      <c r="X330" s="1854"/>
      <c r="Y330" s="2003">
        <f t="shared" si="108"/>
        <v>-0.25801596934727727</v>
      </c>
      <c r="Z330" s="1877"/>
      <c r="AA330" s="2008">
        <f t="shared" si="109"/>
        <v>-2146.4348489999998</v>
      </c>
      <c r="AB330" s="1877"/>
      <c r="AC330" s="1877"/>
      <c r="AD330" s="1877"/>
      <c r="AE330" s="1877"/>
      <c r="AF330" s="1877"/>
      <c r="AG330" s="1877"/>
      <c r="AH330" s="1877"/>
      <c r="AI330" s="1877"/>
      <c r="AJ330" s="1877"/>
      <c r="AK330" s="1877"/>
      <c r="AL330" s="1877"/>
      <c r="AM330" s="1877"/>
      <c r="AN330" s="1877"/>
      <c r="AO330" s="1877"/>
      <c r="AP330" s="1877"/>
      <c r="AQ330" s="1877"/>
      <c r="AR330" s="1877"/>
      <c r="AS330" s="1877"/>
      <c r="AT330" s="1877"/>
      <c r="AU330" s="1877"/>
      <c r="AV330" s="1877"/>
      <c r="AW330" s="1877"/>
      <c r="AX330" s="1877"/>
      <c r="AY330" s="1877"/>
      <c r="AZ330" s="1877"/>
      <c r="BA330" s="1877"/>
      <c r="BB330" s="1877"/>
      <c r="BC330" s="1877"/>
      <c r="BD330" s="1877"/>
      <c r="BE330" s="1877"/>
      <c r="BF330" s="1877"/>
      <c r="BG330" s="1877"/>
      <c r="BH330" s="1877"/>
      <c r="BI330" s="1877"/>
      <c r="BJ330" s="1877"/>
      <c r="BK330" s="1877"/>
      <c r="BL330" s="1877"/>
      <c r="BM330" s="1877"/>
      <c r="BN330" s="1877"/>
      <c r="BO330" s="1877"/>
      <c r="BP330" s="1877"/>
      <c r="BQ330" s="1877"/>
      <c r="BR330" s="1877"/>
      <c r="BS330" s="1877"/>
      <c r="BT330" s="1877"/>
      <c r="BU330" s="1877"/>
      <c r="BV330" s="1877"/>
      <c r="BW330" s="1877"/>
      <c r="BX330" s="1877"/>
      <c r="BY330" s="1877"/>
      <c r="BZ330" s="1877"/>
      <c r="CA330" s="1877"/>
      <c r="CB330" s="1877"/>
      <c r="CC330" s="1877"/>
      <c r="CD330" s="1877"/>
      <c r="CE330" s="1877"/>
      <c r="CF330" s="1877"/>
      <c r="CG330" s="1877"/>
      <c r="CH330" s="1877"/>
      <c r="CI330" s="1877"/>
      <c r="CJ330" s="1877"/>
      <c r="CK330" s="1877"/>
      <c r="CL330" s="1877"/>
      <c r="CM330" s="1877"/>
      <c r="CN330" s="1877"/>
      <c r="CO330" s="1877"/>
      <c r="CP330" s="1877"/>
      <c r="CQ330" s="1877"/>
      <c r="CR330" s="1877"/>
      <c r="CS330" s="1877"/>
      <c r="CT330" s="1877"/>
      <c r="CU330" s="1877"/>
      <c r="CV330" s="1877"/>
      <c r="CW330" s="1877"/>
      <c r="CX330" s="1877"/>
      <c r="CY330" s="1877"/>
      <c r="CZ330" s="1877"/>
      <c r="DA330" s="1877"/>
      <c r="DB330" s="1877"/>
      <c r="DC330" s="1877"/>
      <c r="DD330" s="1877"/>
      <c r="DE330" s="1877"/>
      <c r="DF330" s="1877"/>
      <c r="DG330" s="1877"/>
      <c r="DH330" s="1877"/>
      <c r="DI330" s="1877"/>
      <c r="DJ330" s="1877"/>
      <c r="DK330" s="1877"/>
      <c r="DL330" s="1877"/>
      <c r="DM330" s="1877"/>
      <c r="DN330" s="1877"/>
      <c r="DO330" s="1877"/>
      <c r="DP330" s="1877"/>
      <c r="DQ330" s="1877"/>
      <c r="DR330" s="1877"/>
      <c r="DS330" s="1877"/>
      <c r="DT330" s="1877"/>
      <c r="DU330" s="1877"/>
      <c r="DV330" s="1877"/>
      <c r="DW330" s="1877"/>
      <c r="DX330" s="1877"/>
      <c r="DY330" s="1877"/>
      <c r="DZ330" s="1877"/>
      <c r="EA330" s="1877"/>
      <c r="EB330" s="1877"/>
      <c r="EC330" s="1877"/>
      <c r="ED330" s="1877"/>
      <c r="EE330" s="1877"/>
      <c r="EF330" s="1877"/>
      <c r="EG330" s="1877"/>
      <c r="EH330" s="1877"/>
      <c r="EI330" s="1877"/>
      <c r="EJ330" s="1877"/>
      <c r="EK330" s="1877"/>
      <c r="EL330" s="1877"/>
      <c r="EM330" s="1877"/>
      <c r="EN330" s="1877"/>
      <c r="EO330" s="1877"/>
      <c r="EP330" s="1877"/>
      <c r="EQ330" s="1877"/>
      <c r="ER330" s="1877"/>
      <c r="ES330" s="1877"/>
      <c r="ET330" s="1877"/>
      <c r="EU330" s="1877"/>
      <c r="EV330" s="1877"/>
      <c r="EW330" s="1877"/>
      <c r="EX330" s="1877"/>
      <c r="EY330" s="1877"/>
      <c r="EZ330" s="1877"/>
      <c r="FA330" s="1877"/>
      <c r="FB330" s="1877"/>
      <c r="FC330" s="1877"/>
      <c r="FD330" s="1877"/>
      <c r="FE330" s="1877"/>
      <c r="FF330" s="1877"/>
      <c r="FG330" s="1877"/>
      <c r="FH330" s="1877"/>
      <c r="FI330" s="1877"/>
      <c r="FJ330" s="1877"/>
      <c r="FK330" s="1877"/>
      <c r="FL330" s="1877"/>
      <c r="FM330" s="1877"/>
      <c r="FN330" s="1877"/>
      <c r="FO330" s="1877"/>
      <c r="FP330" s="1877"/>
      <c r="FQ330" s="1877"/>
      <c r="FR330" s="1877"/>
      <c r="FS330" s="1877"/>
      <c r="FT330" s="1877"/>
      <c r="FU330" s="1877"/>
      <c r="FV330" s="1877"/>
      <c r="FW330" s="1877"/>
      <c r="FX330" s="1877"/>
      <c r="FY330" s="1877"/>
      <c r="FZ330" s="1877"/>
      <c r="GA330" s="1877"/>
      <c r="GB330" s="1877"/>
      <c r="GC330" s="1877"/>
      <c r="GD330" s="1877"/>
      <c r="GE330" s="1877"/>
      <c r="GF330" s="1877"/>
      <c r="GG330" s="1877"/>
      <c r="GH330" s="1877"/>
      <c r="GI330" s="1877"/>
      <c r="GJ330" s="1877"/>
      <c r="GK330" s="1877"/>
      <c r="GL330" s="1877"/>
      <c r="GM330" s="1877"/>
      <c r="GN330" s="1877"/>
      <c r="GO330" s="1877"/>
      <c r="GP330" s="1877"/>
      <c r="GQ330" s="1877"/>
      <c r="GR330" s="1877"/>
      <c r="GS330" s="1877"/>
      <c r="GT330" s="1877"/>
      <c r="GU330" s="1877"/>
      <c r="GV330" s="1877"/>
      <c r="GW330" s="1877"/>
      <c r="GX330" s="1877"/>
      <c r="GY330" s="1877"/>
      <c r="GZ330" s="1877"/>
      <c r="HA330" s="1877"/>
      <c r="HB330" s="1877"/>
      <c r="HC330" s="1877"/>
      <c r="HD330" s="1877"/>
      <c r="HE330" s="1877"/>
      <c r="HF330" s="1877"/>
      <c r="HG330" s="1877"/>
      <c r="HH330" s="1877"/>
      <c r="HI330" s="1877"/>
      <c r="HJ330" s="1877"/>
      <c r="HK330" s="1877"/>
      <c r="HL330" s="1877"/>
      <c r="HM330" s="1877"/>
      <c r="HN330" s="1877"/>
      <c r="HO330" s="1877"/>
      <c r="HP330" s="1877"/>
      <c r="HQ330" s="1877"/>
      <c r="HR330" s="1877"/>
      <c r="HS330" s="1877"/>
      <c r="HT330" s="1877"/>
      <c r="HU330" s="1877"/>
      <c r="HV330" s="1877"/>
      <c r="HW330" s="1877"/>
      <c r="HX330" s="1877"/>
      <c r="HY330" s="1877"/>
      <c r="HZ330" s="1877"/>
      <c r="IA330" s="1877"/>
      <c r="IB330" s="1877"/>
      <c r="IC330" s="1877"/>
      <c r="ID330" s="1877"/>
      <c r="IE330" s="1877"/>
      <c r="IF330" s="1877"/>
      <c r="IG330" s="1877"/>
      <c r="IH330" s="1877"/>
      <c r="II330" s="1877"/>
      <c r="IJ330" s="1877"/>
      <c r="IK330" s="1877"/>
      <c r="IL330" s="1877"/>
      <c r="IM330" s="1877"/>
      <c r="IN330" s="1877"/>
    </row>
    <row r="331" spans="1:248" s="1855" customFormat="1" ht="26.25" hidden="1">
      <c r="A331" s="1888" t="s">
        <v>582</v>
      </c>
      <c r="B331" s="1918"/>
      <c r="C331" s="1909" t="s">
        <v>583</v>
      </c>
      <c r="D331" s="1910">
        <v>0</v>
      </c>
      <c r="E331" s="1912">
        <f>+Dettes!D65</f>
        <v>253490.28914967997</v>
      </c>
      <c r="F331" s="2072">
        <f>+Dettes!E65</f>
        <v>0</v>
      </c>
      <c r="G331" s="1912">
        <f>+Dettes!F65</f>
        <v>-11238.207129999995</v>
      </c>
      <c r="H331" s="1912">
        <f>+Dettes!J65</f>
        <v>0</v>
      </c>
      <c r="I331" s="1912">
        <f>+Dettes!N65</f>
        <v>0</v>
      </c>
      <c r="J331" s="1912">
        <f>+Dettes!R65</f>
        <v>0</v>
      </c>
      <c r="K331" s="1912">
        <f>+Dettes!V65</f>
        <v>0</v>
      </c>
      <c r="L331" s="1912">
        <f>+Dettes!Z65</f>
        <v>280606.15456</v>
      </c>
      <c r="M331" s="1912">
        <f>+Dettes!AD65</f>
        <v>178059.18504800001</v>
      </c>
      <c r="N331" s="1912">
        <f>+Dettes!AH65</f>
        <v>0</v>
      </c>
      <c r="O331" s="1912">
        <f>+Dettes!AL65</f>
        <v>35019.415999999997</v>
      </c>
      <c r="P331" s="1912">
        <f>+Dettes!AP65</f>
        <v>638232.93099999998</v>
      </c>
      <c r="Q331" s="1912">
        <f>+Dettes!AT65</f>
        <v>26630.924051999998</v>
      </c>
      <c r="R331" s="1912">
        <f>+Dettes!AX65</f>
        <v>320828.85795174999</v>
      </c>
      <c r="S331" s="1980">
        <f t="shared" si="106"/>
        <v>1468139.2614817501</v>
      </c>
      <c r="T331" s="1856">
        <f t="shared" ref="T331:T368" si="118">SUM(G331:L331)</f>
        <v>269367.94743</v>
      </c>
      <c r="U331" s="1856">
        <f t="shared" ref="U331:U387" si="119">SUM(G331:O331)</f>
        <v>482446.54847799998</v>
      </c>
      <c r="V331" s="1856">
        <f t="shared" ref="V331:V388" si="120">S331</f>
        <v>1468139.2614817501</v>
      </c>
      <c r="W331" s="1853" t="e">
        <f t="shared" si="99"/>
        <v>#DIV/0!</v>
      </c>
      <c r="X331" s="1854"/>
      <c r="Y331" s="2003">
        <f t="shared" si="108"/>
        <v>0.17648025742057338</v>
      </c>
      <c r="AA331" s="2008">
        <f t="shared" si="109"/>
        <v>1468.1392614817501</v>
      </c>
    </row>
    <row r="332" spans="1:248" s="1855" customFormat="1" ht="26.25" hidden="1">
      <c r="A332" s="1888"/>
      <c r="B332" s="1918"/>
      <c r="C332" s="1909"/>
      <c r="D332" s="1910"/>
      <c r="E332" s="1912"/>
      <c r="F332" s="2072"/>
      <c r="G332" s="1912"/>
      <c r="H332" s="1912"/>
      <c r="I332" s="1912"/>
      <c r="J332" s="1912"/>
      <c r="K332" s="1912"/>
      <c r="L332" s="1912"/>
      <c r="M332" s="1912"/>
      <c r="N332" s="1912"/>
      <c r="O332" s="1912"/>
      <c r="P332" s="1912"/>
      <c r="Q332" s="1912"/>
      <c r="R332" s="1912"/>
      <c r="S332" s="1980">
        <f t="shared" si="106"/>
        <v>0</v>
      </c>
      <c r="T332" s="1856"/>
      <c r="U332" s="1856"/>
      <c r="V332" s="1856"/>
      <c r="W332" s="1853" t="e">
        <f t="shared" si="99"/>
        <v>#DIV/0!</v>
      </c>
      <c r="X332" s="1854"/>
      <c r="Y332" s="2003">
        <f t="shared" si="108"/>
        <v>0</v>
      </c>
      <c r="AA332" s="2008">
        <f t="shared" si="109"/>
        <v>0</v>
      </c>
    </row>
    <row r="333" spans="1:248" s="1855" customFormat="1" ht="26.25" hidden="1">
      <c r="A333" s="1888"/>
      <c r="B333" s="1918"/>
      <c r="C333" s="1909" t="s">
        <v>3210</v>
      </c>
      <c r="D333" s="1910"/>
      <c r="E333" s="1912">
        <f>+E334</f>
        <v>2651001.9739999985</v>
      </c>
      <c r="F333" s="2072">
        <f>+F334</f>
        <v>0</v>
      </c>
      <c r="G333" s="1912">
        <f>+G334</f>
        <v>0</v>
      </c>
      <c r="H333" s="1912">
        <f t="shared" ref="H333:Q333" si="121">+H334</f>
        <v>0</v>
      </c>
      <c r="I333" s="1912">
        <f t="shared" si="121"/>
        <v>0</v>
      </c>
      <c r="J333" s="1912">
        <f t="shared" si="121"/>
        <v>0</v>
      </c>
      <c r="K333" s="1912">
        <f t="shared" si="121"/>
        <v>0</v>
      </c>
      <c r="L333" s="1912">
        <f t="shared" si="121"/>
        <v>0</v>
      </c>
      <c r="M333" s="1912">
        <f t="shared" si="121"/>
        <v>0</v>
      </c>
      <c r="N333" s="1912">
        <f t="shared" si="121"/>
        <v>0</v>
      </c>
      <c r="O333" s="1912">
        <f t="shared" si="121"/>
        <v>0</v>
      </c>
      <c r="P333" s="1912">
        <f t="shared" si="121"/>
        <v>0</v>
      </c>
      <c r="Q333" s="1912">
        <f t="shared" si="121"/>
        <v>0</v>
      </c>
      <c r="R333" s="1912">
        <f>+R334</f>
        <v>11937178.016000001</v>
      </c>
      <c r="S333" s="1981">
        <f>+S334</f>
        <v>11937178.016000001</v>
      </c>
      <c r="T333" s="1856"/>
      <c r="U333" s="1856"/>
      <c r="V333" s="1856"/>
      <c r="W333" s="1853" t="e">
        <f t="shared" si="99"/>
        <v>#DIV/0!</v>
      </c>
      <c r="X333" s="1854"/>
      <c r="Y333" s="2003">
        <f t="shared" si="108"/>
        <v>1.4349294405577595</v>
      </c>
      <c r="AA333" s="2008">
        <f t="shared" si="109"/>
        <v>11937.178016000002</v>
      </c>
    </row>
    <row r="334" spans="1:248" s="1855" customFormat="1" ht="26.25">
      <c r="A334" s="1883"/>
      <c r="B334" s="1918" t="s">
        <v>3222</v>
      </c>
      <c r="C334" s="1909" t="s">
        <v>3219</v>
      </c>
      <c r="D334" s="1910"/>
      <c r="E334" s="1912">
        <f>+[28]Tofe!$Q$91</f>
        <v>2651001.9739999985</v>
      </c>
      <c r="F334" s="2072">
        <v>0</v>
      </c>
      <c r="G334" s="1912">
        <f>ARRIERE!P6/1000</f>
        <v>0</v>
      </c>
      <c r="H334" s="1912">
        <f>ARRIERE!Q6/1000</f>
        <v>0</v>
      </c>
      <c r="I334" s="1912">
        <f>ARRIERE!R6/1000</f>
        <v>0</v>
      </c>
      <c r="J334" s="1912">
        <f>ARRIERE!S6/1000</f>
        <v>0</v>
      </c>
      <c r="K334" s="1912">
        <f>ARRIERE!T6/1000</f>
        <v>0</v>
      </c>
      <c r="L334" s="1912">
        <f>ARRIERE!U6/1000</f>
        <v>0</v>
      </c>
      <c r="M334" s="1912">
        <f>ARRIERE!V6/1000</f>
        <v>0</v>
      </c>
      <c r="N334" s="1912">
        <f>ARRIERE!W6/1000</f>
        <v>0</v>
      </c>
      <c r="O334" s="1912">
        <f>ARRIERE!X6/1000</f>
        <v>0</v>
      </c>
      <c r="P334" s="1985"/>
      <c r="Q334" s="1985">
        <f>ARRIERE!Z6/1000</f>
        <v>0</v>
      </c>
      <c r="R334" s="1985">
        <f>ARRIERE!AA6/1000</f>
        <v>11937178.016000001</v>
      </c>
      <c r="S334" s="1981">
        <f>ARRIERE!AB6/1000</f>
        <v>11937178.016000001</v>
      </c>
      <c r="T334" s="1856">
        <f t="shared" si="118"/>
        <v>0</v>
      </c>
      <c r="U334" s="1856">
        <f t="shared" si="119"/>
        <v>0</v>
      </c>
      <c r="V334" s="1856">
        <f t="shared" si="120"/>
        <v>11937178.016000001</v>
      </c>
      <c r="W334" s="1853" t="e">
        <f t="shared" si="99"/>
        <v>#DIV/0!</v>
      </c>
      <c r="X334" s="1854"/>
      <c r="Y334" s="2003"/>
      <c r="AA334" s="2008">
        <f t="shared" si="109"/>
        <v>11937.178016000002</v>
      </c>
    </row>
    <row r="335" spans="1:248" s="1855" customFormat="1" ht="26.25">
      <c r="A335" s="1882" t="s">
        <v>183</v>
      </c>
      <c r="B335" s="1937"/>
      <c r="C335" s="1938" t="s">
        <v>685</v>
      </c>
      <c r="D335" s="1906" t="e">
        <f t="shared" ref="D335:S335" si="122">D307+D315</f>
        <v>#REF!</v>
      </c>
      <c r="E335" s="1907">
        <f>E307+E315</f>
        <v>-32158833.710434049</v>
      </c>
      <c r="F335" s="2068">
        <f>F307+F315</f>
        <v>76237201.719999999</v>
      </c>
      <c r="G335" s="1907">
        <f t="shared" si="122"/>
        <v>-2803281.0861496809</v>
      </c>
      <c r="H335" s="1907">
        <f t="shared" si="122"/>
        <v>-5217455.4553126488</v>
      </c>
      <c r="I335" s="1907">
        <f t="shared" si="122"/>
        <v>-9830819.7809564937</v>
      </c>
      <c r="J335" s="1907">
        <f t="shared" si="122"/>
        <v>-5531190.7281238846</v>
      </c>
      <c r="K335" s="1907">
        <f t="shared" si="122"/>
        <v>2319520.8768350007</v>
      </c>
      <c r="L335" s="1907">
        <f t="shared" si="122"/>
        <v>593807.85591557762</v>
      </c>
      <c r="M335" s="1907">
        <f t="shared" si="122"/>
        <v>2231312.4820000008</v>
      </c>
      <c r="N335" s="1907">
        <f t="shared" si="122"/>
        <v>-3946215.6249599988</v>
      </c>
      <c r="O335" s="1907">
        <f t="shared" si="122"/>
        <v>-12865997.561085101</v>
      </c>
      <c r="P335" s="1907">
        <f t="shared" si="122"/>
        <v>3357850.861384999</v>
      </c>
      <c r="Q335" s="1907">
        <f t="shared" si="122"/>
        <v>-3672106.154473199</v>
      </c>
      <c r="R335" s="1907">
        <f t="shared" si="122"/>
        <v>9081558.5599998124</v>
      </c>
      <c r="S335" s="1980">
        <f t="shared" si="122"/>
        <v>-26283015.754925616</v>
      </c>
      <c r="T335" s="1852">
        <f t="shared" si="118"/>
        <v>-20469418.317792132</v>
      </c>
      <c r="U335" s="1852">
        <f t="shared" si="119"/>
        <v>-35050319.021837234</v>
      </c>
      <c r="V335" s="1852">
        <f t="shared" si="120"/>
        <v>-26283015.754925616</v>
      </c>
      <c r="W335" s="1853">
        <f>S335/F335*100</f>
        <v>-34.475315412882672</v>
      </c>
      <c r="X335" s="1854">
        <f>S335/$X$1*100/1000</f>
        <v>-3.2511987425842843</v>
      </c>
      <c r="Y335" s="2003">
        <f t="shared" si="108"/>
        <v>-3.15939605180017</v>
      </c>
      <c r="AA335" s="2008">
        <f t="shared" si="109"/>
        <v>-26283.015754925615</v>
      </c>
    </row>
    <row r="336" spans="1:248" s="1855" customFormat="1" ht="26.25" hidden="1">
      <c r="A336" s="1883"/>
      <c r="B336" s="1939"/>
      <c r="C336" s="1940" t="s">
        <v>686</v>
      </c>
      <c r="D336" s="1910"/>
      <c r="E336" s="1912"/>
      <c r="F336" s="2072"/>
      <c r="G336" s="1912"/>
      <c r="H336" s="1912"/>
      <c r="I336" s="1912"/>
      <c r="J336" s="1912"/>
      <c r="K336" s="1912"/>
      <c r="L336" s="1912"/>
      <c r="M336" s="1912"/>
      <c r="N336" s="1912"/>
      <c r="O336" s="1912"/>
      <c r="P336" s="1912"/>
      <c r="Q336" s="1912"/>
      <c r="R336" s="1912"/>
      <c r="S336" s="1980">
        <f t="shared" si="106"/>
        <v>0</v>
      </c>
      <c r="T336" s="1856">
        <f t="shared" si="118"/>
        <v>0</v>
      </c>
      <c r="U336" s="1856">
        <f t="shared" si="119"/>
        <v>0</v>
      </c>
      <c r="V336" s="1856">
        <f t="shared" si="120"/>
        <v>0</v>
      </c>
      <c r="W336" s="1853" t="e">
        <f t="shared" ref="W336:W387" si="123">S336/F336*100</f>
        <v>#DIV/0!</v>
      </c>
      <c r="X336" s="1854"/>
      <c r="Y336" s="2003">
        <f t="shared" si="108"/>
        <v>0</v>
      </c>
      <c r="AA336" s="2008">
        <f t="shared" si="109"/>
        <v>0</v>
      </c>
    </row>
    <row r="337" spans="1:27" s="1855" customFormat="1" ht="26.25">
      <c r="A337" s="1882" t="s">
        <v>184</v>
      </c>
      <c r="B337" s="1964">
        <v>5</v>
      </c>
      <c r="C337" s="1965" t="s">
        <v>3221</v>
      </c>
      <c r="D337" s="1966">
        <f t="shared" ref="D337:Q337" si="124">D338+D374</f>
        <v>0</v>
      </c>
      <c r="E337" s="1990">
        <f>E338+E374</f>
        <v>33923631.577230141</v>
      </c>
      <c r="F337" s="2068">
        <f>F338+F374</f>
        <v>26581087.611000001</v>
      </c>
      <c r="G337" s="1990">
        <f t="shared" si="124"/>
        <v>4922869.4445874849</v>
      </c>
      <c r="H337" s="1990">
        <f t="shared" si="124"/>
        <v>3646289.8808497684</v>
      </c>
      <c r="I337" s="1990">
        <f t="shared" si="124"/>
        <v>7381711.4267963907</v>
      </c>
      <c r="J337" s="1990">
        <f t="shared" si="124"/>
        <v>3981210.3672386813</v>
      </c>
      <c r="K337" s="1990">
        <f t="shared" si="124"/>
        <v>-26017966.118999999</v>
      </c>
      <c r="L337" s="1990">
        <f t="shared" si="124"/>
        <v>-519147.01132552279</v>
      </c>
      <c r="M337" s="1990">
        <f t="shared" si="124"/>
        <v>38194.672999995528</v>
      </c>
      <c r="N337" s="1990">
        <f t="shared" si="124"/>
        <v>848720.59999999637</v>
      </c>
      <c r="O337" s="1990">
        <f>O338+O374</f>
        <v>12335707.148000002</v>
      </c>
      <c r="P337" s="1990">
        <f t="shared" si="124"/>
        <v>3733889.4091474917</v>
      </c>
      <c r="Q337" s="1990">
        <f t="shared" si="124"/>
        <v>2155816.8648300115</v>
      </c>
      <c r="R337" s="1991">
        <f>R338+R374</f>
        <v>8672935.481999997</v>
      </c>
      <c r="S337" s="1992">
        <f>S338+S374</f>
        <v>21180232.166124299</v>
      </c>
      <c r="T337" s="1852">
        <f t="shared" si="118"/>
        <v>-6605032.0108531974</v>
      </c>
      <c r="U337" s="1852">
        <f t="shared" si="119"/>
        <v>6617590.4101467971</v>
      </c>
      <c r="V337" s="1852">
        <f t="shared" si="120"/>
        <v>21180232.166124299</v>
      </c>
      <c r="W337" s="1853">
        <f t="shared" si="123"/>
        <v>79.681585930890662</v>
      </c>
      <c r="X337" s="1854">
        <f>S337/$X$1*100/1000</f>
        <v>2.6199864135926445</v>
      </c>
      <c r="Y337" s="2003">
        <f t="shared" si="108"/>
        <v>2.546006991961089</v>
      </c>
      <c r="AA337" s="2008">
        <f t="shared" si="109"/>
        <v>21180.2321661243</v>
      </c>
    </row>
    <row r="338" spans="1:27" s="1855" customFormat="1" ht="26.25">
      <c r="A338" s="1882" t="s">
        <v>688</v>
      </c>
      <c r="B338" s="1956" t="s">
        <v>590</v>
      </c>
      <c r="C338" s="1941" t="s">
        <v>3211</v>
      </c>
      <c r="D338" s="1906">
        <f t="shared" ref="D338:Q338" si="125">D339+D362</f>
        <v>0</v>
      </c>
      <c r="E338" s="1907">
        <f>E339+E362</f>
        <v>17600005.97299999</v>
      </c>
      <c r="F338" s="2068">
        <f>F339+F362</f>
        <v>10224000</v>
      </c>
      <c r="G338" s="1907">
        <f t="shared" si="125"/>
        <v>5089628.3829999845</v>
      </c>
      <c r="H338" s="1907">
        <f t="shared" si="125"/>
        <v>3807958.1450000186</v>
      </c>
      <c r="I338" s="1907">
        <f t="shared" si="125"/>
        <v>3962434.5669999905</v>
      </c>
      <c r="J338" s="1907">
        <f t="shared" si="125"/>
        <v>4322454.6480000112</v>
      </c>
      <c r="K338" s="1907">
        <f t="shared" si="125"/>
        <v>-25871231.618999999</v>
      </c>
      <c r="L338" s="1907">
        <f t="shared" si="125"/>
        <v>-2928658.274000003</v>
      </c>
      <c r="M338" s="1907">
        <f t="shared" si="125"/>
        <v>156399.5289999955</v>
      </c>
      <c r="N338" s="1907">
        <f t="shared" si="125"/>
        <v>1008599.4859999963</v>
      </c>
      <c r="O338" s="1907">
        <f>O339+O362</f>
        <v>3982504.6940000029</v>
      </c>
      <c r="P338" s="1907">
        <f>P339+P362</f>
        <v>3940141.0959999915</v>
      </c>
      <c r="Q338" s="1907">
        <f t="shared" si="125"/>
        <v>2305304.6270000115</v>
      </c>
      <c r="R338" s="1907">
        <f>R339+R362</f>
        <v>9529949.7819999978</v>
      </c>
      <c r="S338" s="1980">
        <f>S339+S362</f>
        <v>9305485.0639999993</v>
      </c>
      <c r="T338" s="1852">
        <f t="shared" si="118"/>
        <v>-11617414.149999999</v>
      </c>
      <c r="U338" s="1852">
        <f t="shared" si="119"/>
        <v>-6469910.4410000043</v>
      </c>
      <c r="V338" s="1852">
        <f t="shared" si="120"/>
        <v>9305485.0639999993</v>
      </c>
      <c r="W338" s="1853">
        <f t="shared" si="123"/>
        <v>91.016090219092334</v>
      </c>
      <c r="X338" s="1854">
        <f>S338/$X$1*100/1000</f>
        <v>1.1510848534778144</v>
      </c>
      <c r="Y338" s="2003">
        <f t="shared" si="108"/>
        <v>1.1185821690106983</v>
      </c>
      <c r="AA338" s="2008">
        <f t="shared" si="109"/>
        <v>9305.4850639999986</v>
      </c>
    </row>
    <row r="339" spans="1:27" s="1863" customFormat="1" ht="26.25">
      <c r="A339" s="1888" t="s">
        <v>690</v>
      </c>
      <c r="B339" s="1919" t="s">
        <v>593</v>
      </c>
      <c r="C339" s="1925" t="s">
        <v>691</v>
      </c>
      <c r="D339" s="1906">
        <f t="shared" ref="D339:R339" si="126">D340+D348</f>
        <v>0</v>
      </c>
      <c r="E339" s="1907">
        <f>E340+E348</f>
        <v>17600005.97299999</v>
      </c>
      <c r="F339" s="2068">
        <f>F340+F348</f>
        <v>10224000</v>
      </c>
      <c r="G339" s="1907">
        <f t="shared" si="126"/>
        <v>5089628.3829999845</v>
      </c>
      <c r="H339" s="1907">
        <f t="shared" si="126"/>
        <v>3807958.1450000186</v>
      </c>
      <c r="I339" s="1907">
        <f t="shared" si="126"/>
        <v>3962434.5669999905</v>
      </c>
      <c r="J339" s="1907">
        <f t="shared" si="126"/>
        <v>4322454.6480000112</v>
      </c>
      <c r="K339" s="1907">
        <f t="shared" si="126"/>
        <v>-25871231.618999999</v>
      </c>
      <c r="L339" s="1907">
        <f t="shared" si="126"/>
        <v>-2928658.274000003</v>
      </c>
      <c r="M339" s="1907">
        <f t="shared" si="126"/>
        <v>156399.5289999955</v>
      </c>
      <c r="N339" s="1907">
        <f t="shared" si="126"/>
        <v>1008599.4859999963</v>
      </c>
      <c r="O339" s="1907">
        <f>O340+O348</f>
        <v>3982504.6940000029</v>
      </c>
      <c r="P339" s="1907">
        <f>P340+P348</f>
        <v>3940141.0959999915</v>
      </c>
      <c r="Q339" s="1907">
        <f t="shared" si="126"/>
        <v>2305304.6270000115</v>
      </c>
      <c r="R339" s="1907">
        <f t="shared" si="126"/>
        <v>9529949.7819999978</v>
      </c>
      <c r="S339" s="1980">
        <f>S340+S348</f>
        <v>9305485.0639999993</v>
      </c>
      <c r="T339" s="1852">
        <f t="shared" si="118"/>
        <v>-11617414.149999999</v>
      </c>
      <c r="U339" s="1852">
        <f t="shared" si="119"/>
        <v>-6469910.4410000043</v>
      </c>
      <c r="V339" s="1852">
        <f t="shared" si="120"/>
        <v>9305485.0639999993</v>
      </c>
      <c r="W339" s="1861">
        <f t="shared" si="123"/>
        <v>91.016090219092334</v>
      </c>
      <c r="X339" s="1862"/>
      <c r="Y339" s="2003"/>
      <c r="AA339" s="2008">
        <f t="shared" si="109"/>
        <v>9305.4850639999986</v>
      </c>
    </row>
    <row r="340" spans="1:27" s="1855" customFormat="1" ht="26.25">
      <c r="A340" s="1883" t="s">
        <v>285</v>
      </c>
      <c r="B340" s="1918" t="s">
        <v>606</v>
      </c>
      <c r="C340" s="1955" t="s">
        <v>692</v>
      </c>
      <c r="D340" s="1910">
        <f>D341+D344+D345+D346</f>
        <v>0</v>
      </c>
      <c r="E340" s="1912">
        <f>+E341+E346</f>
        <v>6611941.2239999995</v>
      </c>
      <c r="F340" s="2072">
        <f>+F341+F346</f>
        <v>0</v>
      </c>
      <c r="G340" s="1912">
        <f>G341+G344+G345+G346+G347</f>
        <v>-592415.55999999994</v>
      </c>
      <c r="H340" s="1912">
        <f t="shared" ref="H340:R340" si="127">H341+H344+H345+H346+H347</f>
        <v>49845.860000000037</v>
      </c>
      <c r="I340" s="1912">
        <f t="shared" si="127"/>
        <v>-6411390.1569999997</v>
      </c>
      <c r="J340" s="1912">
        <f t="shared" si="127"/>
        <v>-410931.82999999955</v>
      </c>
      <c r="K340" s="1912">
        <f>K341+K344+K345+K346+K347</f>
        <v>337577.85499999917</v>
      </c>
      <c r="L340" s="1912">
        <f t="shared" si="127"/>
        <v>5156933.4170000004</v>
      </c>
      <c r="M340" s="1912">
        <f t="shared" si="127"/>
        <v>490333.54200000007</v>
      </c>
      <c r="N340" s="1912">
        <f t="shared" si="127"/>
        <v>371043.15900000004</v>
      </c>
      <c r="O340" s="1912">
        <f t="shared" si="127"/>
        <v>-3414533.8130000001</v>
      </c>
      <c r="P340" s="1912">
        <f t="shared" si="127"/>
        <v>-2396688.6430000011</v>
      </c>
      <c r="Q340" s="1912">
        <f t="shared" si="127"/>
        <v>1207190.6349999998</v>
      </c>
      <c r="R340" s="1912">
        <f t="shared" si="127"/>
        <v>4319168.9640000006</v>
      </c>
      <c r="S340" s="1981">
        <f>S341+S344+S345+S346+S347</f>
        <v>-1293866.5709999993</v>
      </c>
      <c r="T340" s="1856">
        <f t="shared" si="118"/>
        <v>-1870380.4149999991</v>
      </c>
      <c r="U340" s="1856">
        <f t="shared" si="119"/>
        <v>-4423537.5269999988</v>
      </c>
      <c r="V340" s="1856">
        <f t="shared" si="120"/>
        <v>-1293866.5709999993</v>
      </c>
      <c r="W340" s="1853" t="e">
        <f t="shared" si="123"/>
        <v>#DIV/0!</v>
      </c>
      <c r="X340" s="1854"/>
      <c r="Y340" s="2003"/>
      <c r="AA340" s="2008">
        <f t="shared" si="109"/>
        <v>-1293.8665709999993</v>
      </c>
    </row>
    <row r="341" spans="1:27" s="1855" customFormat="1" ht="26.25">
      <c r="A341" s="1894" t="s">
        <v>693</v>
      </c>
      <c r="B341" s="1918" t="s">
        <v>3212</v>
      </c>
      <c r="C341" s="1955" t="s">
        <v>694</v>
      </c>
      <c r="D341" s="1910"/>
      <c r="E341" s="1912">
        <f>E342-E343</f>
        <v>1298631.5099999991</v>
      </c>
      <c r="F341" s="2072"/>
      <c r="G341" s="1912">
        <f t="shared" ref="G341:S341" si="128">G342-G343</f>
        <v>-369425.76499999996</v>
      </c>
      <c r="H341" s="1912">
        <f t="shared" si="128"/>
        <v>0</v>
      </c>
      <c r="I341" s="1912">
        <f t="shared" si="128"/>
        <v>0</v>
      </c>
      <c r="J341" s="1912">
        <f t="shared" si="128"/>
        <v>0</v>
      </c>
      <c r="K341" s="1912">
        <f t="shared" si="128"/>
        <v>0</v>
      </c>
      <c r="L341" s="1912">
        <f t="shared" si="128"/>
        <v>-369425.76499999996</v>
      </c>
      <c r="M341" s="1912">
        <f t="shared" si="128"/>
        <v>0</v>
      </c>
      <c r="N341" s="1912">
        <f t="shared" si="128"/>
        <v>0</v>
      </c>
      <c r="O341" s="1912">
        <f t="shared" si="128"/>
        <v>0</v>
      </c>
      <c r="P341" s="1912">
        <f t="shared" si="128"/>
        <v>0</v>
      </c>
      <c r="Q341" s="1912">
        <f t="shared" si="128"/>
        <v>-177523.8700000009</v>
      </c>
      <c r="R341" s="1912">
        <f t="shared" si="128"/>
        <v>-369425.76499999996</v>
      </c>
      <c r="S341" s="1981">
        <f t="shared" si="128"/>
        <v>-1285801.1650000007</v>
      </c>
      <c r="T341" s="1856">
        <f t="shared" si="118"/>
        <v>-738851.52999999991</v>
      </c>
      <c r="U341" s="1856">
        <f t="shared" si="119"/>
        <v>-738851.52999999991</v>
      </c>
      <c r="V341" s="1856">
        <f t="shared" si="120"/>
        <v>-1285801.1650000007</v>
      </c>
      <c r="W341" s="1853" t="e">
        <f t="shared" si="123"/>
        <v>#DIV/0!</v>
      </c>
      <c r="X341" s="1854"/>
      <c r="Y341" s="2003"/>
      <c r="AA341" s="2008">
        <f t="shared" si="109"/>
        <v>-1285.8011650000008</v>
      </c>
    </row>
    <row r="342" spans="1:27" s="1855" customFormat="1" ht="26.25">
      <c r="A342" s="1883" t="s">
        <v>749</v>
      </c>
      <c r="B342" s="1942"/>
      <c r="C342" s="1977" t="s">
        <v>3223</v>
      </c>
      <c r="D342" s="1910"/>
      <c r="E342" s="1912">
        <f>+[28]Tofe!$Q$99</f>
        <v>1298629.5099999991</v>
      </c>
      <c r="F342" s="2072"/>
      <c r="G342" s="1912">
        <f>+PNT!O127*1000</f>
        <v>-369425.76499999996</v>
      </c>
      <c r="H342" s="1912">
        <f>+PNT!P127*1000</f>
        <v>0</v>
      </c>
      <c r="I342" s="1912">
        <f>+PNT!Q127*1000</f>
        <v>0</v>
      </c>
      <c r="J342" s="1912">
        <f>+PNT!R127*1000</f>
        <v>0</v>
      </c>
      <c r="K342" s="1912">
        <f>+PNT!S127*1000</f>
        <v>0</v>
      </c>
      <c r="L342" s="1912">
        <f>+PNT!T127*1000</f>
        <v>-369425.76499999996</v>
      </c>
      <c r="M342" s="1912">
        <f>+PNT!U127*1000</f>
        <v>0</v>
      </c>
      <c r="N342" s="1912">
        <f>+PNT!V127*1000</f>
        <v>0</v>
      </c>
      <c r="O342" s="1912">
        <f>+PNT!W127*1000</f>
        <v>0</v>
      </c>
      <c r="P342" s="1912"/>
      <c r="Q342" s="1912">
        <f>+PNT!Y127*1000</f>
        <v>-177523.8700000009</v>
      </c>
      <c r="R342" s="1912">
        <f>+PNT!Z127*1000</f>
        <v>-369425.76499999996</v>
      </c>
      <c r="S342" s="1981">
        <f t="shared" ref="S342:S385" si="129">SUM(G342:R342)</f>
        <v>-1285801.1650000007</v>
      </c>
      <c r="T342" s="1856">
        <f t="shared" si="118"/>
        <v>-738851.52999999991</v>
      </c>
      <c r="U342" s="1856">
        <f t="shared" si="119"/>
        <v>-738851.52999999991</v>
      </c>
      <c r="V342" s="1856">
        <f t="shared" si="120"/>
        <v>-1285801.1650000007</v>
      </c>
      <c r="W342" s="1853" t="e">
        <f t="shared" si="123"/>
        <v>#DIV/0!</v>
      </c>
      <c r="X342" s="1854"/>
      <c r="Y342" s="2003"/>
      <c r="AA342" s="2008">
        <f t="shared" si="109"/>
        <v>-1285.8011650000008</v>
      </c>
    </row>
    <row r="343" spans="1:27" s="1855" customFormat="1" ht="23.25" hidden="1" customHeight="1">
      <c r="A343" s="1883" t="s">
        <v>696</v>
      </c>
      <c r="B343" s="1942"/>
      <c r="C343" s="1943" t="s">
        <v>697</v>
      </c>
      <c r="D343" s="1910"/>
      <c r="E343" s="1912">
        <v>-2</v>
      </c>
      <c r="F343" s="2072">
        <v>-2</v>
      </c>
      <c r="G343" s="1912">
        <v>0</v>
      </c>
      <c r="H343" s="1912">
        <v>0</v>
      </c>
      <c r="I343" s="1912">
        <v>0</v>
      </c>
      <c r="J343" s="1912">
        <v>0</v>
      </c>
      <c r="K343" s="1912">
        <v>0</v>
      </c>
      <c r="L343" s="1912">
        <v>0</v>
      </c>
      <c r="M343" s="1912">
        <v>0</v>
      </c>
      <c r="N343" s="1912">
        <v>0</v>
      </c>
      <c r="O343" s="1912">
        <v>0</v>
      </c>
      <c r="P343" s="1912">
        <v>0</v>
      </c>
      <c r="Q343" s="1912">
        <v>0</v>
      </c>
      <c r="R343" s="1912">
        <v>0</v>
      </c>
      <c r="S343" s="1981">
        <f t="shared" si="129"/>
        <v>0</v>
      </c>
      <c r="T343" s="1856">
        <f t="shared" si="118"/>
        <v>0</v>
      </c>
      <c r="U343" s="1856">
        <f t="shared" si="119"/>
        <v>0</v>
      </c>
      <c r="V343" s="1856">
        <f t="shared" si="120"/>
        <v>0</v>
      </c>
      <c r="W343" s="1853">
        <f t="shared" si="123"/>
        <v>0</v>
      </c>
      <c r="X343" s="1854"/>
      <c r="Y343" s="2003"/>
      <c r="AA343" s="2008">
        <f t="shared" si="109"/>
        <v>0</v>
      </c>
    </row>
    <row r="344" spans="1:27" s="1855" customFormat="1" ht="23.25" hidden="1" customHeight="1">
      <c r="A344" s="1895" t="s">
        <v>1363</v>
      </c>
      <c r="B344" s="1944"/>
      <c r="C344" s="1945" t="s">
        <v>1479</v>
      </c>
      <c r="D344" s="1910"/>
      <c r="E344" s="1912">
        <f>+PNT!M80*1000</f>
        <v>1105200</v>
      </c>
      <c r="F344" s="2072">
        <f>+PNT!N80*1000</f>
        <v>1105200</v>
      </c>
      <c r="G344" s="1912">
        <f>+PNT!O80*1000</f>
        <v>0</v>
      </c>
      <c r="H344" s="1912">
        <f>+PNT!P80*1000</f>
        <v>0</v>
      </c>
      <c r="I344" s="1912">
        <f>+PNT!Q80*1000</f>
        <v>0</v>
      </c>
      <c r="J344" s="1912">
        <f>+PNT!R80*1000</f>
        <v>0</v>
      </c>
      <c r="K344" s="1912">
        <f>+PNT!S80*1000</f>
        <v>0</v>
      </c>
      <c r="L344" s="1912">
        <f>+PNT!T80*1000</f>
        <v>0</v>
      </c>
      <c r="M344" s="1912">
        <f>+PNT!U80*1000</f>
        <v>0</v>
      </c>
      <c r="N344" s="1912">
        <f>+PNT!V80*1000</f>
        <v>0</v>
      </c>
      <c r="O344" s="1912">
        <f>+PNT!W80*1000</f>
        <v>0</v>
      </c>
      <c r="P344" s="1912"/>
      <c r="Q344" s="1912">
        <f>+PNT!Y80*1000</f>
        <v>0</v>
      </c>
      <c r="R344" s="1912">
        <f>+PNT!Z80*1000</f>
        <v>0</v>
      </c>
      <c r="S344" s="1981">
        <f t="shared" si="129"/>
        <v>0</v>
      </c>
      <c r="T344" s="1856">
        <f t="shared" si="118"/>
        <v>0</v>
      </c>
      <c r="U344" s="1856">
        <f t="shared" si="119"/>
        <v>0</v>
      </c>
      <c r="V344" s="1856">
        <f t="shared" si="120"/>
        <v>0</v>
      </c>
      <c r="W344" s="1853">
        <f t="shared" si="123"/>
        <v>0</v>
      </c>
      <c r="X344" s="1854"/>
      <c r="Y344" s="2003"/>
      <c r="AA344" s="2008">
        <f t="shared" si="109"/>
        <v>0</v>
      </c>
    </row>
    <row r="345" spans="1:27" s="1855" customFormat="1" ht="23.25" hidden="1" customHeight="1">
      <c r="A345" s="1895" t="s">
        <v>1364</v>
      </c>
      <c r="B345" s="1944"/>
      <c r="C345" s="1945" t="s">
        <v>698</v>
      </c>
      <c r="D345" s="1910"/>
      <c r="E345" s="1912">
        <f>+PNT!M81*1000</f>
        <v>5055300</v>
      </c>
      <c r="F345" s="2072">
        <f>+PNT!N81*1000</f>
        <v>5055300</v>
      </c>
      <c r="G345" s="1912">
        <f>+PNT!O81*1000</f>
        <v>0</v>
      </c>
      <c r="H345" s="1912">
        <f>+PNT!P81*1000</f>
        <v>0</v>
      </c>
      <c r="I345" s="1912">
        <f>+PNT!Q81*1000</f>
        <v>0</v>
      </c>
      <c r="J345" s="1912">
        <f>+PNT!R81*1000</f>
        <v>0</v>
      </c>
      <c r="K345" s="1912">
        <f>+PNT!S81*1000</f>
        <v>0</v>
      </c>
      <c r="L345" s="1912">
        <f>+PNT!T81*1000</f>
        <v>0</v>
      </c>
      <c r="M345" s="1912">
        <f>+PNT!U81*1000</f>
        <v>0</v>
      </c>
      <c r="N345" s="1912">
        <f>+PNT!V81*1000</f>
        <v>0</v>
      </c>
      <c r="O345" s="1912">
        <f>+PNT!W81*1000</f>
        <v>0</v>
      </c>
      <c r="P345" s="1912"/>
      <c r="Q345" s="1912">
        <f>+PNT!Y81*1000</f>
        <v>0</v>
      </c>
      <c r="R345" s="1912">
        <f>+PNT!Z81*1000</f>
        <v>0</v>
      </c>
      <c r="S345" s="1981">
        <f t="shared" si="129"/>
        <v>0</v>
      </c>
      <c r="T345" s="1856">
        <f t="shared" si="118"/>
        <v>0</v>
      </c>
      <c r="U345" s="1856">
        <f t="shared" si="119"/>
        <v>0</v>
      </c>
      <c r="V345" s="1856">
        <f t="shared" si="120"/>
        <v>0</v>
      </c>
      <c r="W345" s="1853">
        <f t="shared" si="123"/>
        <v>0</v>
      </c>
      <c r="X345" s="1854"/>
      <c r="Y345" s="2003"/>
      <c r="AA345" s="2008">
        <f t="shared" si="109"/>
        <v>0</v>
      </c>
    </row>
    <row r="346" spans="1:27" s="1855" customFormat="1" ht="26.25">
      <c r="A346" s="1895" t="s">
        <v>1365</v>
      </c>
      <c r="B346" s="1944"/>
      <c r="C346" s="1975" t="s">
        <v>700</v>
      </c>
      <c r="D346" s="1910"/>
      <c r="E346" s="1912">
        <f>+[28]Tofe!$Q$103</f>
        <v>5313309.7140000006</v>
      </c>
      <c r="F346" s="2072"/>
      <c r="G346" s="1912">
        <f>-(PNT!O4+PNT!O5)*1000</f>
        <v>-222989.79500000001</v>
      </c>
      <c r="H346" s="1912">
        <f>-(PNT!P5+PNT!P4)*1000</f>
        <v>49845.860000000037</v>
      </c>
      <c r="I346" s="1912">
        <f>-(PNT!Q5+PNT!Q4)*1000</f>
        <v>-6411390.1569999997</v>
      </c>
      <c r="J346" s="1912">
        <f>-(PNT!R5+PNT!R4)*1000</f>
        <v>-410931.82999999955</v>
      </c>
      <c r="K346" s="1912">
        <f>-(PNT!S5+PNT!S4)*1000</f>
        <v>337577.85499999917</v>
      </c>
      <c r="L346" s="1912">
        <f>-(PNT!T5+PNT!T4)*1000</f>
        <v>5526359.182</v>
      </c>
      <c r="M346" s="1912">
        <f>-(PNT!U5+PNT!U4)*1000</f>
        <v>490333.54200000007</v>
      </c>
      <c r="N346" s="1912">
        <f>-(PNT!V5+PNT!V4)*1000</f>
        <v>371043.15900000004</v>
      </c>
      <c r="O346" s="1912">
        <f>-(PNT!W5+PNT!W4)*1000</f>
        <v>-3414533.8130000001</v>
      </c>
      <c r="P346" s="1912">
        <f>-(PNT!X5+PNT!X4)*1000</f>
        <v>-2396688.6430000011</v>
      </c>
      <c r="Q346" s="1912">
        <f>-(PNT!Y5+PNT!Y4)*1000</f>
        <v>1384714.5050000006</v>
      </c>
      <c r="R346" s="1912">
        <f>-(PNT!Z5+PNT!Z4)*1000</f>
        <v>4688594.7290000003</v>
      </c>
      <c r="S346" s="1981">
        <f>SUM(G346:R346)</f>
        <v>-8065.405999998562</v>
      </c>
      <c r="T346" s="1856">
        <f t="shared" si="118"/>
        <v>-1131528.8849999988</v>
      </c>
      <c r="U346" s="1856">
        <f>SUM(G346:O346)</f>
        <v>-3684685.9969999986</v>
      </c>
      <c r="V346" s="1856">
        <f t="shared" si="120"/>
        <v>-8065.405999998562</v>
      </c>
      <c r="W346" s="1853" t="e">
        <f t="shared" si="123"/>
        <v>#DIV/0!</v>
      </c>
      <c r="X346" s="1854"/>
      <c r="Y346" s="2003"/>
      <c r="AA346" s="2008">
        <f t="shared" si="109"/>
        <v>-8.0654059999985623</v>
      </c>
    </row>
    <row r="347" spans="1:27" s="1855" customFormat="1" ht="23.25" hidden="1" customHeight="1">
      <c r="A347" s="1895" t="s">
        <v>701</v>
      </c>
      <c r="B347" s="1944"/>
      <c r="C347" s="1945" t="s">
        <v>702</v>
      </c>
      <c r="D347" s="1910"/>
      <c r="E347" s="1912"/>
      <c r="F347" s="2072"/>
      <c r="G347" s="1912"/>
      <c r="H347" s="1912"/>
      <c r="I347" s="1912"/>
      <c r="J347" s="1912"/>
      <c r="K347" s="1912"/>
      <c r="L347" s="1912"/>
      <c r="M347" s="1912"/>
      <c r="N347" s="1912"/>
      <c r="O347" s="1912"/>
      <c r="P347" s="1912"/>
      <c r="Q347" s="1912"/>
      <c r="R347" s="1912"/>
      <c r="S347" s="1981">
        <f t="shared" si="129"/>
        <v>0</v>
      </c>
      <c r="T347" s="1856">
        <f t="shared" si="118"/>
        <v>0</v>
      </c>
      <c r="U347" s="1856">
        <f t="shared" si="119"/>
        <v>0</v>
      </c>
      <c r="V347" s="1856">
        <f t="shared" si="120"/>
        <v>0</v>
      </c>
      <c r="W347" s="1853" t="e">
        <f t="shared" si="123"/>
        <v>#DIV/0!</v>
      </c>
      <c r="X347" s="1854"/>
      <c r="Y347" s="2003"/>
      <c r="AA347" s="2008">
        <f t="shared" si="109"/>
        <v>0</v>
      </c>
    </row>
    <row r="348" spans="1:27" s="1855" customFormat="1" ht="26.25">
      <c r="A348" s="1883" t="s">
        <v>624</v>
      </c>
      <c r="B348" s="1957" t="s">
        <v>623</v>
      </c>
      <c r="C348" s="1909" t="s">
        <v>625</v>
      </c>
      <c r="D348" s="1910">
        <f>D349+D352+D353+D354+D355+D356+D357</f>
        <v>0</v>
      </c>
      <c r="E348" s="1912">
        <f>+E349+E354</f>
        <v>10988064.748999991</v>
      </c>
      <c r="F348" s="2072">
        <f>+F349+F354</f>
        <v>10224000</v>
      </c>
      <c r="G348" s="1912">
        <f>G349+G352+G353+G354+G355+G356+G357</f>
        <v>5682043.9429999841</v>
      </c>
      <c r="H348" s="1912">
        <f>H349+H352+H353+H354+H355+H356+H357</f>
        <v>3758112.2850000188</v>
      </c>
      <c r="I348" s="1912">
        <f t="shared" ref="I348:R348" si="130">I349+I352+I353+I354</f>
        <v>10373824.72399999</v>
      </c>
      <c r="J348" s="1912">
        <f t="shared" si="130"/>
        <v>4733386.4780000104</v>
      </c>
      <c r="K348" s="1912">
        <f t="shared" si="130"/>
        <v>-26208809.473999999</v>
      </c>
      <c r="L348" s="1912">
        <f t="shared" si="130"/>
        <v>-8085591.6910000034</v>
      </c>
      <c r="M348" s="1912">
        <f t="shared" si="130"/>
        <v>-333934.01300000458</v>
      </c>
      <c r="N348" s="1912">
        <f t="shared" si="130"/>
        <v>637556.32699999621</v>
      </c>
      <c r="O348" s="1912">
        <f t="shared" si="130"/>
        <v>7397038.507000003</v>
      </c>
      <c r="P348" s="1912">
        <f>P349+P352+P353+P354</f>
        <v>6336829.7389999926</v>
      </c>
      <c r="Q348" s="1912">
        <f>Q349+Q352+Q353+Q354</f>
        <v>1098113.9920000117</v>
      </c>
      <c r="R348" s="1912">
        <f t="shared" si="130"/>
        <v>5210780.8179999981</v>
      </c>
      <c r="S348" s="1981">
        <f t="shared" si="129"/>
        <v>10599351.634999998</v>
      </c>
      <c r="T348" s="1856">
        <f t="shared" si="118"/>
        <v>-9747033.7349999994</v>
      </c>
      <c r="U348" s="1856">
        <f t="shared" si="119"/>
        <v>-2046372.9140000045</v>
      </c>
      <c r="V348" s="1856">
        <f t="shared" si="120"/>
        <v>10599351.634999998</v>
      </c>
      <c r="W348" s="1853">
        <f t="shared" si="123"/>
        <v>103.67127968505476</v>
      </c>
      <c r="X348" s="1854"/>
      <c r="Y348" s="2003"/>
      <c r="AA348" s="2008">
        <f t="shared" si="109"/>
        <v>10599.351634999997</v>
      </c>
    </row>
    <row r="349" spans="1:27" s="1855" customFormat="1" ht="26.25">
      <c r="A349" s="1896" t="s">
        <v>1360</v>
      </c>
      <c r="B349" s="1918"/>
      <c r="C349" s="1922" t="s">
        <v>1641</v>
      </c>
      <c r="D349" s="1910">
        <v>0</v>
      </c>
      <c r="E349" s="1912">
        <f>SUM(E350:E351)</f>
        <v>-7166384.2410000004</v>
      </c>
      <c r="F349" s="2072">
        <f>SUM(F350:F351)</f>
        <v>0</v>
      </c>
      <c r="G349" s="1912">
        <f t="shared" ref="G349:R349" si="131">SUM(G350:G351)</f>
        <v>5800171.9780000001</v>
      </c>
      <c r="H349" s="1912">
        <f t="shared" si="131"/>
        <v>387773.61599999992</v>
      </c>
      <c r="I349" s="1912">
        <f t="shared" si="131"/>
        <v>642161.63000000012</v>
      </c>
      <c r="J349" s="1912">
        <f t="shared" si="131"/>
        <v>531457.60699999984</v>
      </c>
      <c r="K349" s="1912">
        <f t="shared" si="131"/>
        <v>-662132.82900000014</v>
      </c>
      <c r="L349" s="1912">
        <f t="shared" si="131"/>
        <v>-1586841.5550000002</v>
      </c>
      <c r="M349" s="1912">
        <f t="shared" si="131"/>
        <v>545402.68000000017</v>
      </c>
      <c r="N349" s="1912">
        <f t="shared" si="131"/>
        <v>1320097.1960000002</v>
      </c>
      <c r="O349" s="1912">
        <f t="shared" si="131"/>
        <v>258551.04999999993</v>
      </c>
      <c r="P349" s="1912">
        <f>SUM(P350:P351)</f>
        <v>22170.612000000117</v>
      </c>
      <c r="Q349" s="1912">
        <f>SUM(Q350:Q351)</f>
        <v>33952.612999999925</v>
      </c>
      <c r="R349" s="1912">
        <f t="shared" si="131"/>
        <v>-4631442.0459999982</v>
      </c>
      <c r="S349" s="1981">
        <f t="shared" si="129"/>
        <v>2661322.552000002</v>
      </c>
      <c r="T349" s="1856">
        <f t="shared" si="118"/>
        <v>5112590.4470000006</v>
      </c>
      <c r="U349" s="1856">
        <f t="shared" si="119"/>
        <v>7236641.3730000006</v>
      </c>
      <c r="V349" s="1856">
        <f t="shared" si="120"/>
        <v>2661322.552000002</v>
      </c>
      <c r="W349" s="1853" t="e">
        <f t="shared" si="123"/>
        <v>#DIV/0!</v>
      </c>
      <c r="X349" s="1854"/>
      <c r="Y349" s="2003"/>
      <c r="AA349" s="2008">
        <f t="shared" si="109"/>
        <v>2661.3225520000019</v>
      </c>
    </row>
    <row r="350" spans="1:27" s="1855" customFormat="1" ht="26.25">
      <c r="A350" s="1895" t="s">
        <v>1359</v>
      </c>
      <c r="B350" s="1920"/>
      <c r="C350" s="1913" t="s">
        <v>1639</v>
      </c>
      <c r="D350" s="1910">
        <v>0</v>
      </c>
      <c r="E350" s="1912">
        <f>+[28]Tofe!$Q$107</f>
        <v>-7166384.2410000004</v>
      </c>
      <c r="F350" s="2072"/>
      <c r="G350" s="1912">
        <f>-PNT!O19*1000</f>
        <v>5800171.9780000001</v>
      </c>
      <c r="H350" s="1912">
        <f>-PNT!P19*1000</f>
        <v>387773.61599999992</v>
      </c>
      <c r="I350" s="1912">
        <f>-PNT!Q19*1000</f>
        <v>642161.63000000012</v>
      </c>
      <c r="J350" s="1912">
        <f>-PNT!R19*1000</f>
        <v>531457.60699999984</v>
      </c>
      <c r="K350" s="1912">
        <f>-PNT!S19*1000</f>
        <v>-662132.82900000014</v>
      </c>
      <c r="L350" s="1912">
        <f>-PNT!T19*1000</f>
        <v>-1586841.5550000002</v>
      </c>
      <c r="M350" s="1912">
        <f>-PNT!U19*1000</f>
        <v>545402.68000000017</v>
      </c>
      <c r="N350" s="1912">
        <f>-PNT!V19*1000</f>
        <v>1320097.1960000002</v>
      </c>
      <c r="O350" s="1912">
        <f>-PNT!W19*1000</f>
        <v>258551.04999999993</v>
      </c>
      <c r="P350" s="1912">
        <f>-PNT!X19*1000</f>
        <v>22170.612000000117</v>
      </c>
      <c r="Q350" s="1912">
        <f>-PNT!Y19*1000</f>
        <v>33952.612999999925</v>
      </c>
      <c r="R350" s="1912">
        <f>-PNT!Z19*1000</f>
        <v>-4631442.0459999982</v>
      </c>
      <c r="S350" s="1981">
        <f t="shared" si="129"/>
        <v>2661322.552000002</v>
      </c>
      <c r="T350" s="1856">
        <f t="shared" si="118"/>
        <v>5112590.4470000006</v>
      </c>
      <c r="U350" s="1856">
        <f t="shared" si="119"/>
        <v>7236641.3730000006</v>
      </c>
      <c r="V350" s="1856">
        <f t="shared" si="120"/>
        <v>2661322.552000002</v>
      </c>
      <c r="W350" s="1853" t="e">
        <f t="shared" si="123"/>
        <v>#DIV/0!</v>
      </c>
      <c r="X350" s="1854"/>
      <c r="Y350" s="2003"/>
      <c r="AA350" s="2008">
        <f t="shared" si="109"/>
        <v>2661.3225520000019</v>
      </c>
    </row>
    <row r="351" spans="1:27" s="1855" customFormat="1" ht="23.25" hidden="1" customHeight="1">
      <c r="A351" s="1895" t="s">
        <v>1361</v>
      </c>
      <c r="B351" s="1920"/>
      <c r="C351" s="1947" t="s">
        <v>1640</v>
      </c>
      <c r="D351" s="1910">
        <v>0</v>
      </c>
      <c r="E351" s="1912">
        <f>+PNT!M70*1000</f>
        <v>0</v>
      </c>
      <c r="F351" s="2072">
        <f>+PNT!N70*1000</f>
        <v>0</v>
      </c>
      <c r="G351" s="1912">
        <f>+PNT!O70*1000</f>
        <v>0</v>
      </c>
      <c r="H351" s="1912">
        <f>+PNT!P70*1000</f>
        <v>0</v>
      </c>
      <c r="I351" s="1912">
        <f>+PNT!Q70*1000</f>
        <v>0</v>
      </c>
      <c r="J351" s="1912">
        <f>+PNT!R70*1000</f>
        <v>0</v>
      </c>
      <c r="K351" s="1912">
        <f>+PNT!S70*1000</f>
        <v>0</v>
      </c>
      <c r="L351" s="1912">
        <f>+PNT!T70*1000</f>
        <v>0</v>
      </c>
      <c r="M351" s="1912">
        <f>+PNT!U70*1000</f>
        <v>0</v>
      </c>
      <c r="N351" s="1912">
        <f>+PNT!V70*1000</f>
        <v>0</v>
      </c>
      <c r="O351" s="1912">
        <f>+PNT!W70*1000</f>
        <v>0</v>
      </c>
      <c r="P351" s="1912">
        <f>+PNT!X70*1000</f>
        <v>0</v>
      </c>
      <c r="Q351" s="1912">
        <f>+PNT!Y70*1000</f>
        <v>0</v>
      </c>
      <c r="R351" s="1912">
        <f>+PNT!Z70*1000</f>
        <v>0</v>
      </c>
      <c r="S351" s="1981">
        <f t="shared" si="129"/>
        <v>0</v>
      </c>
      <c r="T351" s="1856">
        <f t="shared" si="118"/>
        <v>0</v>
      </c>
      <c r="U351" s="1856">
        <f t="shared" si="119"/>
        <v>0</v>
      </c>
      <c r="V351" s="1856">
        <f t="shared" si="120"/>
        <v>0</v>
      </c>
      <c r="W351" s="1853" t="e">
        <f t="shared" si="123"/>
        <v>#DIV/0!</v>
      </c>
      <c r="X351" s="1854"/>
      <c r="Y351" s="2003"/>
      <c r="AA351" s="2008">
        <f t="shared" si="109"/>
        <v>0</v>
      </c>
    </row>
    <row r="352" spans="1:27" s="1855" customFormat="1" ht="23.25" hidden="1" customHeight="1">
      <c r="A352" s="1896" t="s">
        <v>1362</v>
      </c>
      <c r="B352" s="1958"/>
      <c r="C352" s="1948" t="s">
        <v>704</v>
      </c>
      <c r="D352" s="1949"/>
      <c r="E352" s="1995" t="e">
        <f>-'Fin-Int'!A11</f>
        <v>#VALUE!</v>
      </c>
      <c r="F352" s="2079">
        <f>-'Fin-Int'!B11</f>
        <v>0</v>
      </c>
      <c r="G352" s="1995">
        <f>-'Fin-Int'!C11</f>
        <v>0</v>
      </c>
      <c r="H352" s="1995">
        <f>-'Fin-Int'!D11</f>
        <v>0</v>
      </c>
      <c r="I352" s="1995">
        <f>-'Fin-Int'!E11</f>
        <v>0</v>
      </c>
      <c r="J352" s="1995">
        <f>-'Fin-Int'!F11</f>
        <v>0</v>
      </c>
      <c r="K352" s="1995">
        <f>-'Fin-Int'!G11</f>
        <v>0</v>
      </c>
      <c r="L352" s="1995">
        <f>-'Fin-Int'!H11</f>
        <v>0</v>
      </c>
      <c r="M352" s="1995">
        <f>-'Fin-Int'!I11</f>
        <v>0</v>
      </c>
      <c r="N352" s="1995">
        <f>-'Fin-Int'!J11</f>
        <v>0</v>
      </c>
      <c r="O352" s="1995">
        <f>-'Fin-Int'!K11</f>
        <v>0</v>
      </c>
      <c r="P352" s="1995">
        <f>-'Fin-Int'!L11</f>
        <v>0</v>
      </c>
      <c r="Q352" s="1995">
        <f>-'Fin-Int'!M11</f>
        <v>0</v>
      </c>
      <c r="R352" s="1995">
        <f>-'Fin-Int'!N11</f>
        <v>0</v>
      </c>
      <c r="S352" s="1981">
        <f t="shared" si="129"/>
        <v>0</v>
      </c>
      <c r="T352" s="1856">
        <f t="shared" si="118"/>
        <v>0</v>
      </c>
      <c r="U352" s="1856">
        <f t="shared" si="119"/>
        <v>0</v>
      </c>
      <c r="V352" s="1856">
        <f t="shared" si="120"/>
        <v>0</v>
      </c>
      <c r="W352" s="1853" t="e">
        <f t="shared" si="123"/>
        <v>#DIV/0!</v>
      </c>
      <c r="X352" s="1854"/>
      <c r="Y352" s="2003"/>
      <c r="AA352" s="2008">
        <f t="shared" si="109"/>
        <v>0</v>
      </c>
    </row>
    <row r="353" spans="1:28" s="1855" customFormat="1" ht="23.25" hidden="1" customHeight="1">
      <c r="A353" s="1895" t="s">
        <v>1366</v>
      </c>
      <c r="B353" s="1918"/>
      <c r="C353" s="1946" t="s">
        <v>1642</v>
      </c>
      <c r="D353" s="1910">
        <v>0</v>
      </c>
      <c r="E353" s="1912">
        <f>-PNT!M71*1000</f>
        <v>0</v>
      </c>
      <c r="F353" s="2072">
        <f>-PNT!N71*1000</f>
        <v>0</v>
      </c>
      <c r="G353" s="1912">
        <f>-PNT!O71*1000</f>
        <v>0</v>
      </c>
      <c r="H353" s="1912">
        <f>-PNT!P71*1000</f>
        <v>0</v>
      </c>
      <c r="I353" s="1912">
        <f>-PNT!Q71*1000</f>
        <v>0</v>
      </c>
      <c r="J353" s="1912">
        <f>-PNT!R71*1000</f>
        <v>0</v>
      </c>
      <c r="K353" s="1912">
        <f>-PNT!S71*1000</f>
        <v>0</v>
      </c>
      <c r="L353" s="1912">
        <f>-PNT!T71*1000</f>
        <v>0</v>
      </c>
      <c r="M353" s="1912">
        <f>-PNT!U71*1000</f>
        <v>0</v>
      </c>
      <c r="N353" s="1912">
        <f>-PNT!V71*1000</f>
        <v>0</v>
      </c>
      <c r="O353" s="1912">
        <f>-PNT!W71*1000</f>
        <v>0</v>
      </c>
      <c r="P353" s="1912">
        <f>-PNT!X71*1000</f>
        <v>0</v>
      </c>
      <c r="Q353" s="1912">
        <f>-PNT!Y71*1000</f>
        <v>0</v>
      </c>
      <c r="R353" s="1912">
        <f>-PNT!Z71*1000</f>
        <v>0</v>
      </c>
      <c r="S353" s="1981">
        <f t="shared" si="129"/>
        <v>0</v>
      </c>
      <c r="T353" s="1856">
        <f t="shared" si="118"/>
        <v>0</v>
      </c>
      <c r="U353" s="1856">
        <f t="shared" si="119"/>
        <v>0</v>
      </c>
      <c r="V353" s="1856">
        <f t="shared" si="120"/>
        <v>0</v>
      </c>
      <c r="W353" s="1853" t="e">
        <f t="shared" si="123"/>
        <v>#DIV/0!</v>
      </c>
      <c r="X353" s="1854"/>
      <c r="Y353" s="2003"/>
      <c r="AA353" s="2008">
        <f t="shared" si="109"/>
        <v>0</v>
      </c>
    </row>
    <row r="354" spans="1:28" s="1855" customFormat="1" ht="26.25">
      <c r="A354" s="1883" t="s">
        <v>1367</v>
      </c>
      <c r="B354" s="1918"/>
      <c r="C354" s="1922" t="s">
        <v>1647</v>
      </c>
      <c r="D354" s="1910">
        <v>0</v>
      </c>
      <c r="E354" s="1912">
        <f>+E358+E359</f>
        <v>18154448.989999991</v>
      </c>
      <c r="F354" s="2072">
        <f>+F358+F359</f>
        <v>10224000</v>
      </c>
      <c r="G354" s="1912">
        <f>+G358+G359</f>
        <v>-118128.0350000161</v>
      </c>
      <c r="H354" s="1912">
        <f t="shared" ref="H354:R354" si="132">+H358+H359</f>
        <v>3370338.6690000189</v>
      </c>
      <c r="I354" s="1912">
        <f t="shared" si="132"/>
        <v>9731663.0939999893</v>
      </c>
      <c r="J354" s="1912">
        <f t="shared" si="132"/>
        <v>4201928.8710000105</v>
      </c>
      <c r="K354" s="1912">
        <f t="shared" si="132"/>
        <v>-25546676.645</v>
      </c>
      <c r="L354" s="1912">
        <f t="shared" si="132"/>
        <v>-6498750.1360000027</v>
      </c>
      <c r="M354" s="1912">
        <f t="shared" si="132"/>
        <v>-879336.69300000474</v>
      </c>
      <c r="N354" s="1912">
        <f t="shared" si="132"/>
        <v>-682540.86900000402</v>
      </c>
      <c r="O354" s="1912">
        <f t="shared" si="132"/>
        <v>7138487.4570000032</v>
      </c>
      <c r="P354" s="1912">
        <f t="shared" si="132"/>
        <v>6314659.1269999929</v>
      </c>
      <c r="Q354" s="1912">
        <f t="shared" si="132"/>
        <v>1064161.3790000118</v>
      </c>
      <c r="R354" s="1912">
        <f t="shared" si="132"/>
        <v>9842222.8639999963</v>
      </c>
      <c r="S354" s="1981">
        <f t="shared" si="129"/>
        <v>7938029.0829999931</v>
      </c>
      <c r="T354" s="1856">
        <f t="shared" si="118"/>
        <v>-14859624.182</v>
      </c>
      <c r="U354" s="1856">
        <f t="shared" si="119"/>
        <v>-9283014.2870000079</v>
      </c>
      <c r="V354" s="1856">
        <f t="shared" si="120"/>
        <v>7938029.0829999931</v>
      </c>
      <c r="W354" s="1853">
        <f t="shared" si="123"/>
        <v>77.641129528560185</v>
      </c>
      <c r="X354" s="1854"/>
      <c r="Y354" s="2003"/>
      <c r="AA354" s="2008">
        <f t="shared" si="109"/>
        <v>7938.0290829999931</v>
      </c>
    </row>
    <row r="355" spans="1:28" s="1855" customFormat="1" ht="23.25" hidden="1" customHeight="1">
      <c r="A355" s="1895" t="s">
        <v>705</v>
      </c>
      <c r="B355" s="1918"/>
      <c r="C355" s="1946" t="s">
        <v>1648</v>
      </c>
      <c r="D355" s="1910">
        <v>0</v>
      </c>
      <c r="E355" s="1912">
        <f>-PNT!M126*1000</f>
        <v>0</v>
      </c>
      <c r="F355" s="2072">
        <f>-PNT!N126*1000</f>
        <v>0</v>
      </c>
      <c r="G355" s="1912">
        <f>-PNT!O126*1000</f>
        <v>0</v>
      </c>
      <c r="H355" s="1912">
        <f>-PNT!P126*1000</f>
        <v>0</v>
      </c>
      <c r="I355" s="1912">
        <f>-PNT!Q126*1000</f>
        <v>0</v>
      </c>
      <c r="J355" s="1912">
        <f>-PNT!R126*1000</f>
        <v>0</v>
      </c>
      <c r="K355" s="1912">
        <f>-PNT!S126*1000</f>
        <v>0</v>
      </c>
      <c r="L355" s="1912">
        <f>-PNT!T126*1000</f>
        <v>0</v>
      </c>
      <c r="M355" s="1912">
        <f>-PNT!U126*1000</f>
        <v>0</v>
      </c>
      <c r="N355" s="1912">
        <f>-PNT!V126*1000</f>
        <v>0</v>
      </c>
      <c r="O355" s="1912">
        <f>-PNT!W126*1000</f>
        <v>0</v>
      </c>
      <c r="P355" s="1912">
        <f>-PNT!X126*1000</f>
        <v>0</v>
      </c>
      <c r="Q355" s="1912">
        <f>-PNT!Y126*1000</f>
        <v>0</v>
      </c>
      <c r="R355" s="1912">
        <f>-PNT!Z126*1000</f>
        <v>0</v>
      </c>
      <c r="S355" s="1981">
        <f t="shared" si="129"/>
        <v>0</v>
      </c>
      <c r="T355" s="1856">
        <f t="shared" si="118"/>
        <v>0</v>
      </c>
      <c r="U355" s="1856">
        <f t="shared" si="119"/>
        <v>0</v>
      </c>
      <c r="V355" s="1856">
        <f t="shared" si="120"/>
        <v>0</v>
      </c>
      <c r="W355" s="1853" t="e">
        <f t="shared" si="123"/>
        <v>#DIV/0!</v>
      </c>
      <c r="X355" s="1854"/>
      <c r="Y355" s="2003"/>
      <c r="AA355" s="2008">
        <f t="shared" si="109"/>
        <v>0</v>
      </c>
    </row>
    <row r="356" spans="1:28" s="1855" customFormat="1" ht="23.25" hidden="1" customHeight="1">
      <c r="A356" s="1895" t="s">
        <v>706</v>
      </c>
      <c r="B356" s="1918"/>
      <c r="C356" s="1946" t="s">
        <v>707</v>
      </c>
      <c r="D356" s="1910">
        <v>0</v>
      </c>
      <c r="E356" s="1912">
        <f>-PNT!M129*1000</f>
        <v>0</v>
      </c>
      <c r="F356" s="2072">
        <f>-PNT!N129*1000</f>
        <v>0</v>
      </c>
      <c r="G356" s="1912">
        <f>-PNT!O129*1000</f>
        <v>0</v>
      </c>
      <c r="H356" s="1912">
        <f>-PNT!P129*1000</f>
        <v>0</v>
      </c>
      <c r="I356" s="1912">
        <f>-PNT!Q129*1000</f>
        <v>0</v>
      </c>
      <c r="J356" s="1912">
        <f>-PNT!R129*1000</f>
        <v>0</v>
      </c>
      <c r="K356" s="1912">
        <f>-PNT!S129*1000</f>
        <v>0</v>
      </c>
      <c r="L356" s="1912">
        <f>-PNT!T129*1000</f>
        <v>0</v>
      </c>
      <c r="M356" s="1912">
        <f>-PNT!U129*1000</f>
        <v>0</v>
      </c>
      <c r="N356" s="1912">
        <f>-PNT!V129*1000</f>
        <v>0</v>
      </c>
      <c r="O356" s="1912">
        <f>-PNT!W129*1000</f>
        <v>0</v>
      </c>
      <c r="P356" s="1912">
        <f>-PNT!X129*1000</f>
        <v>0</v>
      </c>
      <c r="Q356" s="1912">
        <f>-PNT!Y129*1000</f>
        <v>0</v>
      </c>
      <c r="R356" s="1912">
        <f>-PNT!Z129*1000</f>
        <v>0</v>
      </c>
      <c r="S356" s="1981">
        <f t="shared" si="129"/>
        <v>0</v>
      </c>
      <c r="T356" s="1856">
        <f t="shared" si="118"/>
        <v>0</v>
      </c>
      <c r="U356" s="1856">
        <f t="shared" si="119"/>
        <v>0</v>
      </c>
      <c r="V356" s="1856">
        <f t="shared" si="120"/>
        <v>0</v>
      </c>
      <c r="W356" s="1853" t="e">
        <f t="shared" si="123"/>
        <v>#DIV/0!</v>
      </c>
      <c r="X356" s="1854"/>
      <c r="Y356" s="2003"/>
      <c r="AA356" s="2008">
        <f t="shared" si="109"/>
        <v>0</v>
      </c>
    </row>
    <row r="357" spans="1:28" s="1855" customFormat="1" ht="23.25" hidden="1" customHeight="1">
      <c r="A357" s="1895" t="s">
        <v>708</v>
      </c>
      <c r="B357" s="1918"/>
      <c r="C357" s="1946" t="s">
        <v>1650</v>
      </c>
      <c r="D357" s="1910">
        <v>0</v>
      </c>
      <c r="E357" s="1912">
        <f>-PNT!M128*1000</f>
        <v>0</v>
      </c>
      <c r="F357" s="2072">
        <f>-PNT!N128*1000</f>
        <v>0</v>
      </c>
      <c r="G357" s="1912">
        <f>-PNT!O128*1000</f>
        <v>0</v>
      </c>
      <c r="H357" s="1912">
        <f>-PNT!P128*1000</f>
        <v>0</v>
      </c>
      <c r="I357" s="1912">
        <f>-PNT!Q128*1000</f>
        <v>0</v>
      </c>
      <c r="J357" s="1912">
        <f>-PNT!R128*1000</f>
        <v>0</v>
      </c>
      <c r="K357" s="1912">
        <f>-PNT!S128*1000</f>
        <v>0</v>
      </c>
      <c r="L357" s="1912">
        <f>-PNT!T128*1000</f>
        <v>0</v>
      </c>
      <c r="M357" s="1912">
        <f>-PNT!U128*1000</f>
        <v>0</v>
      </c>
      <c r="N357" s="1912">
        <f>-PNT!V128*1000</f>
        <v>0</v>
      </c>
      <c r="O357" s="1912">
        <f>-PNT!W128*1000</f>
        <v>0</v>
      </c>
      <c r="P357" s="1912">
        <f>-PNT!X128*1000</f>
        <v>0</v>
      </c>
      <c r="Q357" s="1912">
        <f>-PNT!Y128*1000</f>
        <v>0</v>
      </c>
      <c r="R357" s="1912">
        <f>-PNT!Z128*1000</f>
        <v>0</v>
      </c>
      <c r="S357" s="1981">
        <f t="shared" si="129"/>
        <v>0</v>
      </c>
      <c r="T357" s="1856">
        <f t="shared" si="118"/>
        <v>0</v>
      </c>
      <c r="U357" s="1856">
        <f t="shared" si="119"/>
        <v>0</v>
      </c>
      <c r="V357" s="1856">
        <f t="shared" si="120"/>
        <v>0</v>
      </c>
      <c r="W357" s="1853" t="e">
        <f t="shared" si="123"/>
        <v>#DIV/0!</v>
      </c>
      <c r="X357" s="1854"/>
      <c r="Y357" s="2003"/>
      <c r="AA357" s="2008">
        <f t="shared" si="109"/>
        <v>0</v>
      </c>
    </row>
    <row r="358" spans="1:28" s="1855" customFormat="1" ht="23.25" customHeight="1">
      <c r="A358" s="1895"/>
      <c r="B358" s="1918"/>
      <c r="C358" s="1914" t="s">
        <v>3231</v>
      </c>
      <c r="D358" s="1910"/>
      <c r="E358" s="1912">
        <f>+[28]Tofe!$Q$111-((([28]PNT!$N$107+[28]PNT!$N$112)-([28]PNT!$B$112+[28]PNT!$B$107))*1000)</f>
        <v>7668068.9899999909</v>
      </c>
      <c r="F358" s="2072">
        <v>-5700000</v>
      </c>
      <c r="G358" s="1912">
        <f>+Tofe!F199-((PNT!O113+PNT!O118)*1000)</f>
        <v>-118128.0350000161</v>
      </c>
      <c r="H358" s="1912">
        <f>+Tofe!G199-((PNT!P113+PNT!P118)*1000)</f>
        <v>3712338.6690000189</v>
      </c>
      <c r="I358" s="1912">
        <f>+Tofe!H199-((PNT!Q113+PNT!Q118)*1000)</f>
        <v>3165233.0939999893</v>
      </c>
      <c r="J358" s="1912">
        <f>+Tofe!I199-((PNT!R113+PNT!R118)*1000)</f>
        <v>913928.87100001052</v>
      </c>
      <c r="K358" s="1912">
        <f>+Tofe!J199-((PNT!S113+PNT!S118)*1000)</f>
        <v>-25546676.645</v>
      </c>
      <c r="L358" s="1912">
        <f>+Tofe!K199-((PNT!T113+PNT!T118)*1000)</f>
        <v>-1259750.1360000027</v>
      </c>
      <c r="M358" s="1912">
        <f>+Tofe!L199-((PNT!U113+PNT!U118)*1000)</f>
        <v>-879336.69300000474</v>
      </c>
      <c r="N358" s="1912">
        <f>+Tofe!M199-((PNT!V113+PNT!V118)*1000)</f>
        <v>-682540.86900000402</v>
      </c>
      <c r="O358" s="1912">
        <f>+Tofe!N199-((PNT!W113+PNT!W118)*1000)</f>
        <v>1638487.4570000032</v>
      </c>
      <c r="P358" s="1912">
        <f>+Tofe!O199-((PNT!X113+PNT!X118)*1000)</f>
        <v>-10185340.873000007</v>
      </c>
      <c r="Q358" s="1912">
        <f>+Tofe!P199-((PNT!Y113+PNT!Y118)*1000)</f>
        <v>1064161.3790000118</v>
      </c>
      <c r="R358" s="1912">
        <f>+Tofe!Q199-((PNT!Z113+PNT!Z118)*1000)</f>
        <v>9842222.8639999963</v>
      </c>
      <c r="S358" s="1981">
        <f t="shared" si="129"/>
        <v>-18335400.917000003</v>
      </c>
      <c r="T358" s="1856"/>
      <c r="U358" s="1856"/>
      <c r="V358" s="1856"/>
      <c r="W358" s="1853"/>
      <c r="X358" s="1854"/>
      <c r="Y358" s="2003"/>
      <c r="AA358" s="2008">
        <f t="shared" si="109"/>
        <v>-18335.400917000003</v>
      </c>
    </row>
    <row r="359" spans="1:28" s="1855" customFormat="1" ht="23.25" customHeight="1">
      <c r="A359" s="1895"/>
      <c r="B359" s="1918"/>
      <c r="C359" s="1914" t="s">
        <v>3234</v>
      </c>
      <c r="D359" s="1910"/>
      <c r="E359" s="1912">
        <f>+E360+E361</f>
        <v>10486380</v>
      </c>
      <c r="F359" s="2072">
        <f>+F360+F361</f>
        <v>15924000</v>
      </c>
      <c r="G359" s="1912">
        <f t="shared" ref="G359:Q359" si="133">+G360+G361</f>
        <v>0</v>
      </c>
      <c r="H359" s="1912">
        <f t="shared" si="133"/>
        <v>-342000</v>
      </c>
      <c r="I359" s="1912">
        <f t="shared" si="133"/>
        <v>6566430</v>
      </c>
      <c r="J359" s="1912">
        <f t="shared" si="133"/>
        <v>3288000</v>
      </c>
      <c r="K359" s="1912">
        <f t="shared" si="133"/>
        <v>0</v>
      </c>
      <c r="L359" s="1912">
        <f t="shared" si="133"/>
        <v>-5239000</v>
      </c>
      <c r="M359" s="1912">
        <f t="shared" si="133"/>
        <v>0</v>
      </c>
      <c r="N359" s="1912">
        <f t="shared" si="133"/>
        <v>0</v>
      </c>
      <c r="O359" s="1912">
        <f t="shared" si="133"/>
        <v>5500000</v>
      </c>
      <c r="P359" s="1912">
        <f t="shared" si="133"/>
        <v>16500000</v>
      </c>
      <c r="Q359" s="1912">
        <f t="shared" si="133"/>
        <v>0</v>
      </c>
      <c r="R359" s="1912">
        <f>+R360+R361</f>
        <v>0</v>
      </c>
      <c r="S359" s="1981">
        <f t="shared" si="129"/>
        <v>26273430</v>
      </c>
      <c r="T359" s="1856"/>
      <c r="U359" s="1856"/>
      <c r="V359" s="1856"/>
      <c r="W359" s="1853"/>
      <c r="X359" s="1854"/>
      <c r="Y359" s="2003"/>
      <c r="AA359" s="2008">
        <f t="shared" si="109"/>
        <v>26273.43</v>
      </c>
    </row>
    <row r="360" spans="1:28" s="1855" customFormat="1" ht="23.25" customHeight="1">
      <c r="A360" s="1895"/>
      <c r="B360" s="1918"/>
      <c r="C360" s="1913" t="s">
        <v>3232</v>
      </c>
      <c r="D360" s="1910"/>
      <c r="E360" s="1912">
        <f>+-([29]TitulosTesouro!$J$44+[29]TitulosTesouro!$J$52+[29]TitulosTesouro!$J$51+[29]TitulosTesouro!$J$49)/1000</f>
        <v>-24750000</v>
      </c>
      <c r="F360" s="2072">
        <f>-(36000000)</f>
        <v>-36000000</v>
      </c>
      <c r="G360" s="1912"/>
      <c r="H360" s="1912">
        <f>+-[29]TitulosTesouro!$H$88/1000</f>
        <v>-4350000</v>
      </c>
      <c r="I360" s="1912">
        <v>0</v>
      </c>
      <c r="J360" s="1912">
        <f>+-[29]TitulosTesouro!$H$92/1000</f>
        <v>-5512000</v>
      </c>
      <c r="K360" s="1912"/>
      <c r="L360" s="1912">
        <f>+-[29]TitulosTesouro!$H$54/1000</f>
        <v>-16239000</v>
      </c>
      <c r="M360" s="1912"/>
      <c r="N360" s="1912"/>
      <c r="O360" s="1912">
        <f>+-[29]TitulosTesouro!$H$115/1000</f>
        <v>-5500000</v>
      </c>
      <c r="P360" s="1912"/>
      <c r="Q360" s="1912"/>
      <c r="R360" s="1912"/>
      <c r="S360" s="1981">
        <f t="shared" si="129"/>
        <v>-31601000</v>
      </c>
      <c r="T360" s="1856"/>
      <c r="U360" s="1856"/>
      <c r="V360" s="1856"/>
      <c r="W360" s="1853"/>
      <c r="X360" s="1854"/>
      <c r="Y360" s="2003"/>
      <c r="AA360" s="2008">
        <f t="shared" si="109"/>
        <v>-31601</v>
      </c>
    </row>
    <row r="361" spans="1:28" s="1855" customFormat="1" ht="23.25" customHeight="1">
      <c r="A361" s="1895"/>
      <c r="B361" s="1918"/>
      <c r="C361" s="1913" t="s">
        <v>3233</v>
      </c>
      <c r="D361" s="1910"/>
      <c r="E361" s="1912">
        <f>+[29]TitulosTesouro!$E$244/1000</f>
        <v>35236380</v>
      </c>
      <c r="F361" s="2072">
        <v>51924000</v>
      </c>
      <c r="G361" s="1912"/>
      <c r="H361" s="1912">
        <f>+[29]TitulosTesouro!$E$132/1000</f>
        <v>4008000</v>
      </c>
      <c r="I361" s="1912">
        <f>+[29]TitulosTesouro!$E$150/1000</f>
        <v>6566430</v>
      </c>
      <c r="J361" s="1912">
        <f>+[29]TitulosTesouro!$E$159/1000</f>
        <v>8800000</v>
      </c>
      <c r="K361" s="1912"/>
      <c r="L361" s="1912">
        <f>+[29]TitulosTesouro!$E$191/1000</f>
        <v>11000000</v>
      </c>
      <c r="M361" s="1912"/>
      <c r="N361" s="1912"/>
      <c r="O361" s="1912">
        <f>+[29]TitulosTesouro!$E$226/1000</f>
        <v>11000000</v>
      </c>
      <c r="P361" s="1912">
        <f>+[29]TitulosTesouro!$E$242/1000</f>
        <v>16500000</v>
      </c>
      <c r="Q361" s="1912"/>
      <c r="R361" s="1912"/>
      <c r="S361" s="1981">
        <f t="shared" si="129"/>
        <v>57874430</v>
      </c>
      <c r="T361" s="1856"/>
      <c r="U361" s="1856"/>
      <c r="V361" s="1856"/>
      <c r="W361" s="1853"/>
      <c r="X361" s="1854"/>
      <c r="Y361" s="2003"/>
      <c r="AA361" s="2008">
        <f t="shared" si="109"/>
        <v>57874.43</v>
      </c>
      <c r="AB361" s="2010">
        <f>'[27]QUADRO 19 (2019)'!$AD$13</f>
        <v>15101</v>
      </c>
    </row>
    <row r="362" spans="1:28" s="1855" customFormat="1" ht="26.25">
      <c r="A362" s="1882" t="s">
        <v>709</v>
      </c>
      <c r="B362" s="1959"/>
      <c r="C362" s="1976" t="s">
        <v>710</v>
      </c>
      <c r="D362" s="1906">
        <f t="shared" ref="D362:R362" si="134">D363+D364+D365+D366+D367+D370+D371</f>
        <v>0</v>
      </c>
      <c r="E362" s="1907">
        <v>0</v>
      </c>
      <c r="F362" s="2068">
        <v>0</v>
      </c>
      <c r="G362" s="1907">
        <f t="shared" si="134"/>
        <v>0</v>
      </c>
      <c r="H362" s="1907">
        <f t="shared" si="134"/>
        <v>0</v>
      </c>
      <c r="I362" s="1907">
        <f t="shared" si="134"/>
        <v>0</v>
      </c>
      <c r="J362" s="1907">
        <f t="shared" si="134"/>
        <v>0</v>
      </c>
      <c r="K362" s="1907">
        <f t="shared" si="134"/>
        <v>0</v>
      </c>
      <c r="L362" s="1907">
        <f t="shared" si="134"/>
        <v>0</v>
      </c>
      <c r="M362" s="1907">
        <f t="shared" si="134"/>
        <v>0</v>
      </c>
      <c r="N362" s="1907">
        <f t="shared" si="134"/>
        <v>0</v>
      </c>
      <c r="O362" s="1907">
        <f t="shared" si="134"/>
        <v>0</v>
      </c>
      <c r="P362" s="1907">
        <f>P363+P364+P365+P366+P367+P370+P371</f>
        <v>0</v>
      </c>
      <c r="Q362" s="1907">
        <f t="shared" si="134"/>
        <v>0</v>
      </c>
      <c r="R362" s="1907">
        <f t="shared" si="134"/>
        <v>0</v>
      </c>
      <c r="S362" s="1981">
        <f t="shared" si="129"/>
        <v>0</v>
      </c>
      <c r="T362" s="1852">
        <f t="shared" si="118"/>
        <v>0</v>
      </c>
      <c r="U362" s="1852">
        <f t="shared" si="119"/>
        <v>0</v>
      </c>
      <c r="V362" s="1852">
        <f t="shared" si="120"/>
        <v>0</v>
      </c>
      <c r="W362" s="1853" t="e">
        <f t="shared" si="123"/>
        <v>#DIV/0!</v>
      </c>
      <c r="X362" s="1854"/>
      <c r="Y362" s="2003"/>
      <c r="AA362" s="2008">
        <f t="shared" si="109"/>
        <v>0</v>
      </c>
    </row>
    <row r="363" spans="1:28" s="1855" customFormat="1" ht="23.25" hidden="1" customHeight="1">
      <c r="A363" s="1883" t="s">
        <v>711</v>
      </c>
      <c r="B363" s="1960"/>
      <c r="C363" s="1950" t="s">
        <v>714</v>
      </c>
      <c r="D363" s="1910"/>
      <c r="E363" s="1912"/>
      <c r="F363" s="2072"/>
      <c r="G363" s="1912"/>
      <c r="H363" s="1912"/>
      <c r="I363" s="1912"/>
      <c r="J363" s="1912"/>
      <c r="K363" s="1912"/>
      <c r="L363" s="1912"/>
      <c r="M363" s="1912"/>
      <c r="N363" s="1912"/>
      <c r="O363" s="1912"/>
      <c r="P363" s="1912"/>
      <c r="Q363" s="1912"/>
      <c r="R363" s="1912"/>
      <c r="S363" s="1981">
        <f t="shared" si="129"/>
        <v>0</v>
      </c>
      <c r="T363" s="1856">
        <f t="shared" si="118"/>
        <v>0</v>
      </c>
      <c r="U363" s="1856">
        <f t="shared" si="119"/>
        <v>0</v>
      </c>
      <c r="V363" s="1856">
        <f t="shared" si="120"/>
        <v>0</v>
      </c>
      <c r="W363" s="1853" t="e">
        <f t="shared" si="123"/>
        <v>#DIV/0!</v>
      </c>
      <c r="X363" s="1854"/>
      <c r="Y363" s="2003">
        <f t="shared" si="108"/>
        <v>0</v>
      </c>
      <c r="AA363" s="2008">
        <f t="shared" si="109"/>
        <v>0</v>
      </c>
    </row>
    <row r="364" spans="1:28" s="1855" customFormat="1" ht="23.25" hidden="1" customHeight="1">
      <c r="A364" s="1883" t="s">
        <v>715</v>
      </c>
      <c r="B364" s="1960"/>
      <c r="C364" s="1950" t="s">
        <v>2269</v>
      </c>
      <c r="D364" s="1910"/>
      <c r="E364" s="1995">
        <v>0</v>
      </c>
      <c r="F364" s="2079">
        <v>0</v>
      </c>
      <c r="G364" s="1995">
        <v>0</v>
      </c>
      <c r="H364" s="1995">
        <v>0</v>
      </c>
      <c r="I364" s="1995">
        <v>0</v>
      </c>
      <c r="J364" s="1995">
        <v>0</v>
      </c>
      <c r="K364" s="1995">
        <v>0</v>
      </c>
      <c r="L364" s="1995">
        <v>0</v>
      </c>
      <c r="M364" s="1995">
        <v>0</v>
      </c>
      <c r="N364" s="1995">
        <v>0</v>
      </c>
      <c r="O364" s="1995">
        <v>0</v>
      </c>
      <c r="P364" s="1995">
        <v>0</v>
      </c>
      <c r="Q364" s="1995">
        <v>0</v>
      </c>
      <c r="R364" s="1995">
        <v>0</v>
      </c>
      <c r="S364" s="1981">
        <f t="shared" si="129"/>
        <v>0</v>
      </c>
      <c r="T364" s="1856">
        <f t="shared" si="118"/>
        <v>0</v>
      </c>
      <c r="U364" s="1856">
        <f t="shared" si="119"/>
        <v>0</v>
      </c>
      <c r="V364" s="1856">
        <f t="shared" si="120"/>
        <v>0</v>
      </c>
      <c r="W364" s="1853" t="e">
        <f t="shared" si="123"/>
        <v>#DIV/0!</v>
      </c>
      <c r="X364" s="1854"/>
      <c r="Y364" s="2003">
        <f t="shared" si="108"/>
        <v>0</v>
      </c>
      <c r="AA364" s="2008">
        <f t="shared" si="109"/>
        <v>0</v>
      </c>
    </row>
    <row r="365" spans="1:28" s="1855" customFormat="1" ht="23.25" hidden="1" customHeight="1">
      <c r="A365" s="1883" t="s">
        <v>716</v>
      </c>
      <c r="B365" s="1957"/>
      <c r="C365" s="1943" t="s">
        <v>1654</v>
      </c>
      <c r="D365" s="1910">
        <v>0</v>
      </c>
      <c r="E365" s="1912">
        <v>0</v>
      </c>
      <c r="F365" s="2072">
        <v>0</v>
      </c>
      <c r="G365" s="1912">
        <v>0</v>
      </c>
      <c r="H365" s="1912">
        <v>0</v>
      </c>
      <c r="I365" s="1912">
        <v>0</v>
      </c>
      <c r="J365" s="1912">
        <v>0</v>
      </c>
      <c r="K365" s="1912">
        <v>0</v>
      </c>
      <c r="L365" s="1912">
        <v>0</v>
      </c>
      <c r="M365" s="1912">
        <v>0</v>
      </c>
      <c r="N365" s="1912">
        <v>0</v>
      </c>
      <c r="O365" s="1912">
        <v>0</v>
      </c>
      <c r="P365" s="1912">
        <v>0</v>
      </c>
      <c r="Q365" s="1912">
        <v>0</v>
      </c>
      <c r="R365" s="1912">
        <v>0</v>
      </c>
      <c r="S365" s="1981">
        <f t="shared" si="129"/>
        <v>0</v>
      </c>
      <c r="T365" s="1856">
        <f t="shared" si="118"/>
        <v>0</v>
      </c>
      <c r="U365" s="1856">
        <f t="shared" si="119"/>
        <v>0</v>
      </c>
      <c r="V365" s="1856">
        <f t="shared" si="120"/>
        <v>0</v>
      </c>
      <c r="W365" s="1853" t="e">
        <f t="shared" si="123"/>
        <v>#DIV/0!</v>
      </c>
      <c r="X365" s="1854">
        <f>S365/$X$1*100/1000</f>
        <v>0</v>
      </c>
      <c r="Y365" s="2003">
        <f t="shared" si="108"/>
        <v>0</v>
      </c>
      <c r="AA365" s="2008">
        <f t="shared" si="109"/>
        <v>0</v>
      </c>
    </row>
    <row r="366" spans="1:28" s="1855" customFormat="1" ht="23.25" hidden="1" customHeight="1">
      <c r="A366" s="1883" t="s">
        <v>717</v>
      </c>
      <c r="B366" s="1957"/>
      <c r="C366" s="1943" t="s">
        <v>718</v>
      </c>
      <c r="D366" s="1910"/>
      <c r="E366" s="1912"/>
      <c r="F366" s="2072"/>
      <c r="G366" s="1912"/>
      <c r="H366" s="1912"/>
      <c r="I366" s="1912"/>
      <c r="J366" s="1912"/>
      <c r="K366" s="1912"/>
      <c r="L366" s="1912"/>
      <c r="M366" s="1912"/>
      <c r="N366" s="1912"/>
      <c r="O366" s="1912"/>
      <c r="P366" s="1912"/>
      <c r="Q366" s="1912"/>
      <c r="R366" s="1912"/>
      <c r="S366" s="1981">
        <f t="shared" si="129"/>
        <v>0</v>
      </c>
      <c r="T366" s="1856">
        <f t="shared" si="118"/>
        <v>0</v>
      </c>
      <c r="U366" s="1856">
        <f t="shared" si="119"/>
        <v>0</v>
      </c>
      <c r="V366" s="1856">
        <f t="shared" si="120"/>
        <v>0</v>
      </c>
      <c r="W366" s="1853" t="e">
        <f t="shared" si="123"/>
        <v>#DIV/0!</v>
      </c>
      <c r="X366" s="1854"/>
      <c r="Y366" s="2003">
        <f t="shared" si="108"/>
        <v>0</v>
      </c>
      <c r="AA366" s="2008">
        <f t="shared" si="109"/>
        <v>0</v>
      </c>
    </row>
    <row r="367" spans="1:28" s="1855" customFormat="1" ht="23.25" hidden="1" customHeight="1">
      <c r="A367" s="1883" t="s">
        <v>719</v>
      </c>
      <c r="B367" s="1957"/>
      <c r="C367" s="1943" t="s">
        <v>720</v>
      </c>
      <c r="D367" s="1910"/>
      <c r="E367" s="1912" t="e">
        <f>E368+E369</f>
        <v>#VALUE!</v>
      </c>
      <c r="F367" s="2072">
        <f>F368+F369</f>
        <v>0</v>
      </c>
      <c r="G367" s="1912">
        <f>G368+G369</f>
        <v>0</v>
      </c>
      <c r="H367" s="1912">
        <f t="shared" ref="H367:R367" si="135">H368+H369</f>
        <v>0</v>
      </c>
      <c r="I367" s="1912">
        <f t="shared" si="135"/>
        <v>0</v>
      </c>
      <c r="J367" s="1912">
        <f t="shared" si="135"/>
        <v>0</v>
      </c>
      <c r="K367" s="1912">
        <f t="shared" si="135"/>
        <v>0</v>
      </c>
      <c r="L367" s="1912">
        <f t="shared" si="135"/>
        <v>0</v>
      </c>
      <c r="M367" s="1912">
        <f t="shared" si="135"/>
        <v>0</v>
      </c>
      <c r="N367" s="1912">
        <f t="shared" si="135"/>
        <v>0</v>
      </c>
      <c r="O367" s="1912">
        <f t="shared" si="135"/>
        <v>0</v>
      </c>
      <c r="P367" s="1912">
        <f>P368+P369</f>
        <v>0</v>
      </c>
      <c r="Q367" s="1912">
        <f t="shared" si="135"/>
        <v>0</v>
      </c>
      <c r="R367" s="1912">
        <f t="shared" si="135"/>
        <v>0</v>
      </c>
      <c r="S367" s="1981">
        <f t="shared" si="129"/>
        <v>0</v>
      </c>
      <c r="T367" s="1856">
        <f t="shared" si="118"/>
        <v>0</v>
      </c>
      <c r="U367" s="1856">
        <f t="shared" si="119"/>
        <v>0</v>
      </c>
      <c r="V367" s="1856">
        <f t="shared" si="120"/>
        <v>0</v>
      </c>
      <c r="W367" s="1853" t="e">
        <f t="shared" si="123"/>
        <v>#DIV/0!</v>
      </c>
      <c r="X367" s="1854"/>
      <c r="Y367" s="2003">
        <f t="shared" si="108"/>
        <v>0</v>
      </c>
      <c r="AA367" s="2008">
        <f t="shared" si="109"/>
        <v>0</v>
      </c>
    </row>
    <row r="368" spans="1:28" s="1855" customFormat="1" ht="23.25" hidden="1" customHeight="1">
      <c r="A368" s="1883" t="s">
        <v>721</v>
      </c>
      <c r="B368" s="1957"/>
      <c r="C368" s="1943" t="s">
        <v>722</v>
      </c>
      <c r="D368" s="1910"/>
      <c r="E368" s="1912" t="str">
        <f>+'Fin-Int'!A21</f>
        <v>Emissions</v>
      </c>
      <c r="F368" s="2072">
        <f>+'Fin-Int'!B21</f>
        <v>0</v>
      </c>
      <c r="G368" s="1912">
        <f>+'Fin-Int'!C21</f>
        <v>0</v>
      </c>
      <c r="H368" s="1912">
        <f>+'Fin-Int'!D21</f>
        <v>0</v>
      </c>
      <c r="I368" s="1912">
        <f>+'Fin-Int'!E21</f>
        <v>0</v>
      </c>
      <c r="J368" s="1912">
        <f>+'Fin-Int'!F21</f>
        <v>0</v>
      </c>
      <c r="K368" s="1912">
        <f>+'Fin-Int'!G21</f>
        <v>0</v>
      </c>
      <c r="L368" s="1912">
        <f>+'Fin-Int'!H21</f>
        <v>0</v>
      </c>
      <c r="M368" s="1912">
        <f>+'Fin-Int'!I21</f>
        <v>0</v>
      </c>
      <c r="N368" s="1912">
        <f>+'Fin-Int'!J21</f>
        <v>0</v>
      </c>
      <c r="O368" s="1912">
        <f>+'Fin-Int'!K21</f>
        <v>0</v>
      </c>
      <c r="P368" s="1912">
        <f>+'Fin-Int'!L21</f>
        <v>0</v>
      </c>
      <c r="Q368" s="1912">
        <f>+'Fin-Int'!M21</f>
        <v>0</v>
      </c>
      <c r="R368" s="1912">
        <f>+'Fin-Int'!N21</f>
        <v>0</v>
      </c>
      <c r="S368" s="1981">
        <f t="shared" si="129"/>
        <v>0</v>
      </c>
      <c r="T368" s="1856">
        <f t="shared" si="118"/>
        <v>0</v>
      </c>
      <c r="U368" s="1856">
        <f t="shared" si="119"/>
        <v>0</v>
      </c>
      <c r="V368" s="1856">
        <f t="shared" si="120"/>
        <v>0</v>
      </c>
      <c r="W368" s="1853" t="e">
        <f t="shared" si="123"/>
        <v>#DIV/0!</v>
      </c>
      <c r="X368" s="1854"/>
      <c r="Y368" s="2003">
        <f t="shared" si="108"/>
        <v>0</v>
      </c>
      <c r="AA368" s="2008">
        <f t="shared" si="109"/>
        <v>0</v>
      </c>
    </row>
    <row r="369" spans="1:28" s="1855" customFormat="1" ht="23.25" hidden="1" customHeight="1">
      <c r="A369" s="1883" t="s">
        <v>723</v>
      </c>
      <c r="B369" s="1961"/>
      <c r="C369" s="1951" t="s">
        <v>724</v>
      </c>
      <c r="D369" s="1952"/>
      <c r="E369" s="1996" t="e">
        <f>-'Fin-Int'!A24</f>
        <v>#VALUE!</v>
      </c>
      <c r="F369" s="2072">
        <f>-'Fin-Int'!B24</f>
        <v>0</v>
      </c>
      <c r="G369" s="1996">
        <f>-'Fin-Int'!C24</f>
        <v>0</v>
      </c>
      <c r="H369" s="1996">
        <f>-'Fin-Int'!D24</f>
        <v>0</v>
      </c>
      <c r="I369" s="1996">
        <f>-'Fin-Int'!E24</f>
        <v>0</v>
      </c>
      <c r="J369" s="1996">
        <f>-'Fin-Int'!F24</f>
        <v>0</v>
      </c>
      <c r="K369" s="1996">
        <f>-'Fin-Int'!G24</f>
        <v>0</v>
      </c>
      <c r="L369" s="1996">
        <f>-'Fin-Int'!H24</f>
        <v>0</v>
      </c>
      <c r="M369" s="1996">
        <f>-'Fin-Int'!I24</f>
        <v>0</v>
      </c>
      <c r="N369" s="1996">
        <f>-'Fin-Int'!J24</f>
        <v>0</v>
      </c>
      <c r="O369" s="1996">
        <f>-'Fin-Int'!K24</f>
        <v>0</v>
      </c>
      <c r="P369" s="1996">
        <f>-'Fin-Int'!L24</f>
        <v>0</v>
      </c>
      <c r="Q369" s="1996">
        <f>-'Fin-Int'!M24</f>
        <v>0</v>
      </c>
      <c r="R369" s="1996">
        <f>-'Fin-Int'!N24</f>
        <v>0</v>
      </c>
      <c r="S369" s="1981">
        <f t="shared" si="129"/>
        <v>0</v>
      </c>
      <c r="T369" s="1856">
        <f t="shared" ref="T369:T387" si="136">SUM(G369:L369)</f>
        <v>0</v>
      </c>
      <c r="U369" s="1856">
        <f t="shared" si="119"/>
        <v>0</v>
      </c>
      <c r="V369" s="1856">
        <f t="shared" si="120"/>
        <v>0</v>
      </c>
      <c r="W369" s="1853" t="e">
        <f t="shared" si="123"/>
        <v>#DIV/0!</v>
      </c>
      <c r="X369" s="1854"/>
      <c r="Y369" s="2003">
        <f t="shared" si="108"/>
        <v>0</v>
      </c>
      <c r="AA369" s="2008">
        <f t="shared" si="109"/>
        <v>0</v>
      </c>
    </row>
    <row r="370" spans="1:28" s="1855" customFormat="1" ht="23.25" hidden="1" customHeight="1">
      <c r="A370" s="1883" t="s">
        <v>740</v>
      </c>
      <c r="B370" s="1957"/>
      <c r="C370" s="1943" t="s">
        <v>1672</v>
      </c>
      <c r="D370" s="1910"/>
      <c r="E370" s="1912"/>
      <c r="F370" s="2072"/>
      <c r="G370" s="1912"/>
      <c r="H370" s="1912"/>
      <c r="I370" s="1912"/>
      <c r="J370" s="1912"/>
      <c r="K370" s="1912"/>
      <c r="L370" s="1912"/>
      <c r="M370" s="1912"/>
      <c r="N370" s="1912"/>
      <c r="O370" s="1912"/>
      <c r="P370" s="1912"/>
      <c r="Q370" s="1912"/>
      <c r="R370" s="1912"/>
      <c r="S370" s="1981">
        <f t="shared" si="129"/>
        <v>0</v>
      </c>
      <c r="T370" s="1856">
        <f t="shared" si="136"/>
        <v>0</v>
      </c>
      <c r="U370" s="1856">
        <f t="shared" si="119"/>
        <v>0</v>
      </c>
      <c r="V370" s="1856">
        <f t="shared" si="120"/>
        <v>0</v>
      </c>
      <c r="W370" s="1853" t="e">
        <f t="shared" si="123"/>
        <v>#DIV/0!</v>
      </c>
      <c r="X370" s="1854"/>
      <c r="Y370" s="2003">
        <f t="shared" si="108"/>
        <v>0</v>
      </c>
      <c r="AA370" s="2008">
        <f t="shared" si="109"/>
        <v>0</v>
      </c>
    </row>
    <row r="371" spans="1:28" s="1855" customFormat="1" ht="23.25" hidden="1" customHeight="1">
      <c r="A371" s="1883" t="s">
        <v>743</v>
      </c>
      <c r="B371" s="1957"/>
      <c r="C371" s="1943" t="s">
        <v>1574</v>
      </c>
      <c r="D371" s="1910"/>
      <c r="E371" s="1912" t="str">
        <f>+'Receitas (mensais)'!C335</f>
        <v>10 01 00</v>
      </c>
      <c r="F371" s="2072" t="str">
        <f>+'Receitas (mensais)'!D335</f>
        <v>Privatizaçoes</v>
      </c>
      <c r="G371" s="1912">
        <f>+'Receitas (mensais)'!E335</f>
        <v>0</v>
      </c>
      <c r="H371" s="1912">
        <f>+'Receitas (mensais)'!F342</f>
        <v>0</v>
      </c>
      <c r="I371" s="1912">
        <f>+'Receitas (mensais)'!G335</f>
        <v>0</v>
      </c>
      <c r="J371" s="1912">
        <f>+'Receitas (mensais)'!H335</f>
        <v>0</v>
      </c>
      <c r="K371" s="1912">
        <f>+'Receitas (mensais)'!I335</f>
        <v>0</v>
      </c>
      <c r="L371" s="1912">
        <f>+'Receitas (mensais)'!J335</f>
        <v>0</v>
      </c>
      <c r="M371" s="1912">
        <f>+'Receitas (mensais)'!K335</f>
        <v>0</v>
      </c>
      <c r="N371" s="1912">
        <f>+'Receitas (mensais)'!L335</f>
        <v>0</v>
      </c>
      <c r="O371" s="1912">
        <f>+'Receitas (mensais)'!M335</f>
        <v>0</v>
      </c>
      <c r="P371" s="1912">
        <f>+'Receitas (mensais)'!N335</f>
        <v>0</v>
      </c>
      <c r="Q371" s="1912">
        <f>+'Receitas (mensais)'!O335</f>
        <v>0</v>
      </c>
      <c r="R371" s="1912">
        <f>+'Receitas (mensais)'!P335</f>
        <v>0</v>
      </c>
      <c r="S371" s="1981">
        <f t="shared" si="129"/>
        <v>0</v>
      </c>
      <c r="T371" s="1856">
        <f t="shared" si="136"/>
        <v>0</v>
      </c>
      <c r="U371" s="1856">
        <f t="shared" si="119"/>
        <v>0</v>
      </c>
      <c r="V371" s="1856">
        <f t="shared" si="120"/>
        <v>0</v>
      </c>
      <c r="W371" s="1853" t="e">
        <f t="shared" si="123"/>
        <v>#VALUE!</v>
      </c>
      <c r="X371" s="1854"/>
      <c r="Y371" s="2003">
        <f t="shared" si="108"/>
        <v>0</v>
      </c>
      <c r="AA371" s="2008">
        <f t="shared" si="109"/>
        <v>0</v>
      </c>
    </row>
    <row r="372" spans="1:28" s="1855" customFormat="1" ht="23.25" hidden="1" customHeight="1">
      <c r="A372" s="1883"/>
      <c r="B372" s="1957"/>
      <c r="C372" s="1943"/>
      <c r="D372" s="1910"/>
      <c r="E372" s="1912"/>
      <c r="F372" s="2072"/>
      <c r="G372" s="1912"/>
      <c r="H372" s="1912"/>
      <c r="I372" s="1912"/>
      <c r="J372" s="1912"/>
      <c r="K372" s="1912"/>
      <c r="L372" s="1912"/>
      <c r="M372" s="1912"/>
      <c r="N372" s="1912"/>
      <c r="O372" s="1912"/>
      <c r="P372" s="1912"/>
      <c r="Q372" s="1912"/>
      <c r="R372" s="1912"/>
      <c r="S372" s="1981">
        <f t="shared" si="129"/>
        <v>0</v>
      </c>
      <c r="T372" s="1856">
        <f t="shared" si="136"/>
        <v>0</v>
      </c>
      <c r="U372" s="1856">
        <f t="shared" si="119"/>
        <v>0</v>
      </c>
      <c r="V372" s="1856">
        <f t="shared" si="120"/>
        <v>0</v>
      </c>
      <c r="W372" s="1853" t="e">
        <f t="shared" si="123"/>
        <v>#DIV/0!</v>
      </c>
      <c r="X372" s="1854"/>
      <c r="Y372" s="2003">
        <f t="shared" si="108"/>
        <v>0</v>
      </c>
      <c r="AA372" s="2008">
        <f t="shared" si="109"/>
        <v>0</v>
      </c>
    </row>
    <row r="373" spans="1:28" s="1855" customFormat="1" ht="26.25" hidden="1">
      <c r="A373" s="1883"/>
      <c r="B373" s="1957"/>
      <c r="C373" s="1943"/>
      <c r="D373" s="1910"/>
      <c r="E373" s="1912"/>
      <c r="F373" s="2072"/>
      <c r="G373" s="1912"/>
      <c r="H373" s="1912"/>
      <c r="I373" s="1912"/>
      <c r="J373" s="1912"/>
      <c r="K373" s="1912"/>
      <c r="L373" s="1912"/>
      <c r="M373" s="1912"/>
      <c r="N373" s="1912"/>
      <c r="O373" s="1912"/>
      <c r="P373" s="1912"/>
      <c r="Q373" s="1912"/>
      <c r="R373" s="1912"/>
      <c r="S373" s="1981">
        <f t="shared" si="129"/>
        <v>0</v>
      </c>
      <c r="T373" s="1856">
        <f t="shared" si="136"/>
        <v>0</v>
      </c>
      <c r="U373" s="1856">
        <f t="shared" si="119"/>
        <v>0</v>
      </c>
      <c r="V373" s="1856">
        <f t="shared" si="120"/>
        <v>0</v>
      </c>
      <c r="W373" s="1853" t="e">
        <f t="shared" si="123"/>
        <v>#DIV/0!</v>
      </c>
      <c r="X373" s="1854"/>
      <c r="Y373" s="2003">
        <f t="shared" ref="Y373:Y387" si="137">+S373/$Y$1*100</f>
        <v>0</v>
      </c>
      <c r="AA373" s="2008">
        <f t="shared" ref="AA373:AA388" si="138">S373/1000</f>
        <v>0</v>
      </c>
    </row>
    <row r="374" spans="1:28" s="1863" customFormat="1" ht="26.25">
      <c r="A374" s="1888" t="s">
        <v>725</v>
      </c>
      <c r="B374" s="1919" t="s">
        <v>745</v>
      </c>
      <c r="C374" s="1925" t="s">
        <v>3213</v>
      </c>
      <c r="D374" s="1906">
        <f>D375+D379+D380+D381+D384</f>
        <v>0</v>
      </c>
      <c r="E374" s="1907">
        <f>+E375+E379</f>
        <v>16323625.604230151</v>
      </c>
      <c r="F374" s="2068">
        <f>+F375+F379</f>
        <v>16357087.611000001</v>
      </c>
      <c r="G374" s="1907">
        <f>G375+G379+G380+G381</f>
        <v>-166758.93841249999</v>
      </c>
      <c r="H374" s="1907">
        <f t="shared" ref="H374:R374" si="139">H375+H379+H380+H381</f>
        <v>-161668.26415025</v>
      </c>
      <c r="I374" s="1907">
        <f t="shared" si="139"/>
        <v>3419276.8597964002</v>
      </c>
      <c r="J374" s="1907">
        <f t="shared" si="139"/>
        <v>-341244.28076133004</v>
      </c>
      <c r="K374" s="1907">
        <f t="shared" si="139"/>
        <v>-146734.5</v>
      </c>
      <c r="L374" s="1907">
        <f t="shared" si="139"/>
        <v>2409511.2626744802</v>
      </c>
      <c r="M374" s="1907">
        <f t="shared" si="139"/>
        <v>-118204.85599999997</v>
      </c>
      <c r="N374" s="1907">
        <f t="shared" si="139"/>
        <v>-159878.886</v>
      </c>
      <c r="O374" s="1907">
        <f t="shared" si="139"/>
        <v>8353202.453999999</v>
      </c>
      <c r="P374" s="1907">
        <f>P375+P379+P380+P381</f>
        <v>-206251.68685250002</v>
      </c>
      <c r="Q374" s="1907">
        <f>Q375+Q379+Q380+Q381</f>
        <v>-149487.76217</v>
      </c>
      <c r="R374" s="1907">
        <f t="shared" si="139"/>
        <v>-857014.3</v>
      </c>
      <c r="S374" s="1981">
        <f t="shared" si="129"/>
        <v>11874747.1021243</v>
      </c>
      <c r="T374" s="1852">
        <f t="shared" si="136"/>
        <v>5012382.1391468011</v>
      </c>
      <c r="U374" s="1852">
        <f t="shared" si="119"/>
        <v>13087500.8511468</v>
      </c>
      <c r="V374" s="1852">
        <f t="shared" si="120"/>
        <v>11874747.1021243</v>
      </c>
      <c r="W374" s="1861">
        <f t="shared" si="123"/>
        <v>72.59695237029014</v>
      </c>
      <c r="X374" s="1862">
        <f>S374/$X$1*100/1000</f>
        <v>1.4689015601148303</v>
      </c>
      <c r="Y374" s="2003">
        <f t="shared" si="137"/>
        <v>1.4274248229503907</v>
      </c>
      <c r="AA374" s="2008">
        <f t="shared" si="138"/>
        <v>11874.7471021243</v>
      </c>
    </row>
    <row r="375" spans="1:28" s="1855" customFormat="1" ht="26.25">
      <c r="A375" s="1883" t="s">
        <v>749</v>
      </c>
      <c r="B375" s="1956" t="s">
        <v>748</v>
      </c>
      <c r="C375" s="1962" t="s">
        <v>750</v>
      </c>
      <c r="D375" s="1910">
        <f t="shared" ref="D375:R375" si="140">SUM(D376:D378)</f>
        <v>0</v>
      </c>
      <c r="E375" s="1912">
        <f>+E376+E377</f>
        <v>18229365.747000001</v>
      </c>
      <c r="F375" s="2072">
        <f>+F376+F377</f>
        <v>23481087.611000001</v>
      </c>
      <c r="G375" s="1912">
        <f t="shared" si="140"/>
        <v>0</v>
      </c>
      <c r="H375" s="1912">
        <f t="shared" si="140"/>
        <v>0</v>
      </c>
      <c r="I375" s="1912">
        <f t="shared" si="140"/>
        <v>3549161.0410000002</v>
      </c>
      <c r="J375" s="1912">
        <f t="shared" si="140"/>
        <v>0</v>
      </c>
      <c r="K375" s="1912">
        <f t="shared" si="140"/>
        <v>0</v>
      </c>
      <c r="L375" s="1912">
        <f t="shared" si="140"/>
        <v>2620536.50856</v>
      </c>
      <c r="M375" s="1912">
        <f t="shared" si="140"/>
        <v>0</v>
      </c>
      <c r="N375" s="1912">
        <f t="shared" si="140"/>
        <v>0</v>
      </c>
      <c r="O375" s="1912">
        <f t="shared" si="140"/>
        <v>8422775.3149999995</v>
      </c>
      <c r="P375" s="1912">
        <f>SUM(P376:P378)</f>
        <v>0</v>
      </c>
      <c r="Q375" s="1912">
        <f>SUM(Q376:Q378)</f>
        <v>0</v>
      </c>
      <c r="R375" s="1912">
        <f t="shared" si="140"/>
        <v>165.7</v>
      </c>
      <c r="S375" s="1981">
        <f t="shared" si="129"/>
        <v>14592638.56456</v>
      </c>
      <c r="T375" s="1856">
        <f t="shared" si="136"/>
        <v>6169697.5495600002</v>
      </c>
      <c r="U375" s="1856">
        <f t="shared" si="119"/>
        <v>14592472.864560001</v>
      </c>
      <c r="V375" s="1856">
        <f t="shared" si="120"/>
        <v>14592638.56456</v>
      </c>
      <c r="W375" s="1853">
        <f t="shared" si="123"/>
        <v>62.146348611739356</v>
      </c>
      <c r="X375" s="1854"/>
      <c r="Y375" s="2003"/>
      <c r="AA375" s="2008">
        <f t="shared" si="138"/>
        <v>14592.63856456</v>
      </c>
    </row>
    <row r="376" spans="1:28" s="1855" customFormat="1" ht="26.25">
      <c r="A376" s="1883" t="s">
        <v>752</v>
      </c>
      <c r="B376" s="1956" t="s">
        <v>751</v>
      </c>
      <c r="C376" s="1955" t="s">
        <v>753</v>
      </c>
      <c r="D376" s="1910">
        <v>0</v>
      </c>
      <c r="E376" s="1912">
        <f>+[28]Tofe!$Q$129</f>
        <v>18229365.747000001</v>
      </c>
      <c r="F376" s="2072">
        <v>23481087.611000001</v>
      </c>
      <c r="G376" s="1912">
        <f>+'Ordon-Dep'!E46</f>
        <v>0</v>
      </c>
      <c r="H376" s="1912">
        <f>+'Ordon-Dep'!F46</f>
        <v>0</v>
      </c>
      <c r="I376" s="1912">
        <f>+'Ordon-Dep'!G46</f>
        <v>3549161.0410000002</v>
      </c>
      <c r="J376" s="1912">
        <f>+'Ordon-Dep'!H46</f>
        <v>0</v>
      </c>
      <c r="K376" s="1912">
        <f>+'Ordon-Dep'!I46</f>
        <v>0</v>
      </c>
      <c r="L376" s="1912">
        <f>+'Ordon-Dep'!J46</f>
        <v>2620536.50856</v>
      </c>
      <c r="M376" s="1912">
        <f>+'Ordon-Dep'!K46</f>
        <v>0</v>
      </c>
      <c r="N376" s="1912">
        <f>+'Ordon-Dep'!L46</f>
        <v>0</v>
      </c>
      <c r="O376" s="1912">
        <f>+'Ordon-Dep'!M46</f>
        <v>8422775.3149999995</v>
      </c>
      <c r="P376" s="1912">
        <f>+'Ordon-Dep'!N46</f>
        <v>0</v>
      </c>
      <c r="Q376" s="1912">
        <f>+'Ordon-Dep'!O46</f>
        <v>0</v>
      </c>
      <c r="R376" s="1912">
        <f>+'Ordon-Dep'!P46</f>
        <v>165.7</v>
      </c>
      <c r="S376" s="1981">
        <f t="shared" si="129"/>
        <v>14592638.56456</v>
      </c>
      <c r="T376" s="1856">
        <f t="shared" si="136"/>
        <v>6169697.5495600002</v>
      </c>
      <c r="U376" s="1856">
        <f t="shared" si="119"/>
        <v>14592472.864560001</v>
      </c>
      <c r="V376" s="1856">
        <f t="shared" si="120"/>
        <v>14592638.56456</v>
      </c>
      <c r="W376" s="1853">
        <f t="shared" si="123"/>
        <v>62.146348611739356</v>
      </c>
      <c r="X376" s="1854"/>
      <c r="Y376" s="2003"/>
      <c r="AA376" s="2008">
        <f t="shared" si="138"/>
        <v>14592.63856456</v>
      </c>
    </row>
    <row r="377" spans="1:28" s="1855" customFormat="1" ht="26.25">
      <c r="A377" s="1883" t="s">
        <v>755</v>
      </c>
      <c r="B377" s="1956" t="s">
        <v>754</v>
      </c>
      <c r="C377" s="1955" t="s">
        <v>756</v>
      </c>
      <c r="D377" s="1910">
        <f>+'Appui-Bud'!E19</f>
        <v>0</v>
      </c>
      <c r="E377" s="1912">
        <f>+'Appui-Bud'!E19</f>
        <v>0</v>
      </c>
      <c r="F377" s="2072">
        <f>+'Appui-Bud'!F19</f>
        <v>0</v>
      </c>
      <c r="G377" s="1912">
        <f>+'Appui-Bud'!G19</f>
        <v>0</v>
      </c>
      <c r="H377" s="1912">
        <f>+'Appui-Bud'!H19</f>
        <v>0</v>
      </c>
      <c r="I377" s="1912">
        <f>+'Appui-Bud'!I19</f>
        <v>0</v>
      </c>
      <c r="J377" s="1912">
        <f>+'Appui-Bud'!J19</f>
        <v>0</v>
      </c>
      <c r="K377" s="1912">
        <f>+'Appui-Bud'!K19</f>
        <v>0</v>
      </c>
      <c r="L377" s="1912">
        <f>+'Appui-Bud'!L19</f>
        <v>0</v>
      </c>
      <c r="M377" s="1912">
        <f>+'Appui-Bud'!M19</f>
        <v>0</v>
      </c>
      <c r="N377" s="1912">
        <f>+'Appui-Bud'!N19</f>
        <v>0</v>
      </c>
      <c r="O377" s="1912">
        <f>+'Appui-Bud'!O19</f>
        <v>0</v>
      </c>
      <c r="P377" s="1912">
        <f>+'Appui-Bud'!P19</f>
        <v>0</v>
      </c>
      <c r="Q377" s="1912">
        <f>+'Appui-Bud'!Q19</f>
        <v>0</v>
      </c>
      <c r="R377" s="1912">
        <f>+'Appui-Bud'!R19</f>
        <v>0</v>
      </c>
      <c r="S377" s="1981">
        <f t="shared" si="129"/>
        <v>0</v>
      </c>
      <c r="T377" s="1856">
        <f t="shared" si="136"/>
        <v>0</v>
      </c>
      <c r="U377" s="1856">
        <f t="shared" si="119"/>
        <v>0</v>
      </c>
      <c r="V377" s="1856">
        <f t="shared" si="120"/>
        <v>0</v>
      </c>
      <c r="W377" s="1853" t="e">
        <f t="shared" si="123"/>
        <v>#DIV/0!</v>
      </c>
      <c r="X377" s="1854"/>
      <c r="Y377" s="2003"/>
      <c r="AA377" s="2008">
        <f t="shared" si="138"/>
        <v>0</v>
      </c>
    </row>
    <row r="378" spans="1:28" s="1855" customFormat="1" ht="23.25" hidden="1" customHeight="1">
      <c r="A378" s="1883" t="s">
        <v>761</v>
      </c>
      <c r="B378" s="1956" t="s">
        <v>757</v>
      </c>
      <c r="C378" s="1943" t="s">
        <v>762</v>
      </c>
      <c r="D378" s="1910"/>
      <c r="E378" s="1912"/>
      <c r="F378" s="2072"/>
      <c r="G378" s="1912"/>
      <c r="H378" s="1912"/>
      <c r="I378" s="1912"/>
      <c r="J378" s="1912"/>
      <c r="K378" s="1912"/>
      <c r="L378" s="1912"/>
      <c r="M378" s="1912"/>
      <c r="N378" s="1912"/>
      <c r="O378" s="1912"/>
      <c r="P378" s="1912"/>
      <c r="Q378" s="1912"/>
      <c r="R378" s="1912"/>
      <c r="S378" s="1981">
        <f t="shared" si="129"/>
        <v>0</v>
      </c>
      <c r="T378" s="1856">
        <f t="shared" si="136"/>
        <v>0</v>
      </c>
      <c r="U378" s="1856">
        <f t="shared" si="119"/>
        <v>0</v>
      </c>
      <c r="V378" s="1856">
        <f t="shared" si="120"/>
        <v>0</v>
      </c>
      <c r="W378" s="1853" t="e">
        <f t="shared" si="123"/>
        <v>#DIV/0!</v>
      </c>
      <c r="X378" s="1854"/>
      <c r="Y378" s="2003"/>
      <c r="AA378" s="2008">
        <f t="shared" si="138"/>
        <v>0</v>
      </c>
    </row>
    <row r="379" spans="1:28" s="1855" customFormat="1" ht="26.25">
      <c r="A379" s="1883" t="s">
        <v>767</v>
      </c>
      <c r="B379" s="1957" t="s">
        <v>766</v>
      </c>
      <c r="C379" s="1962" t="s">
        <v>768</v>
      </c>
      <c r="D379" s="1910"/>
      <c r="E379" s="1912">
        <f>+[28]Tofe!$Q$132+[28]Tofe!$Q$134</f>
        <v>-1905740.1427698499</v>
      </c>
      <c r="F379" s="2072">
        <v>-7124000</v>
      </c>
      <c r="G379" s="1912">
        <f>-'Ordon-Dep'!E36</f>
        <v>-166758.93841249999</v>
      </c>
      <c r="H379" s="1912">
        <f>-'Ordon-Dep'!F36</f>
        <v>-161668.26415025</v>
      </c>
      <c r="I379" s="1912">
        <f>-'Ordon-Dep'!G36</f>
        <v>-208992.39620359999</v>
      </c>
      <c r="J379" s="1912">
        <f>-'Ordon-Dep'!H36</f>
        <v>-341244.28076133004</v>
      </c>
      <c r="K379" s="1912">
        <f>-'Ordon-Dep'!I36</f>
        <v>-146734.5</v>
      </c>
      <c r="L379" s="1912">
        <f>-'Ordon-Dep'!J36</f>
        <v>-211025.24588551998</v>
      </c>
      <c r="M379" s="1912">
        <f>-'Ordon-Dep'!K36</f>
        <v>-446954.85599999997</v>
      </c>
      <c r="N379" s="1912">
        <f>-'Ordon-Dep'!L36</f>
        <v>-159878.886</v>
      </c>
      <c r="O379" s="1912">
        <f>-'Ordon-Dep'!M36</f>
        <v>-273286.26199999999</v>
      </c>
      <c r="P379" s="1912">
        <f>-'Ordon-Dep'!N36</f>
        <v>-509501.68685250002</v>
      </c>
      <c r="Q379" s="1912">
        <f>-'Ordon-Dep'!O36</f>
        <v>-149487.76217</v>
      </c>
      <c r="R379" s="1912">
        <f>-'Ordon-Dep'!P36</f>
        <v>-922841.45</v>
      </c>
      <c r="S379" s="1981">
        <f t="shared" si="129"/>
        <v>-3698374.5284356996</v>
      </c>
      <c r="T379" s="1856">
        <f t="shared" si="136"/>
        <v>-1236423.6254131999</v>
      </c>
      <c r="U379" s="1856">
        <f t="shared" si="119"/>
        <v>-2116543.6294131996</v>
      </c>
      <c r="V379" s="1856">
        <f t="shared" si="120"/>
        <v>-3698374.5284356996</v>
      </c>
      <c r="W379" s="1853">
        <f t="shared" si="123"/>
        <v>51.914297142556144</v>
      </c>
      <c r="X379" s="1854"/>
      <c r="Y379" s="2003"/>
      <c r="AA379" s="2008">
        <f t="shared" si="138"/>
        <v>-3698.3745284356996</v>
      </c>
      <c r="AB379" s="2010">
        <f>'[27]QUADRO 19 (2019)'!$AD$30</f>
        <v>4179.1760000000004</v>
      </c>
    </row>
    <row r="380" spans="1:28" s="1855" customFormat="1" ht="23.25" hidden="1" customHeight="1">
      <c r="A380" s="1883" t="s">
        <v>770</v>
      </c>
      <c r="B380" s="1942"/>
      <c r="C380" s="1943" t="s">
        <v>771</v>
      </c>
      <c r="D380" s="1910"/>
      <c r="E380" s="1912" t="str">
        <f>+Dettes!A131</f>
        <v>Allègement</v>
      </c>
      <c r="F380" s="2072">
        <f>+Dettes!B131</f>
        <v>0</v>
      </c>
      <c r="G380" s="1912">
        <f>+Dettes!C131</f>
        <v>0</v>
      </c>
      <c r="H380" s="1912">
        <f>+Dettes!D131</f>
        <v>0</v>
      </c>
      <c r="I380" s="1912">
        <f>+Dettes!E131</f>
        <v>0</v>
      </c>
      <c r="J380" s="1912">
        <f>+Dettes!F131</f>
        <v>0</v>
      </c>
      <c r="K380" s="1912">
        <f>+Dettes!G131</f>
        <v>0</v>
      </c>
      <c r="L380" s="1912">
        <f>+Dettes!H131</f>
        <v>0</v>
      </c>
      <c r="M380" s="1912">
        <f>+Dettes!I131</f>
        <v>0</v>
      </c>
      <c r="N380" s="1912">
        <f>+Dettes!J131</f>
        <v>0</v>
      </c>
      <c r="O380" s="1912">
        <f>+Dettes!K131</f>
        <v>0</v>
      </c>
      <c r="P380" s="1912">
        <f>+Dettes!L131</f>
        <v>0</v>
      </c>
      <c r="Q380" s="1912">
        <f>+Dettes!M131</f>
        <v>0</v>
      </c>
      <c r="R380" s="1912">
        <f>+Dettes!N131</f>
        <v>0</v>
      </c>
      <c r="S380" s="1981">
        <f t="shared" si="129"/>
        <v>0</v>
      </c>
      <c r="T380" s="1856">
        <f t="shared" si="136"/>
        <v>0</v>
      </c>
      <c r="U380" s="1856">
        <f t="shared" si="119"/>
        <v>0</v>
      </c>
      <c r="V380" s="1856">
        <f t="shared" si="120"/>
        <v>0</v>
      </c>
      <c r="W380" s="1853" t="e">
        <f t="shared" si="123"/>
        <v>#DIV/0!</v>
      </c>
      <c r="X380" s="1854">
        <f t="shared" ref="X380:X386" si="141">S380/$X$1*100/1000</f>
        <v>0</v>
      </c>
      <c r="Y380" s="2003">
        <f t="shared" si="137"/>
        <v>0</v>
      </c>
      <c r="AA380" s="2008">
        <f t="shared" si="138"/>
        <v>0</v>
      </c>
    </row>
    <row r="381" spans="1:28" s="1855" customFormat="1" ht="23.25" hidden="1" customHeight="1">
      <c r="A381" s="1883" t="s">
        <v>1653</v>
      </c>
      <c r="B381" s="1942"/>
      <c r="C381" s="1943" t="s">
        <v>1654</v>
      </c>
      <c r="D381" s="1910"/>
      <c r="E381" s="1912">
        <f>+E382+E383</f>
        <v>166758.93841249999</v>
      </c>
      <c r="F381" s="2072">
        <f>+F382+F383</f>
        <v>0</v>
      </c>
      <c r="G381" s="1912">
        <f>+G382+G383</f>
        <v>0</v>
      </c>
      <c r="H381" s="1912">
        <f t="shared" ref="H381:R381" si="142">+H382+H383</f>
        <v>0</v>
      </c>
      <c r="I381" s="1912">
        <f t="shared" si="142"/>
        <v>79108.214999999997</v>
      </c>
      <c r="J381" s="1912">
        <f t="shared" si="142"/>
        <v>0</v>
      </c>
      <c r="K381" s="1912">
        <f t="shared" si="142"/>
        <v>0</v>
      </c>
      <c r="L381" s="1912">
        <f t="shared" si="142"/>
        <v>0</v>
      </c>
      <c r="M381" s="1912">
        <f t="shared" si="142"/>
        <v>328750</v>
      </c>
      <c r="N381" s="1912">
        <f t="shared" si="142"/>
        <v>0</v>
      </c>
      <c r="O381" s="1912">
        <f t="shared" si="142"/>
        <v>203713.40100000001</v>
      </c>
      <c r="P381" s="1912">
        <f t="shared" si="142"/>
        <v>303250</v>
      </c>
      <c r="Q381" s="1912">
        <f>+Q382+Q383</f>
        <v>0</v>
      </c>
      <c r="R381" s="1912">
        <f t="shared" si="142"/>
        <v>65661.45</v>
      </c>
      <c r="S381" s="1981">
        <f t="shared" si="129"/>
        <v>980483.06599999988</v>
      </c>
      <c r="T381" s="1856">
        <f t="shared" si="136"/>
        <v>79108.214999999997</v>
      </c>
      <c r="U381" s="1856">
        <f t="shared" si="119"/>
        <v>611571.61599999992</v>
      </c>
      <c r="V381" s="1856">
        <f t="shared" si="120"/>
        <v>980483.06599999988</v>
      </c>
      <c r="W381" s="1853" t="e">
        <f t="shared" si="123"/>
        <v>#DIV/0!</v>
      </c>
      <c r="X381" s="1854">
        <f t="shared" si="141"/>
        <v>0.12128537078957458</v>
      </c>
      <c r="Y381" s="2003">
        <f t="shared" si="137"/>
        <v>0.11786068830388266</v>
      </c>
      <c r="AA381" s="2008">
        <f t="shared" si="138"/>
        <v>980.48306599999989</v>
      </c>
    </row>
    <row r="382" spans="1:28" s="1855" customFormat="1" ht="23.25" hidden="1" customHeight="1">
      <c r="A382" s="1883" t="s">
        <v>1659</v>
      </c>
      <c r="B382" s="1942"/>
      <c r="C382" s="1943" t="s">
        <v>1660</v>
      </c>
      <c r="D382" s="1910"/>
      <c r="E382" s="1912">
        <f>+Dettes!D6</f>
        <v>166758.93841249999</v>
      </c>
      <c r="F382" s="2072">
        <f>+Dettes!E6</f>
        <v>0</v>
      </c>
      <c r="G382" s="1912">
        <f>+Dettes!F6</f>
        <v>0</v>
      </c>
      <c r="H382" s="1912">
        <f>+Dettes!J6</f>
        <v>0</v>
      </c>
      <c r="I382" s="1912">
        <f>+Dettes!N6</f>
        <v>79108.214999999997</v>
      </c>
      <c r="J382" s="1912">
        <f>+Dettes!R6</f>
        <v>0</v>
      </c>
      <c r="K382" s="1912">
        <f>+Dettes!V6</f>
        <v>0</v>
      </c>
      <c r="L382" s="1912">
        <f>+Dettes!Z6</f>
        <v>0</v>
      </c>
      <c r="M382" s="1912">
        <f>+Dettes!AD6</f>
        <v>328750</v>
      </c>
      <c r="N382" s="1912">
        <f>+Dettes!AH6</f>
        <v>0</v>
      </c>
      <c r="O382" s="1912">
        <f>+Dettes!AL6</f>
        <v>203713.40100000001</v>
      </c>
      <c r="P382" s="1912">
        <f>+Dettes!AP6</f>
        <v>303250</v>
      </c>
      <c r="Q382" s="1912">
        <f>+Dettes!AT6</f>
        <v>0</v>
      </c>
      <c r="R382" s="1912">
        <f>+Dettes!AX6</f>
        <v>65661.45</v>
      </c>
      <c r="S382" s="1981">
        <f t="shared" si="129"/>
        <v>980483.06599999988</v>
      </c>
      <c r="T382" s="1856">
        <f t="shared" si="136"/>
        <v>79108.214999999997</v>
      </c>
      <c r="U382" s="1856">
        <f t="shared" si="119"/>
        <v>611571.61599999992</v>
      </c>
      <c r="V382" s="1856">
        <f t="shared" si="120"/>
        <v>980483.06599999988</v>
      </c>
      <c r="W382" s="1853" t="e">
        <f t="shared" si="123"/>
        <v>#DIV/0!</v>
      </c>
      <c r="X382" s="1854">
        <f t="shared" si="141"/>
        <v>0.12128537078957458</v>
      </c>
      <c r="Y382" s="2003">
        <f t="shared" si="137"/>
        <v>0.11786068830388266</v>
      </c>
      <c r="AA382" s="2008">
        <f t="shared" si="138"/>
        <v>980.48306599999989</v>
      </c>
    </row>
    <row r="383" spans="1:28" s="1855" customFormat="1" ht="23.25" hidden="1" customHeight="1">
      <c r="A383" s="1883" t="s">
        <v>726</v>
      </c>
      <c r="B383" s="1942"/>
      <c r="C383" s="1943" t="s">
        <v>1663</v>
      </c>
      <c r="D383" s="1910"/>
      <c r="E383" s="1912"/>
      <c r="F383" s="2072"/>
      <c r="G383" s="1912"/>
      <c r="H383" s="1912"/>
      <c r="I383" s="1912"/>
      <c r="J383" s="1912"/>
      <c r="K383" s="1912"/>
      <c r="L383" s="1912"/>
      <c r="M383" s="1912"/>
      <c r="N383" s="1912"/>
      <c r="O383" s="1912"/>
      <c r="P383" s="1912"/>
      <c r="Q383" s="1912"/>
      <c r="R383" s="1912"/>
      <c r="S383" s="1981">
        <f t="shared" si="129"/>
        <v>0</v>
      </c>
      <c r="T383" s="1856">
        <f t="shared" si="136"/>
        <v>0</v>
      </c>
      <c r="U383" s="1856">
        <f t="shared" si="119"/>
        <v>0</v>
      </c>
      <c r="V383" s="1856">
        <f t="shared" si="120"/>
        <v>0</v>
      </c>
      <c r="W383" s="1853" t="e">
        <f t="shared" si="123"/>
        <v>#DIV/0!</v>
      </c>
      <c r="X383" s="1854">
        <f t="shared" si="141"/>
        <v>0</v>
      </c>
      <c r="Y383" s="2003">
        <f t="shared" si="137"/>
        <v>0</v>
      </c>
      <c r="AA383" s="2008">
        <f t="shared" si="138"/>
        <v>0</v>
      </c>
    </row>
    <row r="384" spans="1:28" s="1855" customFormat="1" ht="23.25" hidden="1" customHeight="1">
      <c r="A384" s="1883"/>
      <c r="B384" s="1942"/>
      <c r="C384" s="1943" t="s">
        <v>1673</v>
      </c>
      <c r="D384" s="1910">
        <v>0</v>
      </c>
      <c r="E384" s="1912"/>
      <c r="F384" s="2072"/>
      <c r="G384" s="1912"/>
      <c r="H384" s="1912"/>
      <c r="I384" s="1912"/>
      <c r="J384" s="1912"/>
      <c r="K384" s="1912"/>
      <c r="L384" s="1912"/>
      <c r="M384" s="1912"/>
      <c r="N384" s="1912"/>
      <c r="O384" s="1912"/>
      <c r="P384" s="1912"/>
      <c r="Q384" s="1912"/>
      <c r="R384" s="1912"/>
      <c r="S384" s="1981">
        <f t="shared" si="129"/>
        <v>0</v>
      </c>
      <c r="T384" s="1856">
        <f t="shared" si="136"/>
        <v>0</v>
      </c>
      <c r="U384" s="1856">
        <f t="shared" si="119"/>
        <v>0</v>
      </c>
      <c r="V384" s="1856">
        <f t="shared" si="120"/>
        <v>0</v>
      </c>
      <c r="W384" s="1853" t="e">
        <f t="shared" si="123"/>
        <v>#DIV/0!</v>
      </c>
      <c r="X384" s="1854">
        <f t="shared" si="141"/>
        <v>0</v>
      </c>
      <c r="Y384" s="2003">
        <f t="shared" si="137"/>
        <v>0</v>
      </c>
      <c r="AA384" s="2008">
        <f t="shared" si="138"/>
        <v>0</v>
      </c>
    </row>
    <row r="385" spans="1:27" s="1855" customFormat="1" ht="26.25" hidden="1">
      <c r="A385" s="1883"/>
      <c r="B385" s="1942"/>
      <c r="C385" s="1943"/>
      <c r="D385" s="1910"/>
      <c r="E385" s="1912"/>
      <c r="F385" s="2072"/>
      <c r="G385" s="1912"/>
      <c r="H385" s="1912"/>
      <c r="I385" s="1912"/>
      <c r="J385" s="1912"/>
      <c r="K385" s="1912"/>
      <c r="L385" s="1912"/>
      <c r="M385" s="1912"/>
      <c r="N385" s="1912"/>
      <c r="O385" s="1912"/>
      <c r="P385" s="1912"/>
      <c r="Q385" s="1912"/>
      <c r="R385" s="1912"/>
      <c r="S385" s="1981">
        <f t="shared" si="129"/>
        <v>0</v>
      </c>
      <c r="T385" s="1856">
        <f t="shared" si="136"/>
        <v>0</v>
      </c>
      <c r="U385" s="1856">
        <f t="shared" si="119"/>
        <v>0</v>
      </c>
      <c r="V385" s="1856">
        <f t="shared" si="120"/>
        <v>0</v>
      </c>
      <c r="W385" s="1853" t="e">
        <f t="shared" si="123"/>
        <v>#DIV/0!</v>
      </c>
      <c r="X385" s="1854">
        <f t="shared" si="141"/>
        <v>0</v>
      </c>
      <c r="Y385" s="2003">
        <f t="shared" si="137"/>
        <v>0</v>
      </c>
      <c r="AA385" s="2008">
        <f t="shared" si="138"/>
        <v>0</v>
      </c>
    </row>
    <row r="386" spans="1:27" s="1855" customFormat="1" ht="27" thickBot="1">
      <c r="A386" s="1883" t="s">
        <v>727</v>
      </c>
      <c r="B386" s="1953"/>
      <c r="C386" s="1963" t="s">
        <v>728</v>
      </c>
      <c r="D386" s="1954"/>
      <c r="E386" s="1997">
        <f>E335+E337</f>
        <v>1764797.8667960912</v>
      </c>
      <c r="F386" s="2080">
        <f>F335+F337</f>
        <v>102818289.331</v>
      </c>
      <c r="G386" s="1997">
        <f>G335+G337</f>
        <v>2119588.358437804</v>
      </c>
      <c r="H386" s="1997">
        <f>H335+H337</f>
        <v>-1571165.5744628804</v>
      </c>
      <c r="I386" s="1997">
        <f t="shared" ref="I386:R386" si="143">I335+I337</f>
        <v>-2449108.354160103</v>
      </c>
      <c r="J386" s="1997">
        <f t="shared" si="143"/>
        <v>-1549980.3608852034</v>
      </c>
      <c r="K386" s="1997">
        <f t="shared" si="143"/>
        <v>-23698445.242164999</v>
      </c>
      <c r="L386" s="1997">
        <f t="shared" si="143"/>
        <v>74660.844590054825</v>
      </c>
      <c r="M386" s="1997">
        <f t="shared" si="143"/>
        <v>2269507.1549999965</v>
      </c>
      <c r="N386" s="1997">
        <f t="shared" si="143"/>
        <v>-3097495.0249600024</v>
      </c>
      <c r="O386" s="1997">
        <f t="shared" si="143"/>
        <v>-530290.41308509931</v>
      </c>
      <c r="P386" s="1997">
        <f t="shared" si="143"/>
        <v>7091740.2705324907</v>
      </c>
      <c r="Q386" s="1997">
        <f t="shared" si="143"/>
        <v>-1516289.2896431875</v>
      </c>
      <c r="R386" s="1997">
        <f t="shared" si="143"/>
        <v>17754494.041999809</v>
      </c>
      <c r="S386" s="1998">
        <f>SUM(G386:R386)</f>
        <v>-5102783.5888013206</v>
      </c>
      <c r="T386" s="1856">
        <f t="shared" si="136"/>
        <v>-27074450.328645326</v>
      </c>
      <c r="U386" s="1856">
        <f t="shared" si="119"/>
        <v>-28432728.611690432</v>
      </c>
      <c r="V386" s="1856">
        <f t="shared" si="120"/>
        <v>-5102783.5888013206</v>
      </c>
      <c r="W386" s="1853">
        <f t="shared" si="123"/>
        <v>-4.9629143044522692</v>
      </c>
      <c r="X386" s="1854">
        <f t="shared" si="141"/>
        <v>-0.63121232899164048</v>
      </c>
      <c r="Y386" s="2003">
        <f t="shared" si="137"/>
        <v>-0.61338905983908176</v>
      </c>
      <c r="AA386" s="2008">
        <f t="shared" si="138"/>
        <v>-5102.7835888013205</v>
      </c>
    </row>
    <row r="387" spans="1:27" s="1855" customFormat="1" ht="27" thickBot="1">
      <c r="A387" s="1897" t="s">
        <v>730</v>
      </c>
      <c r="B387" s="1901"/>
      <c r="C387" s="1902" t="s">
        <v>731</v>
      </c>
      <c r="D387" s="1903" t="e">
        <f t="shared" ref="D387:Q387" si="144">D335+D337-D386</f>
        <v>#REF!</v>
      </c>
      <c r="E387" s="1999">
        <f>E335+E337-E386</f>
        <v>0</v>
      </c>
      <c r="F387" s="1999">
        <f>F335+F337-F386</f>
        <v>0</v>
      </c>
      <c r="G387" s="1999">
        <f t="shared" si="144"/>
        <v>0</v>
      </c>
      <c r="H387" s="1999">
        <f t="shared" si="144"/>
        <v>0</v>
      </c>
      <c r="I387" s="1999">
        <f t="shared" si="144"/>
        <v>0</v>
      </c>
      <c r="J387" s="1999">
        <f t="shared" si="144"/>
        <v>0</v>
      </c>
      <c r="K387" s="1999">
        <f t="shared" si="144"/>
        <v>0</v>
      </c>
      <c r="L387" s="1999">
        <f t="shared" si="144"/>
        <v>0</v>
      </c>
      <c r="M387" s="1999">
        <f t="shared" si="144"/>
        <v>0</v>
      </c>
      <c r="N387" s="1999">
        <f t="shared" si="144"/>
        <v>0</v>
      </c>
      <c r="O387" s="1999">
        <f t="shared" si="144"/>
        <v>0</v>
      </c>
      <c r="P387" s="1999">
        <f t="shared" si="144"/>
        <v>0</v>
      </c>
      <c r="Q387" s="1999">
        <f t="shared" si="144"/>
        <v>0</v>
      </c>
      <c r="R387" s="1999">
        <f>R335+R337-R386</f>
        <v>0</v>
      </c>
      <c r="S387" s="2000">
        <f>SUM(G387:R387)</f>
        <v>0</v>
      </c>
      <c r="T387" s="1878">
        <f t="shared" si="136"/>
        <v>0</v>
      </c>
      <c r="U387" s="1878">
        <f t="shared" si="119"/>
        <v>0</v>
      </c>
      <c r="V387" s="1878">
        <f t="shared" si="120"/>
        <v>0</v>
      </c>
      <c r="W387" s="1879" t="e">
        <f t="shared" si="123"/>
        <v>#DIV/0!</v>
      </c>
      <c r="X387" s="1880">
        <f>S387/$X$1*100/1000</f>
        <v>0</v>
      </c>
      <c r="Y387" s="2003">
        <f t="shared" si="137"/>
        <v>0</v>
      </c>
      <c r="AA387" s="2008">
        <f t="shared" si="138"/>
        <v>0</v>
      </c>
    </row>
    <row r="388" spans="1:27" ht="26.25">
      <c r="A388" s="1814"/>
      <c r="B388" s="1815"/>
      <c r="C388" s="1815"/>
      <c r="D388" s="1816"/>
      <c r="E388" s="1816"/>
      <c r="F388" s="1816"/>
      <c r="G388" s="1816"/>
      <c r="H388" s="1816"/>
      <c r="I388" s="1816"/>
      <c r="J388" s="1816"/>
      <c r="K388" s="1816"/>
      <c r="L388" s="1816"/>
      <c r="M388" s="1816"/>
      <c r="N388" s="1816"/>
      <c r="O388" s="1816"/>
      <c r="P388" s="1816"/>
      <c r="Q388" s="1816"/>
      <c r="R388" s="1816"/>
      <c r="S388" s="1817"/>
      <c r="T388" s="1665"/>
      <c r="U388" s="1665"/>
      <c r="V388" s="1665">
        <f t="shared" si="120"/>
        <v>0</v>
      </c>
      <c r="W388" s="1665"/>
      <c r="AA388" s="2008">
        <f t="shared" si="138"/>
        <v>0</v>
      </c>
    </row>
    <row r="389" spans="1:27" ht="26.25">
      <c r="A389" s="1814"/>
      <c r="B389" s="1818"/>
      <c r="C389" s="1818"/>
      <c r="D389" s="1819"/>
      <c r="E389" s="1819"/>
      <c r="F389" s="1816"/>
      <c r="G389" s="1816">
        <f>IF(G386=Tofe!F227,0,1)</f>
        <v>1</v>
      </c>
      <c r="H389" s="1816">
        <f>IF(H386=Tofe!G227,0,1)</f>
        <v>0</v>
      </c>
      <c r="I389" s="1816">
        <f>IF(I386=Tofe!H227,0,1)</f>
        <v>0</v>
      </c>
      <c r="J389" s="1816">
        <f>IF(J386=Tofe!I227,0,1)</f>
        <v>0</v>
      </c>
      <c r="K389" s="1816">
        <f>IF(K386=Tofe!J227,0,1)</f>
        <v>0</v>
      </c>
      <c r="L389" s="1816">
        <f>IF(L386=Tofe!K227,0,1)</f>
        <v>0</v>
      </c>
      <c r="M389" s="1816">
        <f>IF(M386=Tofe!L227,0,1)</f>
        <v>0</v>
      </c>
      <c r="N389" s="1816">
        <f>IF(N386=Tofe!M227,0,1)</f>
        <v>0</v>
      </c>
      <c r="O389" s="2022">
        <f>IF(O386=Tofe!N227,0,1)</f>
        <v>1</v>
      </c>
      <c r="P389" s="1816">
        <f>IF(P386=Tofe!O227,0,1)</f>
        <v>0</v>
      </c>
      <c r="Q389" s="1816">
        <f>IF(Q386=Tofe!P227,0,1)</f>
        <v>0</v>
      </c>
      <c r="R389" s="1816">
        <f>IF(R386=Tofe!Q227,0,1)</f>
        <v>0</v>
      </c>
      <c r="S389" s="1821"/>
      <c r="T389" s="1665"/>
      <c r="U389" s="1665"/>
      <c r="V389" s="1665"/>
      <c r="W389" s="1665"/>
      <c r="AA389" s="2008"/>
    </row>
    <row r="390" spans="1:27" ht="26.25">
      <c r="A390" s="1814"/>
      <c r="B390" s="1822"/>
      <c r="C390" s="1822"/>
      <c r="D390" s="1819"/>
      <c r="E390" s="1819"/>
      <c r="F390" s="1816"/>
      <c r="G390" s="1816">
        <f>G386-Tofe!F227</f>
        <v>0</v>
      </c>
      <c r="H390" s="1816"/>
      <c r="I390" s="1816"/>
      <c r="J390" s="1816"/>
      <c r="K390" s="1816"/>
      <c r="L390" s="1816"/>
      <c r="M390" s="1816"/>
      <c r="N390" s="1816"/>
      <c r="O390" s="1816"/>
      <c r="P390" s="1816"/>
      <c r="Q390" s="1816"/>
      <c r="R390" s="1816"/>
      <c r="S390" s="1817"/>
      <c r="T390" s="1665"/>
      <c r="U390" s="1665"/>
      <c r="V390" s="1665"/>
      <c r="W390" s="1665"/>
      <c r="AA390" s="2008"/>
    </row>
    <row r="391" spans="1:27" ht="26.25">
      <c r="A391" s="1814"/>
      <c r="B391" s="1822"/>
      <c r="C391" s="1822"/>
      <c r="D391" s="1819"/>
      <c r="E391" s="1819"/>
      <c r="F391" s="1823"/>
      <c r="G391" s="1816"/>
      <c r="H391" s="1816"/>
      <c r="I391" s="1816"/>
      <c r="J391" s="1816"/>
      <c r="K391" s="1816"/>
      <c r="L391" s="1816"/>
      <c r="M391" s="1816"/>
      <c r="N391" s="1816"/>
      <c r="O391" s="1816">
        <f>O386-Tofe!N227</f>
        <v>7.4505805969238281E-9</v>
      </c>
      <c r="P391" s="1816"/>
      <c r="Q391" s="1816"/>
      <c r="R391" s="1816"/>
      <c r="S391" s="1824"/>
      <c r="T391" s="1665"/>
      <c r="U391" s="1665"/>
      <c r="V391" s="1665"/>
      <c r="W391" s="1665"/>
      <c r="AA391" s="2008"/>
    </row>
    <row r="392" spans="1:27" ht="26.25">
      <c r="A392" s="1814"/>
      <c r="B392" s="1822"/>
      <c r="C392" s="1822"/>
      <c r="D392" s="1819"/>
      <c r="E392" s="1819"/>
      <c r="F392" s="1820"/>
      <c r="G392" s="1820"/>
      <c r="H392" s="1820"/>
      <c r="I392" s="1820"/>
      <c r="J392" s="1820"/>
      <c r="K392" s="1820"/>
      <c r="L392" s="1820"/>
      <c r="M392" s="1820"/>
      <c r="N392" s="1820"/>
      <c r="O392" s="1820"/>
      <c r="P392" s="1820"/>
      <c r="Q392" s="1820"/>
      <c r="R392" s="1820"/>
      <c r="S392" s="1820"/>
      <c r="T392" s="1665"/>
      <c r="U392" s="1665"/>
      <c r="V392" s="1665"/>
      <c r="W392" s="1665"/>
      <c r="AA392" s="2008"/>
    </row>
    <row r="393" spans="1:27" ht="26.25">
      <c r="A393" s="1786"/>
      <c r="B393" s="1822"/>
      <c r="C393" s="1822"/>
      <c r="D393" s="1819"/>
      <c r="E393" s="1819"/>
      <c r="F393" s="1820"/>
      <c r="G393" s="1820"/>
      <c r="H393" s="1820"/>
      <c r="I393" s="1820"/>
      <c r="J393" s="1820"/>
      <c r="K393" s="1820"/>
      <c r="L393" s="1820"/>
      <c r="M393" s="1820"/>
      <c r="N393" s="1820"/>
      <c r="O393" s="1820"/>
      <c r="P393" s="1820"/>
      <c r="Q393" s="1820"/>
      <c r="R393" s="1820"/>
      <c r="S393" s="1820"/>
      <c r="T393" s="1665"/>
      <c r="U393" s="1665"/>
      <c r="V393" s="1665"/>
      <c r="W393" s="1665"/>
      <c r="AA393" s="2008"/>
    </row>
    <row r="394" spans="1:27" ht="26.25">
      <c r="A394" s="1786"/>
      <c r="B394" s="1822"/>
      <c r="C394" s="1822"/>
      <c r="D394" s="1816"/>
      <c r="E394" s="1816"/>
      <c r="F394" s="1820"/>
      <c r="G394" s="1820"/>
      <c r="H394" s="1820"/>
      <c r="I394" s="1820"/>
      <c r="J394" s="1820"/>
      <c r="K394" s="1820"/>
      <c r="L394" s="1820"/>
      <c r="M394" s="1820"/>
      <c r="N394" s="1820"/>
      <c r="O394" s="1820"/>
      <c r="P394" s="1820"/>
      <c r="Q394" s="1820"/>
      <c r="R394" s="1820"/>
      <c r="S394" s="1820"/>
      <c r="T394" s="1665"/>
      <c r="U394" s="1665"/>
      <c r="V394" s="1665"/>
      <c r="W394" s="1665"/>
      <c r="AA394" s="2008"/>
    </row>
    <row r="395" spans="1:27" ht="26.25">
      <c r="A395" s="1786"/>
      <c r="B395" s="1822"/>
      <c r="C395" s="1822"/>
      <c r="D395" s="1816"/>
      <c r="E395" s="1816"/>
      <c r="F395" s="1826"/>
      <c r="G395" s="1826"/>
      <c r="H395" s="1826"/>
      <c r="I395" s="1826"/>
      <c r="J395" s="1826"/>
      <c r="K395" s="1826"/>
      <c r="L395" s="1826"/>
      <c r="M395" s="1826"/>
      <c r="N395" s="1826"/>
      <c r="O395" s="1826"/>
      <c r="P395" s="1826"/>
      <c r="Q395" s="1826"/>
      <c r="R395" s="1826"/>
      <c r="S395" s="1826"/>
      <c r="T395" s="1827"/>
      <c r="U395" s="1665"/>
      <c r="V395" s="1665"/>
      <c r="W395" s="1665"/>
      <c r="AA395" s="2008"/>
    </row>
    <row r="396" spans="1:27" ht="26.25">
      <c r="A396" s="1786"/>
      <c r="B396" s="1822"/>
      <c r="C396" s="1822"/>
      <c r="D396" s="1816"/>
      <c r="E396" s="1816"/>
      <c r="F396" s="1820"/>
      <c r="G396" s="1820"/>
      <c r="H396" s="1820"/>
      <c r="I396" s="1820"/>
      <c r="J396" s="1820"/>
      <c r="K396" s="1820"/>
      <c r="L396" s="1820"/>
      <c r="M396" s="1820"/>
      <c r="N396" s="1820"/>
      <c r="O396" s="1820"/>
      <c r="P396" s="1820"/>
      <c r="Q396" s="1820"/>
      <c r="R396" s="1820"/>
      <c r="S396" s="1826"/>
      <c r="T396" s="1827"/>
      <c r="U396" s="1665"/>
      <c r="V396" s="1665"/>
      <c r="W396" s="1665"/>
      <c r="AA396" s="2008"/>
    </row>
    <row r="397" spans="1:27">
      <c r="A397" s="1786"/>
      <c r="B397" s="1822"/>
      <c r="C397" s="1822"/>
      <c r="D397" s="1816"/>
      <c r="E397" s="1816"/>
      <c r="F397" s="1820"/>
      <c r="G397" s="1820"/>
      <c r="H397" s="1820"/>
      <c r="I397" s="1820"/>
      <c r="J397" s="1820"/>
      <c r="K397" s="1820"/>
      <c r="L397" s="1820"/>
      <c r="M397" s="1820"/>
      <c r="N397" s="1820"/>
      <c r="O397" s="1820"/>
      <c r="P397" s="1820"/>
      <c r="Q397" s="1820"/>
      <c r="R397" s="1820"/>
      <c r="S397" s="1826"/>
      <c r="T397" s="1827"/>
      <c r="U397" s="1665"/>
      <c r="V397" s="1665"/>
      <c r="W397" s="1665"/>
    </row>
    <row r="398" spans="1:27">
      <c r="A398" s="1786"/>
      <c r="B398" s="1822"/>
      <c r="C398" s="1822"/>
      <c r="D398" s="1816"/>
      <c r="E398" s="1816"/>
      <c r="F398" s="1820"/>
      <c r="G398" s="1820"/>
      <c r="H398" s="1820"/>
      <c r="I398" s="1820"/>
      <c r="J398" s="1820"/>
      <c r="K398" s="1820"/>
      <c r="L398" s="1820"/>
      <c r="M398" s="1820"/>
      <c r="N398" s="1820"/>
      <c r="O398" s="1820"/>
      <c r="P398" s="1820"/>
      <c r="Q398" s="1820"/>
      <c r="R398" s="1820"/>
      <c r="S398" s="1826"/>
      <c r="T398" s="1827"/>
      <c r="U398" s="1665"/>
      <c r="V398" s="1665"/>
      <c r="W398" s="1665"/>
    </row>
    <row r="399" spans="1:27">
      <c r="A399" s="1786"/>
      <c r="B399" s="1828"/>
      <c r="C399" s="1828"/>
      <c r="D399" s="1816"/>
      <c r="E399" s="1816"/>
      <c r="F399" s="1820"/>
      <c r="G399" s="1820"/>
      <c r="H399" s="1816"/>
      <c r="I399" s="1816"/>
      <c r="J399" s="1816"/>
      <c r="K399" s="1816"/>
      <c r="L399" s="1816"/>
      <c r="M399" s="1816"/>
      <c r="N399" s="1816"/>
      <c r="O399" s="1816"/>
      <c r="P399" s="1816"/>
      <c r="Q399" s="1816"/>
      <c r="R399" s="1816"/>
      <c r="S399" s="1826"/>
      <c r="T399" s="1665"/>
      <c r="U399" s="1665"/>
      <c r="V399" s="1665"/>
      <c r="W399" s="1665"/>
    </row>
    <row r="400" spans="1:27">
      <c r="A400" s="1786"/>
      <c r="B400" s="1829"/>
      <c r="C400" s="1829"/>
      <c r="D400" s="1786"/>
      <c r="E400" s="1786"/>
      <c r="F400" s="1830"/>
      <c r="G400" s="1831"/>
      <c r="H400" s="1831"/>
      <c r="I400" s="1831"/>
      <c r="J400" s="1831"/>
      <c r="K400" s="1831"/>
      <c r="L400" s="1831"/>
      <c r="M400" s="1831"/>
      <c r="N400" s="1831"/>
      <c r="O400" s="1831"/>
      <c r="P400" s="1831"/>
      <c r="Q400" s="1831"/>
      <c r="R400" s="1831"/>
      <c r="S400" s="1816"/>
    </row>
    <row r="401" spans="1:21">
      <c r="A401" s="1786"/>
      <c r="B401" s="1832"/>
      <c r="C401" s="1832"/>
      <c r="D401" s="1786"/>
      <c r="E401" s="1786"/>
      <c r="F401" s="1830"/>
      <c r="G401" s="1831"/>
      <c r="H401" s="1831"/>
      <c r="I401" s="1831"/>
      <c r="J401" s="1831"/>
      <c r="K401" s="1831"/>
      <c r="L401" s="1831"/>
      <c r="M401" s="1831"/>
      <c r="N401" s="1831"/>
      <c r="O401" s="1831"/>
      <c r="P401" s="1831"/>
      <c r="Q401" s="1831"/>
      <c r="R401" s="1831"/>
      <c r="S401" s="1816"/>
    </row>
    <row r="402" spans="1:21">
      <c r="A402" s="1786"/>
      <c r="B402" s="1834"/>
      <c r="C402" s="1834"/>
      <c r="D402" s="1786"/>
      <c r="E402" s="1786"/>
      <c r="F402" s="1786"/>
      <c r="G402" s="1816"/>
      <c r="H402" s="1816"/>
      <c r="I402" s="1816"/>
      <c r="J402" s="1816"/>
      <c r="K402" s="1816"/>
      <c r="L402" s="1816"/>
      <c r="M402" s="1816"/>
      <c r="N402" s="1816"/>
      <c r="O402" s="1816"/>
      <c r="P402" s="1816"/>
      <c r="Q402" s="1816"/>
      <c r="R402" s="1816"/>
      <c r="S402" s="1816"/>
      <c r="T402" s="1665"/>
    </row>
    <row r="403" spans="1:21">
      <c r="A403" s="1786"/>
      <c r="B403" s="1835"/>
      <c r="C403" s="1835"/>
      <c r="D403" s="1786"/>
      <c r="E403" s="1786"/>
      <c r="F403" s="1786"/>
      <c r="G403" s="1816"/>
      <c r="H403" s="1816"/>
      <c r="I403" s="1816"/>
      <c r="J403" s="1816"/>
      <c r="K403" s="1816"/>
      <c r="L403" s="1816"/>
      <c r="M403" s="1816"/>
      <c r="N403" s="1816"/>
      <c r="O403" s="1816"/>
      <c r="P403" s="1819"/>
      <c r="Q403" s="1816"/>
      <c r="R403" s="1819"/>
      <c r="S403" s="1816"/>
      <c r="U403" s="1708"/>
    </row>
    <row r="404" spans="1:21">
      <c r="G404" s="1816"/>
      <c r="H404" s="1816"/>
      <c r="I404" s="1816"/>
      <c r="J404" s="1816"/>
      <c r="K404" s="1816"/>
      <c r="L404" s="1816"/>
      <c r="M404" s="1816"/>
      <c r="N404" s="1816"/>
      <c r="O404" s="1816"/>
      <c r="P404" s="1816"/>
      <c r="Q404" s="1816"/>
      <c r="R404" s="1816"/>
      <c r="S404" s="1816"/>
      <c r="U404" s="1708"/>
    </row>
    <row r="405" spans="1:21">
      <c r="G405" s="1816"/>
      <c r="H405" s="1816"/>
      <c r="I405" s="1816"/>
      <c r="J405" s="1816"/>
      <c r="K405" s="1816"/>
      <c r="L405" s="1816"/>
      <c r="M405" s="1816"/>
      <c r="N405" s="1816"/>
      <c r="O405" s="1816"/>
      <c r="P405" s="1816"/>
      <c r="Q405" s="1816"/>
      <c r="R405" s="1816"/>
      <c r="S405" s="1816"/>
      <c r="U405" s="1696"/>
    </row>
    <row r="406" spans="1:21">
      <c r="G406" s="1816"/>
      <c r="H406" s="1816"/>
      <c r="I406" s="1816"/>
      <c r="J406" s="1816"/>
      <c r="K406" s="1816"/>
      <c r="L406" s="1816"/>
      <c r="M406" s="1816"/>
      <c r="N406" s="1816"/>
      <c r="O406" s="1816"/>
      <c r="P406" s="1816"/>
      <c r="Q406" s="1816"/>
      <c r="R406" s="1816"/>
      <c r="S406" s="1816"/>
    </row>
    <row r="407" spans="1:21">
      <c r="F407" s="1836"/>
      <c r="G407" s="1823"/>
      <c r="H407" s="1823"/>
      <c r="I407" s="1823"/>
      <c r="J407" s="1823"/>
      <c r="K407" s="1823"/>
      <c r="L407" s="1823"/>
      <c r="M407" s="1823"/>
      <c r="N407" s="1823"/>
      <c r="O407" s="1823"/>
      <c r="P407" s="1823"/>
      <c r="Q407" s="1823"/>
      <c r="R407" s="1823"/>
      <c r="S407" s="1823"/>
      <c r="U407" s="1696"/>
    </row>
    <row r="408" spans="1:21">
      <c r="G408" s="1708"/>
      <c r="H408" s="1708"/>
      <c r="I408" s="1708"/>
      <c r="J408" s="1708"/>
      <c r="K408" s="1708"/>
      <c r="L408" s="1708"/>
      <c r="M408" s="1708"/>
      <c r="N408" s="1708"/>
      <c r="O408" s="1708"/>
      <c r="P408" s="1708"/>
      <c r="Q408" s="1708"/>
      <c r="R408" s="1708"/>
      <c r="S408" s="1816"/>
      <c r="U408" s="1696"/>
    </row>
    <row r="409" spans="1:21">
      <c r="G409" s="1665"/>
      <c r="H409" s="1665"/>
      <c r="I409" s="1665"/>
      <c r="J409" s="1665"/>
      <c r="K409" s="1665"/>
      <c r="L409" s="1665"/>
      <c r="M409" s="1665"/>
      <c r="N409" s="1665"/>
      <c r="O409" s="1665"/>
      <c r="P409" s="1665"/>
      <c r="Q409" s="1665"/>
      <c r="R409" s="1665"/>
      <c r="S409" s="1816"/>
      <c r="U409" s="1696"/>
    </row>
    <row r="410" spans="1:21">
      <c r="G410" s="1665"/>
      <c r="H410" s="1665"/>
      <c r="I410" s="1665"/>
      <c r="J410" s="1665"/>
      <c r="K410" s="1665"/>
      <c r="L410" s="1665"/>
      <c r="M410" s="1665"/>
      <c r="N410" s="1665"/>
      <c r="O410" s="1665"/>
      <c r="P410" s="1665"/>
      <c r="Q410" s="1665"/>
      <c r="R410" s="1665"/>
      <c r="S410" s="1816"/>
    </row>
    <row r="411" spans="1:21">
      <c r="G411" s="1819"/>
      <c r="H411" s="1819"/>
      <c r="I411" s="1819"/>
      <c r="J411" s="1819"/>
      <c r="K411" s="1819"/>
      <c r="L411" s="1819"/>
      <c r="M411" s="1819"/>
      <c r="N411" s="1819"/>
      <c r="O411" s="1819"/>
      <c r="P411" s="1819"/>
      <c r="Q411" s="1819"/>
      <c r="R411" s="1819"/>
      <c r="S411" s="1816"/>
      <c r="U411" s="1696"/>
    </row>
    <row r="412" spans="1:21">
      <c r="G412" s="1819"/>
      <c r="H412" s="1819"/>
      <c r="I412" s="1819"/>
      <c r="J412" s="1819"/>
      <c r="K412" s="1819"/>
      <c r="L412" s="1819"/>
      <c r="M412" s="1819"/>
      <c r="N412" s="1819"/>
      <c r="O412" s="1819"/>
      <c r="P412" s="1819"/>
      <c r="Q412" s="1819"/>
      <c r="R412" s="1819"/>
      <c r="S412" s="1816"/>
      <c r="U412" s="1696"/>
    </row>
    <row r="413" spans="1:21">
      <c r="G413" s="1819"/>
      <c r="H413" s="1819"/>
      <c r="I413" s="1819"/>
      <c r="J413" s="1819"/>
      <c r="K413" s="1819"/>
      <c r="L413" s="1819"/>
      <c r="M413" s="1819"/>
      <c r="N413" s="1819"/>
      <c r="O413" s="1819"/>
      <c r="P413" s="1819"/>
      <c r="Q413" s="1819"/>
      <c r="R413" s="1819"/>
      <c r="S413" s="1816"/>
    </row>
    <row r="414" spans="1:21">
      <c r="F414" s="1751"/>
      <c r="G414" s="1823"/>
      <c r="H414" s="1823"/>
      <c r="I414" s="1823"/>
      <c r="J414" s="1823"/>
      <c r="K414" s="1823"/>
      <c r="L414" s="1823"/>
      <c r="M414" s="1823"/>
      <c r="N414" s="1823"/>
      <c r="O414" s="1823"/>
      <c r="P414" s="1823"/>
      <c r="Q414" s="1823"/>
      <c r="R414" s="1823"/>
      <c r="S414" s="1823"/>
      <c r="U414" s="1696"/>
    </row>
    <row r="415" spans="1:21">
      <c r="G415" s="1823"/>
      <c r="H415" s="1823"/>
      <c r="I415" s="1823"/>
      <c r="J415" s="1823"/>
      <c r="K415" s="1823"/>
      <c r="L415" s="1823"/>
      <c r="M415" s="1823"/>
      <c r="N415" s="1816"/>
      <c r="O415" s="1816"/>
      <c r="P415" s="1816"/>
      <c r="Q415" s="1816"/>
      <c r="R415" s="1816"/>
      <c r="S415" s="1816"/>
      <c r="U415" s="1696"/>
    </row>
    <row r="416" spans="1:21">
      <c r="F416" s="1837"/>
      <c r="G416" s="1838"/>
      <c r="H416" s="1838"/>
      <c r="I416" s="1838"/>
      <c r="J416" s="1838"/>
      <c r="K416" s="1838"/>
      <c r="L416" s="1838"/>
      <c r="M416" s="1838"/>
      <c r="N416" s="1838"/>
      <c r="O416" s="1838"/>
      <c r="P416" s="1838"/>
      <c r="Q416" s="1838"/>
      <c r="R416" s="1838"/>
      <c r="S416" s="1838"/>
    </row>
    <row r="417" spans="7:19">
      <c r="G417" s="1816"/>
      <c r="H417" s="1816"/>
      <c r="I417" s="1816"/>
      <c r="J417" s="1816"/>
      <c r="K417" s="1816"/>
      <c r="L417" s="1816"/>
      <c r="M417" s="1816"/>
      <c r="N417" s="1816"/>
      <c r="O417" s="1816"/>
      <c r="P417" s="1816"/>
      <c r="Q417" s="1816"/>
      <c r="R417" s="1816"/>
      <c r="S417" s="1816"/>
    </row>
    <row r="418" spans="7:19">
      <c r="G418" s="1819"/>
      <c r="H418" s="1819"/>
      <c r="I418" s="1816"/>
      <c r="J418" s="1819"/>
      <c r="K418" s="1819"/>
      <c r="L418" s="1816"/>
      <c r="M418" s="1819"/>
      <c r="N418" s="1819"/>
      <c r="O418" s="1819"/>
      <c r="P418" s="1816"/>
      <c r="Q418" s="1819"/>
      <c r="R418" s="1819"/>
      <c r="S418" s="1816"/>
    </row>
    <row r="419" spans="7:19">
      <c r="G419" s="1816"/>
      <c r="H419" s="1816"/>
      <c r="I419" s="1816"/>
      <c r="J419" s="1816"/>
      <c r="K419" s="1816"/>
      <c r="L419" s="1816"/>
      <c r="M419" s="1816"/>
      <c r="N419" s="1816"/>
      <c r="O419" s="1816"/>
      <c r="P419" s="1816"/>
      <c r="Q419" s="1816"/>
      <c r="R419" s="1816"/>
      <c r="S419" s="1816"/>
    </row>
    <row r="420" spans="7:19">
      <c r="G420" s="1819"/>
      <c r="H420" s="1819"/>
      <c r="I420" s="1816"/>
      <c r="J420" s="1819"/>
      <c r="K420" s="1819"/>
      <c r="L420" s="1816"/>
      <c r="M420" s="1839"/>
      <c r="N420" s="1819"/>
      <c r="O420" s="1819"/>
      <c r="P420" s="1816"/>
      <c r="Q420" s="1819"/>
      <c r="R420" s="1819"/>
      <c r="S420" s="1816"/>
    </row>
    <row r="421" spans="7:19">
      <c r="G421" s="1816"/>
      <c r="H421" s="1816"/>
      <c r="I421" s="1816"/>
      <c r="J421" s="1816"/>
      <c r="K421" s="1816"/>
      <c r="L421" s="1816"/>
      <c r="M421" s="1840"/>
      <c r="N421" s="1816"/>
      <c r="O421" s="1816"/>
      <c r="P421" s="1816"/>
      <c r="Q421" s="1816"/>
      <c r="R421" s="1816"/>
      <c r="S421" s="1823"/>
    </row>
    <row r="422" spans="7:19">
      <c r="G422" s="1819"/>
      <c r="H422" s="1819"/>
      <c r="I422" s="1816"/>
      <c r="J422" s="1819"/>
      <c r="K422" s="1819"/>
      <c r="L422" s="1816"/>
      <c r="M422" s="1839"/>
      <c r="N422" s="1819"/>
      <c r="O422" s="1819"/>
      <c r="P422" s="1816"/>
      <c r="Q422" s="1819"/>
      <c r="R422" s="1819"/>
      <c r="S422" s="1816"/>
    </row>
    <row r="423" spans="7:19">
      <c r="G423" s="1816"/>
      <c r="H423" s="1816"/>
      <c r="I423" s="1816"/>
      <c r="J423" s="1816"/>
      <c r="K423" s="1816"/>
      <c r="L423" s="1816"/>
      <c r="M423" s="1840"/>
      <c r="N423" s="1816"/>
      <c r="O423" s="1816"/>
      <c r="P423" s="1816"/>
      <c r="Q423" s="1816"/>
      <c r="R423" s="1816"/>
      <c r="S423" s="1816"/>
    </row>
    <row r="424" spans="7:19">
      <c r="M424" s="1841"/>
      <c r="P424" s="1708"/>
      <c r="Q424" s="1819"/>
    </row>
    <row r="425" spans="7:19">
      <c r="M425" s="1841"/>
      <c r="P425" s="1708"/>
      <c r="Q425" s="1819"/>
    </row>
    <row r="426" spans="7:19">
      <c r="M426" s="1841"/>
      <c r="P426" s="1708"/>
      <c r="Q426" s="1819"/>
    </row>
    <row r="427" spans="7:19">
      <c r="M427" s="1841"/>
      <c r="P427" s="1708"/>
      <c r="Q427" s="1819"/>
    </row>
    <row r="428" spans="7:19">
      <c r="M428" s="1841"/>
      <c r="P428" s="1708"/>
      <c r="Q428" s="1665"/>
    </row>
    <row r="429" spans="7:19">
      <c r="M429" s="1841"/>
      <c r="P429" s="1842"/>
    </row>
    <row r="430" spans="7:19">
      <c r="M430" s="1841"/>
    </row>
    <row r="431" spans="7:19">
      <c r="M431" s="1841"/>
    </row>
    <row r="432" spans="7:19">
      <c r="M432" s="1841"/>
    </row>
    <row r="433" spans="13:13">
      <c r="M433" s="1841"/>
    </row>
    <row r="434" spans="13:13">
      <c r="M434" s="1841"/>
    </row>
    <row r="435" spans="13:13">
      <c r="M435" s="1841"/>
    </row>
    <row r="436" spans="13:13">
      <c r="M436" s="1841"/>
    </row>
    <row r="437" spans="13:13">
      <c r="M437" s="1841"/>
    </row>
    <row r="438" spans="13:13">
      <c r="M438" s="1841"/>
    </row>
    <row r="439" spans="13:13">
      <c r="M439" s="1841"/>
    </row>
  </sheetData>
  <printOptions horizontalCentered="1"/>
  <pageMargins left="0.15748031496062992" right="0.15748031496062992" top="0.43307086614173229" bottom="0.15748031496062992" header="0.15748031496062992" footer="0.19685039370078741"/>
  <pageSetup paperSize="9" scale="13" orientation="portrait" r:id="rId1"/>
  <headerFooter alignWithMargins="0">
    <oddHeader>&amp;L&amp;14Guiné-Bissau, T. O. F. E. - 2019</oddHeader>
  </headerFooter>
  <rowBreaks count="1" manualBreakCount="1">
    <brk id="336" min="1" max="23" man="1"/>
  </rowBreaks>
  <colBreaks count="1" manualBreakCount="1">
    <brk id="16" max="386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olha9"/>
  <dimension ref="A1:X405"/>
  <sheetViews>
    <sheetView showZeros="0" topLeftCell="C7" zoomScale="80" zoomScaleNormal="80" zoomScaleSheetLayoutView="100" workbookViewId="0">
      <pane xSplit="2" ySplit="6" topLeftCell="E13" activePane="bottomRight" state="frozen"/>
      <selection activeCell="C7" sqref="C7"/>
      <selection pane="topRight" activeCell="E7" sqref="E7"/>
      <selection pane="bottomLeft" activeCell="C13" sqref="C13"/>
      <selection pane="bottomRight"/>
    </sheetView>
  </sheetViews>
  <sheetFormatPr defaultColWidth="10.28515625" defaultRowHeight="12.75"/>
  <cols>
    <col min="1" max="1" width="6.140625" style="421" hidden="1" customWidth="1"/>
    <col min="2" max="2" width="13.7109375" style="421" hidden="1" customWidth="1"/>
    <col min="3" max="3" width="11.140625" style="421" customWidth="1"/>
    <col min="4" max="4" width="58.140625" style="421" customWidth="1"/>
    <col min="5" max="5" width="13.28515625" style="421" customWidth="1"/>
    <col min="6" max="6" width="13.7109375" style="421" customWidth="1"/>
    <col min="7" max="7" width="14" style="421" customWidth="1"/>
    <col min="8" max="8" width="13.28515625" style="421" customWidth="1"/>
    <col min="9" max="9" width="13.42578125" style="421" customWidth="1"/>
    <col min="10" max="10" width="14.5703125" style="421" customWidth="1"/>
    <col min="11" max="11" width="14.28515625" style="421" customWidth="1"/>
    <col min="12" max="12" width="16.5703125" style="421" customWidth="1"/>
    <col min="13" max="13" width="13.85546875" style="421" customWidth="1"/>
    <col min="14" max="14" width="14" style="421" customWidth="1"/>
    <col min="15" max="15" width="13.7109375" style="421" customWidth="1"/>
    <col min="16" max="16" width="16.5703125" style="421" customWidth="1"/>
    <col min="17" max="17" width="17.5703125" style="421" customWidth="1"/>
    <col min="18" max="18" width="15.140625" style="421" customWidth="1"/>
    <col min="19" max="19" width="14.42578125" style="421" customWidth="1"/>
    <col min="20" max="20" width="10.28515625" style="421" customWidth="1"/>
    <col min="21" max="21" width="13.140625" style="694" customWidth="1"/>
    <col min="22" max="22" width="10.42578125" style="421" bestFit="1" customWidth="1"/>
    <col min="23" max="23" width="13.28515625" style="421" customWidth="1"/>
    <col min="24" max="16384" width="10.28515625" style="421"/>
  </cols>
  <sheetData>
    <row r="1" spans="1:23">
      <c r="C1" s="422"/>
      <c r="D1" s="422"/>
      <c r="E1" s="422"/>
      <c r="F1" s="422"/>
      <c r="G1" s="422"/>
      <c r="H1" s="422"/>
      <c r="I1" s="422"/>
      <c r="J1" s="423"/>
      <c r="K1" s="423"/>
      <c r="U1" s="693"/>
    </row>
    <row r="2" spans="1:23">
      <c r="C2" s="422"/>
      <c r="D2" s="422"/>
      <c r="E2" s="422"/>
      <c r="F2" s="422"/>
      <c r="G2" s="422"/>
      <c r="H2" s="422"/>
      <c r="I2" s="422"/>
    </row>
    <row r="3" spans="1:23">
      <c r="C3" s="422"/>
      <c r="D3" s="422"/>
      <c r="E3" s="422"/>
      <c r="F3" s="422"/>
      <c r="G3" s="422"/>
      <c r="H3" s="422"/>
      <c r="I3" s="422"/>
      <c r="J3" s="422"/>
      <c r="S3" s="617"/>
    </row>
    <row r="4" spans="1:23">
      <c r="C4" s="422"/>
      <c r="D4" s="422"/>
      <c r="E4" s="422"/>
      <c r="F4" s="422"/>
      <c r="G4" s="422"/>
      <c r="H4" s="422"/>
      <c r="I4" s="422"/>
      <c r="J4" s="424"/>
      <c r="K4" s="424"/>
    </row>
    <row r="5" spans="1:23" ht="15.75">
      <c r="C5" s="2268" t="s">
        <v>392</v>
      </c>
      <c r="D5" s="2268"/>
      <c r="E5" s="2268"/>
      <c r="F5" s="2268"/>
      <c r="G5" s="2268"/>
      <c r="H5" s="2268"/>
      <c r="I5" s="2268"/>
      <c r="J5" s="2268"/>
      <c r="K5" s="2268"/>
      <c r="L5" s="2268"/>
      <c r="M5" s="2268"/>
      <c r="N5" s="2268"/>
      <c r="O5" s="2268"/>
      <c r="P5" s="2268"/>
      <c r="W5" s="698"/>
    </row>
    <row r="6" spans="1:23" ht="15">
      <c r="C6" s="2269"/>
      <c r="D6" s="2270"/>
      <c r="E6" s="2270"/>
      <c r="F6" s="2270"/>
      <c r="G6" s="2270"/>
      <c r="H6" s="2270"/>
      <c r="I6" s="2270"/>
      <c r="J6" s="2270"/>
      <c r="K6" s="2270"/>
      <c r="L6" s="2270"/>
      <c r="M6" s="2270"/>
      <c r="N6" s="2270"/>
      <c r="O6" s="2270"/>
      <c r="P6" s="2270"/>
    </row>
    <row r="7" spans="1:23">
      <c r="C7" s="422"/>
      <c r="D7" s="584"/>
      <c r="E7" s="584">
        <f>E15+E30</f>
        <v>1426632.5120000001</v>
      </c>
      <c r="F7" s="584">
        <f t="shared" ref="F7:P7" si="0">F15+F30</f>
        <v>1379315.297</v>
      </c>
      <c r="G7" s="584">
        <f t="shared" si="0"/>
        <v>2105885.1399999997</v>
      </c>
      <c r="H7" s="584">
        <f t="shared" si="0"/>
        <v>1545907.1129999999</v>
      </c>
      <c r="I7" s="584">
        <f t="shared" si="0"/>
        <v>2499018.0440000002</v>
      </c>
      <c r="J7" s="584">
        <f t="shared" si="0"/>
        <v>6396011.5299999993</v>
      </c>
      <c r="K7" s="584">
        <f t="shared" si="0"/>
        <v>4424851.4700000007</v>
      </c>
      <c r="L7" s="584">
        <f t="shared" si="0"/>
        <v>2139800.9928000001</v>
      </c>
      <c r="M7" s="584">
        <f t="shared" si="0"/>
        <v>1635256.273</v>
      </c>
      <c r="N7" s="584">
        <f t="shared" si="0"/>
        <v>1681222.7880000002</v>
      </c>
      <c r="O7" s="584">
        <f t="shared" si="0"/>
        <v>1145776.179</v>
      </c>
      <c r="P7" s="584">
        <f t="shared" si="0"/>
        <v>1696676.584</v>
      </c>
      <c r="Q7" s="618">
        <f>SUM(E7:M7)</f>
        <v>23552678.371799998</v>
      </c>
      <c r="R7" s="481">
        <f>+R8-Tofe!R154</f>
        <v>57501971.111407362</v>
      </c>
    </row>
    <row r="8" spans="1:23" ht="15.75">
      <c r="C8" s="2271" t="s">
        <v>2875</v>
      </c>
      <c r="D8" s="2271"/>
      <c r="E8" s="2271"/>
      <c r="F8" s="2271"/>
      <c r="G8" s="2271"/>
      <c r="H8" s="2271"/>
      <c r="I8" s="2271"/>
      <c r="J8" s="2271"/>
      <c r="K8" s="2271"/>
      <c r="L8" s="2271"/>
      <c r="M8" s="2271"/>
      <c r="N8" s="2271"/>
      <c r="O8" s="2271"/>
      <c r="P8" s="2271"/>
      <c r="Q8" s="618">
        <f>SUM(E8:M8)</f>
        <v>0</v>
      </c>
      <c r="R8" s="481">
        <f>+Q107+Q156</f>
        <v>6279547.0889999997</v>
      </c>
    </row>
    <row r="9" spans="1:23">
      <c r="L9" s="425" t="s">
        <v>773</v>
      </c>
      <c r="M9" s="481"/>
      <c r="O9" s="421">
        <f>2988849484+8611035</f>
        <v>2997460519</v>
      </c>
      <c r="Q9" s="618">
        <f>SUM(E9:M9)</f>
        <v>0</v>
      </c>
      <c r="R9" s="481">
        <f>+Tofe!R153-'Receitas (mensais)'!R8</f>
        <v>-42100965.272407368</v>
      </c>
    </row>
    <row r="10" spans="1:23" ht="16.5" thickBot="1">
      <c r="C10" s="2263" t="s">
        <v>2876</v>
      </c>
      <c r="D10" s="2263"/>
      <c r="E10" s="2263"/>
      <c r="F10" s="2263"/>
      <c r="G10" s="2263"/>
      <c r="H10" s="2263"/>
      <c r="I10" s="2263"/>
      <c r="J10" s="2263"/>
      <c r="K10" s="2263"/>
      <c r="L10" s="2263"/>
      <c r="M10" s="2263"/>
      <c r="N10" s="2263"/>
      <c r="O10" s="2263"/>
      <c r="P10" s="2263"/>
      <c r="Q10" s="618">
        <f>SUM(E10:M10)</f>
        <v>0</v>
      </c>
    </row>
    <row r="11" spans="1:23" ht="25.5" customHeight="1" thickBot="1">
      <c r="A11" s="426"/>
      <c r="B11" s="426"/>
      <c r="C11" s="2264" t="s">
        <v>775</v>
      </c>
      <c r="D11" s="2266" t="s">
        <v>2877</v>
      </c>
      <c r="E11" s="427" t="s">
        <v>776</v>
      </c>
      <c r="F11" s="428"/>
      <c r="G11" s="428"/>
      <c r="H11" s="428"/>
      <c r="I11" s="428"/>
      <c r="J11" s="428"/>
      <c r="K11" s="428"/>
      <c r="L11" s="428"/>
      <c r="M11" s="428"/>
      <c r="N11" s="428"/>
      <c r="O11" s="428"/>
      <c r="P11" s="428"/>
      <c r="Q11" s="619" t="s">
        <v>928</v>
      </c>
      <c r="R11" s="619" t="s">
        <v>1693</v>
      </c>
      <c r="S11" s="615" t="s">
        <v>1694</v>
      </c>
      <c r="T11" s="616" t="s">
        <v>154</v>
      </c>
      <c r="U11" s="695" t="s">
        <v>1054</v>
      </c>
    </row>
    <row r="12" spans="1:23" ht="14.25" customHeight="1" thickBot="1">
      <c r="A12" s="426"/>
      <c r="B12" s="426"/>
      <c r="C12" s="2265"/>
      <c r="D12" s="2267"/>
      <c r="E12" s="708">
        <v>42736</v>
      </c>
      <c r="F12" s="708">
        <v>42767</v>
      </c>
      <c r="G12" s="708">
        <v>42795</v>
      </c>
      <c r="H12" s="708">
        <v>42826</v>
      </c>
      <c r="I12" s="708">
        <v>42856</v>
      </c>
      <c r="J12" s="708">
        <v>42887</v>
      </c>
      <c r="K12" s="708">
        <v>42917</v>
      </c>
      <c r="L12" s="708">
        <v>42948</v>
      </c>
      <c r="M12" s="708">
        <v>42979</v>
      </c>
      <c r="N12" s="708">
        <v>43009</v>
      </c>
      <c r="O12" s="708">
        <v>43040</v>
      </c>
      <c r="P12" s="708">
        <v>43070</v>
      </c>
      <c r="Q12" s="620">
        <v>2019</v>
      </c>
      <c r="R12" s="620">
        <v>2017</v>
      </c>
      <c r="S12" s="620">
        <v>2017</v>
      </c>
      <c r="T12" s="620">
        <v>2017</v>
      </c>
      <c r="U12" s="620">
        <v>2017</v>
      </c>
    </row>
    <row r="13" spans="1:23" ht="15.75" thickBot="1">
      <c r="A13" s="430"/>
      <c r="B13" s="426"/>
      <c r="C13" s="431" t="s">
        <v>274</v>
      </c>
      <c r="D13" s="432" t="s">
        <v>777</v>
      </c>
      <c r="E13" s="433">
        <f t="shared" ref="E13:O13" si="1">+E14+E42</f>
        <v>4703236.5889999997</v>
      </c>
      <c r="F13" s="433">
        <f t="shared" si="1"/>
        <v>5310034.0120000001</v>
      </c>
      <c r="G13" s="433">
        <f t="shared" si="1"/>
        <v>5789015.3989999993</v>
      </c>
      <c r="H13" s="433">
        <f t="shared" si="1"/>
        <v>4886952.5250000004</v>
      </c>
      <c r="I13" s="433">
        <f t="shared" si="1"/>
        <v>7444374.3550000004</v>
      </c>
      <c r="J13" s="433">
        <f t="shared" si="1"/>
        <v>12840067.868999999</v>
      </c>
      <c r="K13" s="433">
        <f t="shared" si="1"/>
        <v>10528724.684</v>
      </c>
      <c r="L13" s="433">
        <f t="shared" si="1"/>
        <v>6543415.2880400009</v>
      </c>
      <c r="M13" s="433">
        <f>+M14+M42</f>
        <v>5516094.5749999993</v>
      </c>
      <c r="N13" s="433">
        <f t="shared" si="1"/>
        <v>5919596.7799999993</v>
      </c>
      <c r="O13" s="433">
        <f t="shared" si="1"/>
        <v>4299482.4110000003</v>
      </c>
      <c r="P13" s="609">
        <f>+P14+P42</f>
        <v>5335644.8870000001</v>
      </c>
      <c r="Q13" s="433">
        <f t="shared" ref="Q13:Q76" si="2">SUM(E13:P13)</f>
        <v>79116639.374039993</v>
      </c>
      <c r="R13" s="433"/>
      <c r="S13" s="613"/>
      <c r="T13" s="692"/>
      <c r="U13" s="696"/>
      <c r="V13" s="481"/>
      <c r="W13" s="481"/>
    </row>
    <row r="14" spans="1:23" ht="15.75" thickBot="1">
      <c r="A14" s="436"/>
      <c r="B14" s="426"/>
      <c r="C14" s="437" t="s">
        <v>778</v>
      </c>
      <c r="D14" s="438" t="s">
        <v>779</v>
      </c>
      <c r="E14" s="439">
        <f t="shared" ref="E14:P14" si="3">+E15+E30</f>
        <v>1426632.5120000001</v>
      </c>
      <c r="F14" s="439">
        <f t="shared" si="3"/>
        <v>1379315.297</v>
      </c>
      <c r="G14" s="439">
        <f t="shared" si="3"/>
        <v>2105885.1399999997</v>
      </c>
      <c r="H14" s="439">
        <f t="shared" si="3"/>
        <v>1545907.1129999999</v>
      </c>
      <c r="I14" s="439">
        <f t="shared" si="3"/>
        <v>2499018.0440000002</v>
      </c>
      <c r="J14" s="439">
        <f t="shared" si="3"/>
        <v>6396011.5299999993</v>
      </c>
      <c r="K14" s="439">
        <f t="shared" si="3"/>
        <v>4424851.4700000007</v>
      </c>
      <c r="L14" s="439">
        <f t="shared" si="3"/>
        <v>2139800.9928000001</v>
      </c>
      <c r="M14" s="439">
        <f t="shared" si="3"/>
        <v>1635256.273</v>
      </c>
      <c r="N14" s="439">
        <f t="shared" si="3"/>
        <v>1681222.7880000002</v>
      </c>
      <c r="O14" s="439">
        <f t="shared" si="3"/>
        <v>1145776.179</v>
      </c>
      <c r="P14" s="610">
        <f t="shared" si="3"/>
        <v>1696676.584</v>
      </c>
      <c r="Q14" s="433">
        <f t="shared" si="2"/>
        <v>28076353.922799997</v>
      </c>
      <c r="R14" s="439"/>
      <c r="S14" s="613"/>
      <c r="T14" s="692"/>
      <c r="U14" s="699">
        <v>6</v>
      </c>
      <c r="W14" s="481"/>
    </row>
    <row r="15" spans="1:23" ht="15.75" thickBot="1">
      <c r="A15" s="430"/>
      <c r="B15" s="426"/>
      <c r="C15" s="440" t="s">
        <v>324</v>
      </c>
      <c r="D15" s="441" t="s">
        <v>780</v>
      </c>
      <c r="E15" s="442">
        <f>+E16+E17+E20+E23+E24</f>
        <v>1344267.8020000001</v>
      </c>
      <c r="F15" s="442">
        <f t="shared" ref="F15:O15" si="4">+F16+F17+F20+F23+F24</f>
        <v>1313791.6869999999</v>
      </c>
      <c r="G15" s="442">
        <f t="shared" si="4"/>
        <v>2070155.1599999997</v>
      </c>
      <c r="H15" s="442">
        <f t="shared" si="4"/>
        <v>1503870.2999999998</v>
      </c>
      <c r="I15" s="442">
        <f t="shared" si="4"/>
        <v>2468355.4010000001</v>
      </c>
      <c r="J15" s="442">
        <f t="shared" si="4"/>
        <v>6267048.8959999997</v>
      </c>
      <c r="K15" s="442">
        <f t="shared" si="4"/>
        <v>4359957.3830000004</v>
      </c>
      <c r="L15" s="442">
        <f t="shared" si="4"/>
        <v>2119342.1708</v>
      </c>
      <c r="M15" s="442">
        <f t="shared" si="4"/>
        <v>1623095.189</v>
      </c>
      <c r="N15" s="442">
        <f t="shared" si="4"/>
        <v>1512994.6400000001</v>
      </c>
      <c r="O15" s="442">
        <f t="shared" si="4"/>
        <v>1128114.8319999999</v>
      </c>
      <c r="P15" s="611">
        <f>+P16+P17+P20+P23+P24</f>
        <v>1671288.828</v>
      </c>
      <c r="Q15" s="433">
        <f t="shared" si="2"/>
        <v>27382282.288800001</v>
      </c>
      <c r="R15" s="442"/>
      <c r="S15" s="614"/>
      <c r="T15" s="612"/>
      <c r="U15" s="699">
        <v>6741000</v>
      </c>
      <c r="W15" s="481"/>
    </row>
    <row r="16" spans="1:23" ht="13.5" thickBot="1">
      <c r="A16" s="426" t="s">
        <v>781</v>
      </c>
      <c r="B16" s="426" t="s">
        <v>781</v>
      </c>
      <c r="C16" s="443" t="s">
        <v>326</v>
      </c>
      <c r="D16" s="435" t="s">
        <v>782</v>
      </c>
      <c r="E16" s="444">
        <f>'DGCI '!C10</f>
        <v>464452.783</v>
      </c>
      <c r="F16" s="444">
        <f>'DGCI '!D10</f>
        <v>362818.91000000003</v>
      </c>
      <c r="G16" s="444">
        <f>'DGCI '!E10</f>
        <v>1405719.2029999997</v>
      </c>
      <c r="H16" s="444">
        <f>'DGCI '!F10</f>
        <v>676775.44499999995</v>
      </c>
      <c r="I16" s="444">
        <f>'DGCI '!G10</f>
        <v>1369320.4680000001</v>
      </c>
      <c r="J16" s="444">
        <f>'DGCI '!H10</f>
        <v>3362646.9739999999</v>
      </c>
      <c r="K16" s="444">
        <f>'DGCI '!J10</f>
        <v>2014838.6740000001</v>
      </c>
      <c r="L16" s="444">
        <f>'DGCI '!K10</f>
        <v>863820.38100000005</v>
      </c>
      <c r="M16" s="444">
        <f>'DGCI '!L10</f>
        <v>648798.25800000003</v>
      </c>
      <c r="N16" s="444">
        <f>'DGCI '!M10</f>
        <v>550359.94200000004</v>
      </c>
      <c r="O16" s="444">
        <f>'DGCI '!N10</f>
        <v>395014.022</v>
      </c>
      <c r="P16" s="444">
        <f>'DGCI '!O10</f>
        <v>1066782.058</v>
      </c>
      <c r="Q16" s="433">
        <f t="shared" si="2"/>
        <v>13181347.117999999</v>
      </c>
      <c r="R16" s="444"/>
      <c r="U16" s="699">
        <v>66</v>
      </c>
      <c r="W16" s="481"/>
    </row>
    <row r="17" spans="1:24" ht="13.5" thickBot="1">
      <c r="A17" s="426"/>
      <c r="B17" s="426"/>
      <c r="C17" s="434" t="s">
        <v>332</v>
      </c>
      <c r="D17" s="435" t="s">
        <v>783</v>
      </c>
      <c r="E17" s="444">
        <f t="shared" ref="E17:O17" si="5">+E18+E19</f>
        <v>67646.114000000001</v>
      </c>
      <c r="F17" s="444">
        <f t="shared" si="5"/>
        <v>43992.152000000002</v>
      </c>
      <c r="G17" s="444">
        <f t="shared" si="5"/>
        <v>66550.675000000003</v>
      </c>
      <c r="H17" s="444">
        <f t="shared" si="5"/>
        <v>29433.440999999999</v>
      </c>
      <c r="I17" s="444">
        <f t="shared" si="5"/>
        <v>604751.90800000005</v>
      </c>
      <c r="J17" s="444">
        <f t="shared" si="5"/>
        <v>2306376.2250000001</v>
      </c>
      <c r="K17" s="444">
        <f t="shared" si="5"/>
        <v>1557500.129</v>
      </c>
      <c r="L17" s="444">
        <f t="shared" si="5"/>
        <v>553939.02</v>
      </c>
      <c r="M17" s="444">
        <f t="shared" si="5"/>
        <v>311298.745</v>
      </c>
      <c r="N17" s="444">
        <f t="shared" si="5"/>
        <v>15636.597</v>
      </c>
      <c r="O17" s="444">
        <f t="shared" si="5"/>
        <v>8554.1130000000012</v>
      </c>
      <c r="P17" s="444">
        <f>+P18+P19</f>
        <v>5317.4940000000006</v>
      </c>
      <c r="Q17" s="433">
        <f t="shared" si="2"/>
        <v>5570996.6130000008</v>
      </c>
      <c r="R17" s="444"/>
      <c r="U17" s="699">
        <v>822000</v>
      </c>
      <c r="W17" s="481"/>
    </row>
    <row r="18" spans="1:24" ht="13.5" thickBot="1">
      <c r="A18" s="445" t="s">
        <v>784</v>
      </c>
      <c r="B18" s="426" t="s">
        <v>784</v>
      </c>
      <c r="C18" s="446" t="s">
        <v>1345</v>
      </c>
      <c r="D18" s="447" t="s">
        <v>785</v>
      </c>
      <c r="E18" s="448">
        <f>+'DGCI '!C17</f>
        <v>61067.111000000004</v>
      </c>
      <c r="F18" s="448">
        <f>+'DGCI '!D17</f>
        <v>37897.698000000004</v>
      </c>
      <c r="G18" s="448">
        <f>+'DGCI '!E17</f>
        <v>64327.925000000003</v>
      </c>
      <c r="H18" s="448">
        <f>+'DGCI '!F17</f>
        <v>22433.175999999999</v>
      </c>
      <c r="I18" s="448">
        <f>+'DGCI '!G17</f>
        <v>7368.6530000000002</v>
      </c>
      <c r="J18" s="448">
        <f>+'DGCI '!H17</f>
        <v>19832.599999999999</v>
      </c>
      <c r="K18" s="448">
        <f>+'DGCI '!J17</f>
        <v>41616.379000000001</v>
      </c>
      <c r="L18" s="448">
        <f>+'DGCI '!K17</f>
        <v>13829.02</v>
      </c>
      <c r="M18" s="448">
        <f>+'DGCI '!L17</f>
        <v>58098.229999999989</v>
      </c>
      <c r="N18" s="448">
        <f>+'DGCI '!M17</f>
        <v>3812.9369999999999</v>
      </c>
      <c r="O18" s="448">
        <f>+'DGCI '!N17</f>
        <v>8398.6130000000012</v>
      </c>
      <c r="P18" s="448">
        <f>+'DGCI '!O17</f>
        <v>5317.4940000000006</v>
      </c>
      <c r="Q18" s="433">
        <f t="shared" si="2"/>
        <v>343999.83600000001</v>
      </c>
      <c r="R18" s="448"/>
      <c r="U18" s="699">
        <v>169000</v>
      </c>
      <c r="W18" s="481"/>
    </row>
    <row r="19" spans="1:24" ht="13.5" thickBot="1">
      <c r="A19" s="445"/>
      <c r="B19" s="426"/>
      <c r="C19" s="446" t="s">
        <v>1346</v>
      </c>
      <c r="D19" s="447" t="s">
        <v>786</v>
      </c>
      <c r="E19" s="448">
        <f>'DGCI '!C20</f>
        <v>6579.0029999999997</v>
      </c>
      <c r="F19" s="448">
        <f>'DGCI '!D20</f>
        <v>6094.4539999999997</v>
      </c>
      <c r="G19" s="448">
        <f>'DGCI '!E20</f>
        <v>2222.75</v>
      </c>
      <c r="H19" s="448">
        <f>'DGCI '!F20</f>
        <v>7000.2649999999994</v>
      </c>
      <c r="I19" s="448">
        <f>'DGCI '!G20</f>
        <v>597383.255</v>
      </c>
      <c r="J19" s="448">
        <f>'DGCI '!H20</f>
        <v>2286543.625</v>
      </c>
      <c r="K19" s="448">
        <f>'DGCI '!J20</f>
        <v>1515883.75</v>
      </c>
      <c r="L19" s="448">
        <f>'DGCI '!K20</f>
        <v>540110</v>
      </c>
      <c r="M19" s="448">
        <f>'DGCI '!L20</f>
        <v>253200.51500000001</v>
      </c>
      <c r="N19" s="448">
        <f>'DGCI '!M20</f>
        <v>11823.66</v>
      </c>
      <c r="O19" s="448">
        <f>'DGCI '!N20</f>
        <v>155.5</v>
      </c>
      <c r="P19" s="448">
        <f>'DGCI '!O20</f>
        <v>0</v>
      </c>
      <c r="Q19" s="433">
        <f t="shared" si="2"/>
        <v>5226996.7769999998</v>
      </c>
      <c r="R19" s="448"/>
      <c r="U19" s="699">
        <v>653000</v>
      </c>
      <c r="W19" s="481"/>
    </row>
    <row r="20" spans="1:24" ht="13.5" thickBot="1">
      <c r="A20" s="426"/>
      <c r="B20" s="426"/>
      <c r="C20" s="434" t="s">
        <v>336</v>
      </c>
      <c r="D20" s="435" t="s">
        <v>276</v>
      </c>
      <c r="E20" s="444">
        <f t="shared" ref="E20:O20" si="6">+E21+E22</f>
        <v>812073.90500000003</v>
      </c>
      <c r="F20" s="444">
        <f t="shared" si="6"/>
        <v>906980.625</v>
      </c>
      <c r="G20" s="444">
        <f t="shared" si="6"/>
        <v>597885.28200000001</v>
      </c>
      <c r="H20" s="444">
        <f t="shared" si="6"/>
        <v>797661.41399999999</v>
      </c>
      <c r="I20" s="444">
        <f t="shared" si="6"/>
        <v>494283.02499999991</v>
      </c>
      <c r="J20" s="444">
        <f t="shared" si="6"/>
        <v>598025.69700000004</v>
      </c>
      <c r="K20" s="444">
        <f t="shared" si="6"/>
        <v>787618.57999999984</v>
      </c>
      <c r="L20" s="444">
        <f t="shared" si="6"/>
        <v>701582.76980000001</v>
      </c>
      <c r="M20" s="444">
        <f t="shared" si="6"/>
        <v>662998.18599999999</v>
      </c>
      <c r="N20" s="444">
        <f t="shared" si="6"/>
        <v>938066.00099999993</v>
      </c>
      <c r="O20" s="444">
        <f t="shared" si="6"/>
        <v>718050.99699999997</v>
      </c>
      <c r="P20" s="444">
        <f>+P21+P22</f>
        <v>597660.80599999998</v>
      </c>
      <c r="Q20" s="433">
        <f t="shared" si="2"/>
        <v>8612887.2877999991</v>
      </c>
      <c r="R20" s="444"/>
      <c r="U20" s="699">
        <v>1632000</v>
      </c>
      <c r="W20" s="481"/>
    </row>
    <row r="21" spans="1:24" ht="15" thickBot="1">
      <c r="A21" s="445" t="s">
        <v>787</v>
      </c>
      <c r="B21" s="426" t="s">
        <v>787</v>
      </c>
      <c r="C21" s="446" t="s">
        <v>1347</v>
      </c>
      <c r="D21" s="449" t="s">
        <v>788</v>
      </c>
      <c r="E21" s="448">
        <f>'DGCI '!C22</f>
        <v>345185.69099999999</v>
      </c>
      <c r="F21" s="448">
        <f>'DGCI '!D22</f>
        <v>386003.64199999999</v>
      </c>
      <c r="G21" s="448">
        <f>'DGCI '!E22</f>
        <v>335544.73800000001</v>
      </c>
      <c r="H21" s="448">
        <f>'DGCI '!F22</f>
        <v>579787.12399999995</v>
      </c>
      <c r="I21" s="448">
        <f>'DGCI '!G22</f>
        <v>57213.502999999997</v>
      </c>
      <c r="J21" s="448">
        <f>'DGCI '!H22</f>
        <v>386384.00400000002</v>
      </c>
      <c r="K21" s="448">
        <f>'DGCI '!J22</f>
        <v>385489.18199999997</v>
      </c>
      <c r="L21" s="448">
        <f>'DGCI '!K22</f>
        <v>487659.43900000001</v>
      </c>
      <c r="M21" s="621">
        <f>'DGCI '!L22</f>
        <v>466170.62300000002</v>
      </c>
      <c r="N21" s="448">
        <f>'DGCI '!M22</f>
        <v>394464.37199999997</v>
      </c>
      <c r="O21" s="448">
        <f>'DGCI '!N22</f>
        <v>354945.64600000001</v>
      </c>
      <c r="P21" s="448">
        <f>'DGCI '!O22</f>
        <v>381148.821</v>
      </c>
      <c r="Q21" s="433">
        <f t="shared" si="2"/>
        <v>4559996.7850000001</v>
      </c>
      <c r="R21" s="448"/>
      <c r="U21" s="699">
        <v>1028160</v>
      </c>
      <c r="W21" s="481"/>
      <c r="X21" s="697"/>
    </row>
    <row r="22" spans="1:24" ht="13.5" thickBot="1">
      <c r="A22" s="445" t="s">
        <v>789</v>
      </c>
      <c r="B22" s="426" t="s">
        <v>789</v>
      </c>
      <c r="C22" s="446" t="s">
        <v>1348</v>
      </c>
      <c r="D22" s="449" t="s">
        <v>790</v>
      </c>
      <c r="E22" s="448">
        <f>'DGCI '!C23</f>
        <v>466888.21400000004</v>
      </c>
      <c r="F22" s="448">
        <f>'DGCI '!D23</f>
        <v>520976.98300000001</v>
      </c>
      <c r="G22" s="448">
        <f>'DGCI '!E23</f>
        <v>262340.54399999999</v>
      </c>
      <c r="H22" s="448">
        <f>'DGCI '!F23</f>
        <v>217874.29000000004</v>
      </c>
      <c r="I22" s="448">
        <f>'DGCI '!G23</f>
        <v>437069.52199999994</v>
      </c>
      <c r="J22" s="448">
        <f>'DGCI '!H23</f>
        <v>211641.693</v>
      </c>
      <c r="K22" s="448">
        <f>'DGCI '!J23</f>
        <v>402129.39799999993</v>
      </c>
      <c r="L22" s="448">
        <f>'DGCI '!K23</f>
        <v>213923.33079999997</v>
      </c>
      <c r="M22" s="448">
        <f>'DGCI '!L23</f>
        <v>196827.56299999999</v>
      </c>
      <c r="N22" s="448">
        <f>'DGCI '!M23</f>
        <v>543601.62899999996</v>
      </c>
      <c r="O22" s="448">
        <f>'DGCI '!N23</f>
        <v>363105.35100000002</v>
      </c>
      <c r="P22" s="448">
        <f>'DGCI '!O23</f>
        <v>216511.98499999996</v>
      </c>
      <c r="Q22" s="433">
        <f t="shared" si="2"/>
        <v>4052890.5027999994</v>
      </c>
      <c r="R22" s="448"/>
      <c r="U22" s="699">
        <v>603840</v>
      </c>
      <c r="W22" s="481"/>
    </row>
    <row r="23" spans="1:24" ht="13.5" thickBot="1">
      <c r="A23" s="426" t="s">
        <v>791</v>
      </c>
      <c r="B23" s="426" t="s">
        <v>791</v>
      </c>
      <c r="C23" s="443" t="s">
        <v>340</v>
      </c>
      <c r="D23" s="435" t="s">
        <v>277</v>
      </c>
      <c r="E23" s="448">
        <f>'DGCI '!C24</f>
        <v>95</v>
      </c>
      <c r="F23" s="448">
        <f>'DGCI '!D24</f>
        <v>0</v>
      </c>
      <c r="G23" s="448">
        <f>'DGCI '!E24</f>
        <v>0</v>
      </c>
      <c r="H23" s="448">
        <f>'DGCI '!F24</f>
        <v>0</v>
      </c>
      <c r="I23" s="448">
        <f>'DGCI '!G24</f>
        <v>0</v>
      </c>
      <c r="J23" s="448">
        <f>'DGCI '!H24</f>
        <v>0</v>
      </c>
      <c r="K23" s="448">
        <f>'DGCI '!J24</f>
        <v>0</v>
      </c>
      <c r="L23" s="448">
        <f>'DGCI '!K24</f>
        <v>0</v>
      </c>
      <c r="M23" s="448">
        <f>'DGCI '!L24</f>
        <v>0</v>
      </c>
      <c r="N23" s="448">
        <f>'DGCI '!M24</f>
        <v>8932.1</v>
      </c>
      <c r="O23" s="448">
        <f>'DGCI '!N24</f>
        <v>6495.7000000000007</v>
      </c>
      <c r="P23" s="448">
        <f>'DGCI '!O24</f>
        <v>1528.47</v>
      </c>
      <c r="Q23" s="433">
        <f t="shared" si="2"/>
        <v>17051.27</v>
      </c>
      <c r="R23" s="448"/>
      <c r="U23" s="699">
        <v>1111111111</v>
      </c>
      <c r="W23" s="481"/>
    </row>
    <row r="24" spans="1:24" ht="13.5" thickBot="1">
      <c r="A24" s="426"/>
      <c r="B24" s="426"/>
      <c r="C24" s="434" t="s">
        <v>792</v>
      </c>
      <c r="D24" s="435" t="s">
        <v>793</v>
      </c>
      <c r="E24" s="444">
        <f>+E25+E26+E27+E28</f>
        <v>0</v>
      </c>
      <c r="F24" s="444">
        <f t="shared" ref="F24:P24" si="7">+F25+F26+F27+F28</f>
        <v>0</v>
      </c>
      <c r="G24" s="444">
        <f t="shared" si="7"/>
        <v>0</v>
      </c>
      <c r="H24" s="444">
        <f t="shared" si="7"/>
        <v>0</v>
      </c>
      <c r="I24" s="444">
        <f t="shared" si="7"/>
        <v>0</v>
      </c>
      <c r="J24" s="444">
        <f t="shared" si="7"/>
        <v>0</v>
      </c>
      <c r="K24" s="444">
        <f t="shared" si="7"/>
        <v>0</v>
      </c>
      <c r="L24" s="444">
        <f t="shared" si="7"/>
        <v>0</v>
      </c>
      <c r="M24" s="444">
        <f t="shared" si="7"/>
        <v>0</v>
      </c>
      <c r="N24" s="444">
        <f t="shared" si="7"/>
        <v>0</v>
      </c>
      <c r="O24" s="444">
        <f t="shared" si="7"/>
        <v>0</v>
      </c>
      <c r="P24" s="444">
        <f t="shared" si="7"/>
        <v>0</v>
      </c>
      <c r="Q24" s="433">
        <f t="shared" si="2"/>
        <v>0</v>
      </c>
      <c r="R24" s="444"/>
      <c r="U24" s="699">
        <v>1500000</v>
      </c>
      <c r="W24" s="481"/>
    </row>
    <row r="25" spans="1:24" ht="13.5" thickBot="1">
      <c r="A25" s="445" t="s">
        <v>794</v>
      </c>
      <c r="B25" s="426" t="s">
        <v>794</v>
      </c>
      <c r="C25" s="450" t="s">
        <v>1349</v>
      </c>
      <c r="D25" s="449" t="s">
        <v>795</v>
      </c>
      <c r="E25" s="448">
        <v>0</v>
      </c>
      <c r="F25" s="448">
        <v>0</v>
      </c>
      <c r="G25" s="448">
        <v>0</v>
      </c>
      <c r="H25" s="448">
        <v>0</v>
      </c>
      <c r="I25" s="448">
        <v>0</v>
      </c>
      <c r="J25" s="448">
        <v>0</v>
      </c>
      <c r="K25" s="448">
        <v>0</v>
      </c>
      <c r="L25" s="448">
        <v>0</v>
      </c>
      <c r="M25" s="448">
        <v>0</v>
      </c>
      <c r="N25" s="448">
        <v>0</v>
      </c>
      <c r="O25" s="448">
        <v>0</v>
      </c>
      <c r="P25" s="448">
        <v>0</v>
      </c>
      <c r="Q25" s="433">
        <f t="shared" si="2"/>
        <v>0</v>
      </c>
      <c r="R25" s="448"/>
      <c r="U25" s="699">
        <f>SUM(I25:Q25)</f>
        <v>0</v>
      </c>
      <c r="W25" s="481"/>
    </row>
    <row r="26" spans="1:24" ht="13.5" thickBot="1">
      <c r="A26" s="445" t="s">
        <v>796</v>
      </c>
      <c r="B26" s="426" t="s">
        <v>796</v>
      </c>
      <c r="C26" s="450" t="s">
        <v>1350</v>
      </c>
      <c r="D26" s="449" t="s">
        <v>798</v>
      </c>
      <c r="E26" s="448">
        <v>0</v>
      </c>
      <c r="F26" s="448">
        <v>0</v>
      </c>
      <c r="G26" s="448">
        <v>0</v>
      </c>
      <c r="H26" s="448">
        <v>0</v>
      </c>
      <c r="I26" s="448">
        <v>0</v>
      </c>
      <c r="J26" s="448">
        <v>0</v>
      </c>
      <c r="K26" s="448">
        <v>0</v>
      </c>
      <c r="L26" s="448">
        <v>0</v>
      </c>
      <c r="M26" s="448">
        <v>0</v>
      </c>
      <c r="N26" s="448">
        <v>0</v>
      </c>
      <c r="O26" s="448">
        <v>0</v>
      </c>
      <c r="P26" s="448">
        <v>0</v>
      </c>
      <c r="Q26" s="433">
        <f t="shared" si="2"/>
        <v>0</v>
      </c>
      <c r="R26" s="448"/>
      <c r="U26" s="699">
        <f>SUM(I26:Q26)</f>
        <v>0</v>
      </c>
      <c r="W26" s="481"/>
    </row>
    <row r="27" spans="1:24" ht="13.5" thickBot="1">
      <c r="A27" s="445" t="s">
        <v>799</v>
      </c>
      <c r="B27" s="426" t="s">
        <v>799</v>
      </c>
      <c r="C27" s="450" t="s">
        <v>1351</v>
      </c>
      <c r="D27" s="449" t="s">
        <v>800</v>
      </c>
      <c r="E27" s="448">
        <v>0</v>
      </c>
      <c r="F27" s="448">
        <v>0</v>
      </c>
      <c r="G27" s="448">
        <v>0</v>
      </c>
      <c r="H27" s="448">
        <v>0</v>
      </c>
      <c r="I27" s="448">
        <v>0</v>
      </c>
      <c r="J27" s="448">
        <v>0</v>
      </c>
      <c r="K27" s="448">
        <v>0</v>
      </c>
      <c r="L27" s="448"/>
      <c r="M27" s="448">
        <v>0</v>
      </c>
      <c r="N27" s="448">
        <v>0</v>
      </c>
      <c r="O27" s="448">
        <v>0</v>
      </c>
      <c r="P27" s="448">
        <v>0</v>
      </c>
      <c r="Q27" s="433">
        <f t="shared" si="2"/>
        <v>0</v>
      </c>
      <c r="R27" s="448"/>
      <c r="U27" s="699">
        <f>SUM(I27:Q27)</f>
        <v>0</v>
      </c>
      <c r="W27" s="481"/>
    </row>
    <row r="28" spans="1:24" ht="13.5" thickBot="1">
      <c r="A28" s="445" t="s">
        <v>801</v>
      </c>
      <c r="B28" s="426" t="s">
        <v>801</v>
      </c>
      <c r="C28" s="450" t="s">
        <v>1352</v>
      </c>
      <c r="D28" s="449" t="s">
        <v>802</v>
      </c>
      <c r="E28" s="448"/>
      <c r="F28" s="448"/>
      <c r="G28" s="448"/>
      <c r="H28" s="448"/>
      <c r="I28" s="448"/>
      <c r="J28" s="448"/>
      <c r="K28" s="448"/>
      <c r="L28" s="448"/>
      <c r="M28" s="448"/>
      <c r="N28" s="448"/>
      <c r="O28" s="448"/>
      <c r="P28" s="448"/>
      <c r="Q28" s="433">
        <f t="shared" si="2"/>
        <v>0</v>
      </c>
      <c r="R28" s="448"/>
      <c r="U28" s="699">
        <v>1500000</v>
      </c>
      <c r="W28" s="481"/>
    </row>
    <row r="29" spans="1:24" ht="21" customHeight="1" thickBot="1">
      <c r="A29" s="426"/>
      <c r="B29" s="426"/>
      <c r="C29" s="434"/>
      <c r="D29" s="435"/>
      <c r="E29" s="444"/>
      <c r="F29" s="444"/>
      <c r="G29" s="444"/>
      <c r="H29" s="444"/>
      <c r="I29" s="444"/>
      <c r="J29" s="444"/>
      <c r="K29" s="444"/>
      <c r="L29" s="444"/>
      <c r="M29" s="444"/>
      <c r="N29" s="444"/>
      <c r="O29" s="444"/>
      <c r="P29" s="444"/>
      <c r="Q29" s="433">
        <f t="shared" si="2"/>
        <v>0</v>
      </c>
      <c r="R29" s="444"/>
      <c r="U29" s="699">
        <f>SUM(I29:Q29)</f>
        <v>0</v>
      </c>
      <c r="W29" s="481"/>
    </row>
    <row r="30" spans="1:24" ht="15.75" thickBot="1">
      <c r="A30" s="430"/>
      <c r="B30" s="426"/>
      <c r="C30" s="440" t="s">
        <v>803</v>
      </c>
      <c r="D30" s="441" t="s">
        <v>278</v>
      </c>
      <c r="E30" s="451">
        <f>+E31+E32+E36</f>
        <v>82364.709999999992</v>
      </c>
      <c r="F30" s="451">
        <f t="shared" ref="F30:P30" si="8">+F31+F32+F36</f>
        <v>65523.61</v>
      </c>
      <c r="G30" s="451">
        <f t="shared" si="8"/>
        <v>35729.979999999996</v>
      </c>
      <c r="H30" s="451">
        <f t="shared" si="8"/>
        <v>42036.812999999995</v>
      </c>
      <c r="I30" s="451">
        <f t="shared" si="8"/>
        <v>30662.643</v>
      </c>
      <c r="J30" s="451">
        <f t="shared" si="8"/>
        <v>128962.63400000001</v>
      </c>
      <c r="K30" s="451">
        <f t="shared" si="8"/>
        <v>64894.087</v>
      </c>
      <c r="L30" s="451">
        <f t="shared" si="8"/>
        <v>20458.822</v>
      </c>
      <c r="M30" s="451">
        <f t="shared" si="8"/>
        <v>12161.083999999999</v>
      </c>
      <c r="N30" s="451">
        <f t="shared" si="8"/>
        <v>168228.14799999999</v>
      </c>
      <c r="O30" s="451">
        <f t="shared" si="8"/>
        <v>17661.347000000002</v>
      </c>
      <c r="P30" s="451">
        <f t="shared" si="8"/>
        <v>25387.755999999994</v>
      </c>
      <c r="Q30" s="433">
        <f t="shared" si="2"/>
        <v>694071.63399999985</v>
      </c>
      <c r="R30" s="451"/>
      <c r="U30" s="699">
        <v>44100</v>
      </c>
      <c r="W30" s="481"/>
    </row>
    <row r="31" spans="1:24" ht="13.5" thickBot="1">
      <c r="A31" s="426" t="s">
        <v>804</v>
      </c>
      <c r="B31" s="426" t="s">
        <v>804</v>
      </c>
      <c r="C31" s="443" t="s">
        <v>341</v>
      </c>
      <c r="D31" s="435" t="s">
        <v>805</v>
      </c>
      <c r="E31" s="444">
        <f>'DGCI '!C25</f>
        <v>42677.841</v>
      </c>
      <c r="F31" s="444">
        <f>'DGCI '!D25</f>
        <v>50899.921999999999</v>
      </c>
      <c r="G31" s="444">
        <f>'DGCI '!E25</f>
        <v>21508.032999999999</v>
      </c>
      <c r="H31" s="444">
        <f>'DGCI '!F25</f>
        <v>10068.554</v>
      </c>
      <c r="I31" s="444">
        <f>'DGCI '!G25</f>
        <v>25212.964</v>
      </c>
      <c r="J31" s="444">
        <f>'DGCI '!H25</f>
        <v>119522.99400000001</v>
      </c>
      <c r="K31" s="444">
        <f>'DGCI '!J25</f>
        <v>51708.603999999999</v>
      </c>
      <c r="L31" s="444">
        <f>'DGCI '!K25</f>
        <v>14357.455</v>
      </c>
      <c r="M31" s="444">
        <f>'DGCI '!L25</f>
        <v>9298.2919999999995</v>
      </c>
      <c r="N31" s="444">
        <f>'DGCI '!M25</f>
        <v>159299.527</v>
      </c>
      <c r="O31" s="444">
        <f>'DGCI '!N25</f>
        <v>13054.704</v>
      </c>
      <c r="P31" s="444">
        <f>'DGCI '!O25</f>
        <v>19027.504999999997</v>
      </c>
      <c r="Q31" s="433">
        <f t="shared" si="2"/>
        <v>536636.39500000002</v>
      </c>
      <c r="R31" s="444"/>
      <c r="U31" s="699">
        <v>44100</v>
      </c>
      <c r="W31" s="481"/>
    </row>
    <row r="32" spans="1:24" ht="13.5" thickBot="1">
      <c r="A32" s="426"/>
      <c r="B32" s="426"/>
      <c r="C32" s="434" t="s">
        <v>343</v>
      </c>
      <c r="D32" s="435" t="s">
        <v>806</v>
      </c>
      <c r="E32" s="444">
        <f>+E33+E34+E35</f>
        <v>39686.868999999999</v>
      </c>
      <c r="F32" s="444">
        <f t="shared" ref="F32:O32" si="9">+F33+F34+F35</f>
        <v>14623.688</v>
      </c>
      <c r="G32" s="444">
        <f t="shared" si="9"/>
        <v>14221.947</v>
      </c>
      <c r="H32" s="444">
        <f t="shared" si="9"/>
        <v>31968.258999999998</v>
      </c>
      <c r="I32" s="444">
        <f t="shared" si="9"/>
        <v>5449.6790000000001</v>
      </c>
      <c r="J32" s="444">
        <f t="shared" si="9"/>
        <v>9439.6400000000012</v>
      </c>
      <c r="K32" s="444">
        <f t="shared" si="9"/>
        <v>13185.483</v>
      </c>
      <c r="L32" s="444">
        <f t="shared" si="9"/>
        <v>6101.3669999999993</v>
      </c>
      <c r="M32" s="444">
        <f t="shared" si="9"/>
        <v>2862.7919999999999</v>
      </c>
      <c r="N32" s="444">
        <f t="shared" si="9"/>
        <v>8928.6209999999992</v>
      </c>
      <c r="O32" s="444">
        <f t="shared" si="9"/>
        <v>4606.643</v>
      </c>
      <c r="P32" s="444">
        <f>+P33+P34+P35</f>
        <v>6360.2509999999984</v>
      </c>
      <c r="Q32" s="433">
        <f t="shared" si="2"/>
        <v>157435.23899999997</v>
      </c>
      <c r="R32" s="444"/>
      <c r="U32" s="699">
        <v>0</v>
      </c>
      <c r="W32" s="481"/>
    </row>
    <row r="33" spans="1:23" ht="13.5" thickBot="1">
      <c r="A33" s="445" t="s">
        <v>807</v>
      </c>
      <c r="B33" s="426" t="s">
        <v>807</v>
      </c>
      <c r="C33" s="446" t="s">
        <v>1353</v>
      </c>
      <c r="D33" s="449" t="s">
        <v>345</v>
      </c>
      <c r="E33" s="452">
        <f>+'DGCI '!C27</f>
        <v>39671.868999999999</v>
      </c>
      <c r="F33" s="452">
        <f>+'DGCI '!D27</f>
        <v>14623.688</v>
      </c>
      <c r="G33" s="452">
        <f>+'DGCI '!E27</f>
        <v>14221.947</v>
      </c>
      <c r="H33" s="452">
        <f>+'DGCI '!F27</f>
        <v>30055.625</v>
      </c>
      <c r="I33" s="452">
        <f>+'DGCI '!G27</f>
        <v>5449.6790000000001</v>
      </c>
      <c r="J33" s="452">
        <f>+'DGCI '!H27</f>
        <v>9439.6400000000012</v>
      </c>
      <c r="K33" s="452">
        <f>+'DGCI '!J27</f>
        <v>13185.483</v>
      </c>
      <c r="L33" s="452">
        <f>+'DGCI '!K27</f>
        <v>6101.3669999999993</v>
      </c>
      <c r="M33" s="452">
        <f>+'DGCI '!L27</f>
        <v>2862.7919999999999</v>
      </c>
      <c r="N33" s="452">
        <f>+'DGCI '!M27</f>
        <v>8928.6209999999992</v>
      </c>
      <c r="O33" s="452">
        <f>+'DGCI '!N27</f>
        <v>4606.643</v>
      </c>
      <c r="P33" s="452">
        <f>+'DGCI '!O27</f>
        <v>6360.2509999999984</v>
      </c>
      <c r="Q33" s="433">
        <f t="shared" si="2"/>
        <v>155507.60500000001</v>
      </c>
      <c r="R33" s="452"/>
      <c r="U33" s="699">
        <v>0</v>
      </c>
      <c r="W33" s="481"/>
    </row>
    <row r="34" spans="1:23" ht="13.5" thickBot="1">
      <c r="A34" s="445"/>
      <c r="B34" s="426"/>
      <c r="C34" s="446"/>
      <c r="D34" s="449" t="s">
        <v>346</v>
      </c>
      <c r="E34" s="452">
        <f>+'DGCI '!C28</f>
        <v>15</v>
      </c>
      <c r="F34" s="452">
        <f>+'DGCI '!D28</f>
        <v>0</v>
      </c>
      <c r="G34" s="452">
        <f>+'DGCI '!E28</f>
        <v>0</v>
      </c>
      <c r="H34" s="452">
        <f>+'DGCI '!F28</f>
        <v>1912.634</v>
      </c>
      <c r="I34" s="452">
        <f>+'DGCI '!G28</f>
        <v>0</v>
      </c>
      <c r="J34" s="452">
        <f>+'DGCI '!H28</f>
        <v>0</v>
      </c>
      <c r="K34" s="452">
        <f>+'DGCI '!J28</f>
        <v>0</v>
      </c>
      <c r="L34" s="452">
        <f>+'DGCI '!K28</f>
        <v>0</v>
      </c>
      <c r="M34" s="452">
        <f>+'DGCI '!L28</f>
        <v>0</v>
      </c>
      <c r="N34" s="452">
        <f>+'DGCI '!M28</f>
        <v>0</v>
      </c>
      <c r="O34" s="452">
        <f>+'DGCI '!N28</f>
        <v>0</v>
      </c>
      <c r="P34" s="452">
        <f>+'DGCI '!O28</f>
        <v>0</v>
      </c>
      <c r="Q34" s="433">
        <f t="shared" si="2"/>
        <v>1927.634</v>
      </c>
      <c r="R34" s="452"/>
      <c r="U34" s="699">
        <f>SUM(I34:Q34)</f>
        <v>1927.634</v>
      </c>
      <c r="W34" s="481"/>
    </row>
    <row r="35" spans="1:23" ht="13.5" thickBot="1">
      <c r="A35" s="445" t="s">
        <v>808</v>
      </c>
      <c r="B35" s="426" t="s">
        <v>808</v>
      </c>
      <c r="C35" s="446" t="s">
        <v>1354</v>
      </c>
      <c r="D35" s="449" t="s">
        <v>347</v>
      </c>
      <c r="E35" s="452">
        <f>+'DGCI '!C29</f>
        <v>0</v>
      </c>
      <c r="F35" s="452">
        <f>+'DGCI '!D29</f>
        <v>0</v>
      </c>
      <c r="G35" s="452">
        <f>+'DGCI '!E29</f>
        <v>0</v>
      </c>
      <c r="H35" s="452">
        <f>+'DGCI '!F29</f>
        <v>0</v>
      </c>
      <c r="I35" s="452">
        <f>+'DGCI '!G29</f>
        <v>0</v>
      </c>
      <c r="J35" s="452">
        <f>+'DGCI '!H29</f>
        <v>0</v>
      </c>
      <c r="K35" s="452">
        <f>+'DGCI '!J29</f>
        <v>0</v>
      </c>
      <c r="L35" s="452">
        <f>+'DGCI '!K29</f>
        <v>0</v>
      </c>
      <c r="M35" s="452">
        <f>+'DGCI '!L29</f>
        <v>0</v>
      </c>
      <c r="N35" s="452">
        <f>+'DGCI '!M29</f>
        <v>0</v>
      </c>
      <c r="O35" s="452">
        <f>+'DGCI '!N29</f>
        <v>0</v>
      </c>
      <c r="P35" s="452">
        <f>+'DGCI '!O29</f>
        <v>0</v>
      </c>
      <c r="Q35" s="433">
        <f t="shared" si="2"/>
        <v>0</v>
      </c>
      <c r="R35" s="452"/>
      <c r="U35" s="699">
        <v>0</v>
      </c>
      <c r="W35" s="481"/>
    </row>
    <row r="36" spans="1:23" ht="13.5" thickBot="1">
      <c r="A36" s="426"/>
      <c r="B36" s="426"/>
      <c r="C36" s="434" t="s">
        <v>809</v>
      </c>
      <c r="D36" s="435" t="s">
        <v>810</v>
      </c>
      <c r="E36" s="444">
        <f>+E37+E38+E39+E40+E41</f>
        <v>0</v>
      </c>
      <c r="F36" s="444">
        <f t="shared" ref="F36:P36" si="10">+F37+F38+F39+F40+F41</f>
        <v>0</v>
      </c>
      <c r="G36" s="444">
        <f t="shared" si="10"/>
        <v>0</v>
      </c>
      <c r="H36" s="444">
        <f t="shared" si="10"/>
        <v>0</v>
      </c>
      <c r="I36" s="444">
        <f t="shared" si="10"/>
        <v>0</v>
      </c>
      <c r="J36" s="444">
        <f t="shared" si="10"/>
        <v>0</v>
      </c>
      <c r="K36" s="444">
        <f t="shared" si="10"/>
        <v>0</v>
      </c>
      <c r="L36" s="444">
        <f t="shared" si="10"/>
        <v>0</v>
      </c>
      <c r="M36" s="444">
        <f t="shared" si="10"/>
        <v>0</v>
      </c>
      <c r="N36" s="444">
        <f t="shared" si="10"/>
        <v>0</v>
      </c>
      <c r="O36" s="444">
        <f t="shared" si="10"/>
        <v>0</v>
      </c>
      <c r="P36" s="444">
        <f t="shared" si="10"/>
        <v>0</v>
      </c>
      <c r="Q36" s="433">
        <f t="shared" si="2"/>
        <v>0</v>
      </c>
      <c r="R36" s="444"/>
      <c r="U36" s="699">
        <f t="shared" ref="U36:U41" si="11">SUM(I36:Q36)</f>
        <v>0</v>
      </c>
      <c r="W36" s="481"/>
    </row>
    <row r="37" spans="1:23" ht="13.5" thickBot="1">
      <c r="A37" s="445" t="s">
        <v>811</v>
      </c>
      <c r="B37" s="426" t="s">
        <v>811</v>
      </c>
      <c r="C37" s="450" t="s">
        <v>1355</v>
      </c>
      <c r="D37" s="449" t="s">
        <v>812</v>
      </c>
      <c r="E37" s="452">
        <v>0</v>
      </c>
      <c r="F37" s="452">
        <v>0</v>
      </c>
      <c r="G37" s="452">
        <v>0</v>
      </c>
      <c r="H37" s="452">
        <v>0</v>
      </c>
      <c r="I37" s="452">
        <v>0</v>
      </c>
      <c r="J37" s="452">
        <v>0</v>
      </c>
      <c r="K37" s="452">
        <v>0</v>
      </c>
      <c r="L37" s="452">
        <v>0</v>
      </c>
      <c r="M37" s="452">
        <v>0</v>
      </c>
      <c r="N37" s="452">
        <v>0</v>
      </c>
      <c r="O37" s="452">
        <v>0</v>
      </c>
      <c r="P37" s="452">
        <v>0</v>
      </c>
      <c r="Q37" s="433">
        <f t="shared" si="2"/>
        <v>0</v>
      </c>
      <c r="R37" s="452"/>
      <c r="U37" s="699">
        <f t="shared" si="11"/>
        <v>0</v>
      </c>
      <c r="W37" s="481"/>
    </row>
    <row r="38" spans="1:23" ht="13.5" thickBot="1">
      <c r="A38" s="445" t="s">
        <v>813</v>
      </c>
      <c r="B38" s="426" t="s">
        <v>813</v>
      </c>
      <c r="C38" s="450" t="s">
        <v>1356</v>
      </c>
      <c r="D38" s="449" t="s">
        <v>814</v>
      </c>
      <c r="E38" s="452">
        <v>0</v>
      </c>
      <c r="F38" s="452">
        <v>0</v>
      </c>
      <c r="G38" s="452">
        <v>0</v>
      </c>
      <c r="H38" s="452">
        <v>0</v>
      </c>
      <c r="I38" s="452">
        <v>0</v>
      </c>
      <c r="J38" s="452">
        <v>0</v>
      </c>
      <c r="K38" s="452">
        <v>0</v>
      </c>
      <c r="L38" s="452">
        <v>0</v>
      </c>
      <c r="M38" s="452">
        <v>0</v>
      </c>
      <c r="N38" s="452">
        <v>0</v>
      </c>
      <c r="O38" s="452">
        <v>0</v>
      </c>
      <c r="P38" s="452">
        <v>0</v>
      </c>
      <c r="Q38" s="433">
        <f t="shared" si="2"/>
        <v>0</v>
      </c>
      <c r="R38" s="452"/>
      <c r="U38" s="699">
        <f t="shared" si="11"/>
        <v>0</v>
      </c>
      <c r="W38" s="481"/>
    </row>
    <row r="39" spans="1:23" ht="13.5" thickBot="1">
      <c r="A39" s="445" t="s">
        <v>815</v>
      </c>
      <c r="B39" s="426" t="s">
        <v>815</v>
      </c>
      <c r="C39" s="450" t="s">
        <v>1357</v>
      </c>
      <c r="D39" s="449" t="s">
        <v>816</v>
      </c>
      <c r="E39" s="452">
        <v>0</v>
      </c>
      <c r="F39" s="452">
        <v>0</v>
      </c>
      <c r="G39" s="452">
        <v>0</v>
      </c>
      <c r="H39" s="452">
        <v>0</v>
      </c>
      <c r="I39" s="452">
        <v>0</v>
      </c>
      <c r="J39" s="452">
        <v>0</v>
      </c>
      <c r="K39" s="452">
        <v>0</v>
      </c>
      <c r="L39" s="452">
        <v>0</v>
      </c>
      <c r="M39" s="452">
        <v>0</v>
      </c>
      <c r="N39" s="452">
        <v>0</v>
      </c>
      <c r="O39" s="452">
        <v>0</v>
      </c>
      <c r="P39" s="452">
        <v>0</v>
      </c>
      <c r="Q39" s="433">
        <f t="shared" si="2"/>
        <v>0</v>
      </c>
      <c r="R39" s="452"/>
      <c r="U39" s="699">
        <f t="shared" si="11"/>
        <v>0</v>
      </c>
      <c r="W39" s="481"/>
    </row>
    <row r="40" spans="1:23" ht="13.5" thickBot="1">
      <c r="A40" s="445" t="s">
        <v>817</v>
      </c>
      <c r="B40" s="426" t="s">
        <v>817</v>
      </c>
      <c r="C40" s="450" t="s">
        <v>1379</v>
      </c>
      <c r="D40" s="449" t="s">
        <v>818</v>
      </c>
      <c r="E40" s="452">
        <v>0</v>
      </c>
      <c r="F40" s="452">
        <v>0</v>
      </c>
      <c r="G40" s="452">
        <v>0</v>
      </c>
      <c r="H40" s="452">
        <v>0</v>
      </c>
      <c r="I40" s="452">
        <v>0</v>
      </c>
      <c r="J40" s="452">
        <v>0</v>
      </c>
      <c r="K40" s="452">
        <v>0</v>
      </c>
      <c r="L40" s="452">
        <v>0</v>
      </c>
      <c r="M40" s="452">
        <v>0</v>
      </c>
      <c r="N40" s="452">
        <v>0</v>
      </c>
      <c r="O40" s="452">
        <v>0</v>
      </c>
      <c r="P40" s="452">
        <v>0</v>
      </c>
      <c r="Q40" s="433">
        <f t="shared" si="2"/>
        <v>0</v>
      </c>
      <c r="R40" s="452"/>
      <c r="U40" s="699">
        <f t="shared" si="11"/>
        <v>0</v>
      </c>
      <c r="W40" s="481"/>
    </row>
    <row r="41" spans="1:23" ht="13.5" thickBot="1">
      <c r="A41" s="445" t="s">
        <v>819</v>
      </c>
      <c r="B41" s="426" t="s">
        <v>819</v>
      </c>
      <c r="C41" s="450" t="s">
        <v>1380</v>
      </c>
      <c r="D41" s="449" t="s">
        <v>820</v>
      </c>
      <c r="E41" s="452">
        <v>0</v>
      </c>
      <c r="F41" s="452">
        <v>0</v>
      </c>
      <c r="G41" s="452">
        <v>0</v>
      </c>
      <c r="H41" s="452">
        <v>0</v>
      </c>
      <c r="I41" s="452">
        <v>0</v>
      </c>
      <c r="J41" s="452">
        <v>0</v>
      </c>
      <c r="K41" s="452">
        <v>0</v>
      </c>
      <c r="L41" s="452">
        <v>0</v>
      </c>
      <c r="M41" s="452">
        <v>0</v>
      </c>
      <c r="N41" s="452">
        <v>0</v>
      </c>
      <c r="O41" s="452">
        <v>0</v>
      </c>
      <c r="P41" s="452">
        <v>0</v>
      </c>
      <c r="Q41" s="433">
        <f t="shared" si="2"/>
        <v>0</v>
      </c>
      <c r="R41" s="452"/>
      <c r="U41" s="699">
        <f t="shared" si="11"/>
        <v>0</v>
      </c>
      <c r="W41" s="481"/>
    </row>
    <row r="42" spans="1:23" ht="15.75" thickBot="1">
      <c r="A42" s="436"/>
      <c r="B42" s="426"/>
      <c r="C42" s="437" t="s">
        <v>483</v>
      </c>
      <c r="D42" s="438" t="s">
        <v>821</v>
      </c>
      <c r="E42" s="439">
        <f>+E43+E62+E72+E87</f>
        <v>3276604.077</v>
      </c>
      <c r="F42" s="439">
        <f t="shared" ref="F42:O42" si="12">+F43+F62+F72+F87</f>
        <v>3930718.7149999999</v>
      </c>
      <c r="G42" s="439">
        <f t="shared" si="12"/>
        <v>3683130.2589999996</v>
      </c>
      <c r="H42" s="439">
        <f t="shared" si="12"/>
        <v>3341045.412</v>
      </c>
      <c r="I42" s="439">
        <f t="shared" si="12"/>
        <v>4945356.3110000007</v>
      </c>
      <c r="J42" s="439">
        <f t="shared" si="12"/>
        <v>6444056.3390000006</v>
      </c>
      <c r="K42" s="439">
        <f t="shared" si="12"/>
        <v>6103873.2140000006</v>
      </c>
      <c r="L42" s="439">
        <f t="shared" si="12"/>
        <v>4403614.2952400008</v>
      </c>
      <c r="M42" s="439">
        <f t="shared" si="12"/>
        <v>3880838.3019999997</v>
      </c>
      <c r="N42" s="439">
        <f t="shared" si="12"/>
        <v>4238373.9919999996</v>
      </c>
      <c r="O42" s="439">
        <f t="shared" si="12"/>
        <v>3153706.2319999998</v>
      </c>
      <c r="P42" s="439">
        <f>+P43+P62+P72+P87</f>
        <v>3638968.3030000003</v>
      </c>
      <c r="Q42" s="433">
        <f t="shared" si="2"/>
        <v>51040285.451240011</v>
      </c>
      <c r="R42" s="439"/>
      <c r="U42" s="699">
        <v>14900898</v>
      </c>
      <c r="W42" s="481"/>
    </row>
    <row r="43" spans="1:23" ht="15.75" thickBot="1">
      <c r="A43" s="430" t="s">
        <v>319</v>
      </c>
      <c r="B43" s="426" t="s">
        <v>319</v>
      </c>
      <c r="C43" s="440" t="s">
        <v>822</v>
      </c>
      <c r="D43" s="441" t="s">
        <v>823</v>
      </c>
      <c r="E43" s="451">
        <f t="shared" ref="E43:J43" si="13">+E44+E49+E50+E51+E56+E57</f>
        <v>934519.37199999997</v>
      </c>
      <c r="F43" s="451">
        <f t="shared" si="13"/>
        <v>1263569.7320000001</v>
      </c>
      <c r="G43" s="451">
        <f t="shared" si="13"/>
        <v>1156892.848</v>
      </c>
      <c r="H43" s="451">
        <f t="shared" si="13"/>
        <v>926037.97600000002</v>
      </c>
      <c r="I43" s="451">
        <f t="shared" si="13"/>
        <v>2159246.98</v>
      </c>
      <c r="J43" s="451">
        <f t="shared" si="13"/>
        <v>3440013.4730000002</v>
      </c>
      <c r="K43" s="451">
        <f t="shared" ref="K43:P43" si="14">+K44+K49+K50+K51+K56+K57</f>
        <v>3096572.8759999997</v>
      </c>
      <c r="L43" s="451">
        <f t="shared" si="14"/>
        <v>1828954.9090000002</v>
      </c>
      <c r="M43" s="451">
        <f t="shared" si="14"/>
        <v>1354387.5929999999</v>
      </c>
      <c r="N43" s="451">
        <f t="shared" si="14"/>
        <v>1317474.9680000001</v>
      </c>
      <c r="O43" s="451">
        <f t="shared" si="14"/>
        <v>774397.25800000003</v>
      </c>
      <c r="P43" s="451">
        <f t="shared" si="14"/>
        <v>1079708.5520000001</v>
      </c>
      <c r="Q43" s="433">
        <f t="shared" si="2"/>
        <v>19331776.537000004</v>
      </c>
      <c r="R43" s="451"/>
      <c r="U43" s="699">
        <v>7532614</v>
      </c>
      <c r="W43" s="481"/>
    </row>
    <row r="44" spans="1:23" ht="13.5" thickBot="1">
      <c r="A44" s="426"/>
      <c r="B44" s="426"/>
      <c r="C44" s="434" t="s">
        <v>824</v>
      </c>
      <c r="D44" s="435" t="s">
        <v>825</v>
      </c>
      <c r="E44" s="444">
        <f t="shared" ref="E44:P44" si="15">+E45+E46+E47</f>
        <v>807120.74300000002</v>
      </c>
      <c r="F44" s="444">
        <f t="shared" si="15"/>
        <v>1054923.3689999999</v>
      </c>
      <c r="G44" s="444">
        <f t="shared" si="15"/>
        <v>970267.11399999994</v>
      </c>
      <c r="H44" s="444">
        <f t="shared" si="15"/>
        <v>803018.07500000007</v>
      </c>
      <c r="I44" s="444">
        <f t="shared" si="15"/>
        <v>1210067.142</v>
      </c>
      <c r="J44" s="444">
        <f t="shared" si="15"/>
        <v>942069.34700000007</v>
      </c>
      <c r="K44" s="444">
        <f t="shared" si="15"/>
        <v>961435.0689999999</v>
      </c>
      <c r="L44" s="444">
        <f t="shared" si="15"/>
        <v>764205.14400000009</v>
      </c>
      <c r="M44" s="444">
        <f t="shared" si="15"/>
        <v>873608.23699999996</v>
      </c>
      <c r="N44" s="444">
        <f t="shared" si="15"/>
        <v>1042581.4680000001</v>
      </c>
      <c r="O44" s="444">
        <f t="shared" si="15"/>
        <v>677007.04300000006</v>
      </c>
      <c r="P44" s="444">
        <f t="shared" si="15"/>
        <v>905389.10400000005</v>
      </c>
      <c r="Q44" s="433">
        <f t="shared" si="2"/>
        <v>11011691.855</v>
      </c>
      <c r="R44" s="444"/>
      <c r="U44" s="699">
        <v>4839000</v>
      </c>
      <c r="W44" s="481"/>
    </row>
    <row r="45" spans="1:23" ht="13.5" thickBot="1">
      <c r="A45" s="426" t="s">
        <v>826</v>
      </c>
      <c r="B45" s="426" t="s">
        <v>826</v>
      </c>
      <c r="C45" s="453" t="s">
        <v>1381</v>
      </c>
      <c r="D45" s="449" t="s">
        <v>827</v>
      </c>
      <c r="E45" s="448">
        <f>DGA!C6/1000</f>
        <v>103328.04700000001</v>
      </c>
      <c r="F45" s="448">
        <f>DGA!D6/1000</f>
        <v>66121.430999999997</v>
      </c>
      <c r="G45" s="448">
        <f>DGA!E6/1000</f>
        <v>76276.698999999993</v>
      </c>
      <c r="H45" s="448">
        <f>DGA!F6/1000</f>
        <v>85359.816999999995</v>
      </c>
      <c r="I45" s="448">
        <f>DGA!G6/1000</f>
        <v>109138.143</v>
      </c>
      <c r="J45" s="448">
        <f>DGA!H6/1000</f>
        <v>79478.796000000002</v>
      </c>
      <c r="K45" s="448">
        <f>DGA!I6/1000</f>
        <v>104706.045</v>
      </c>
      <c r="L45" s="448">
        <f>+DGA!J6/1000</f>
        <v>93683.191999999995</v>
      </c>
      <c r="M45" s="448">
        <f>+DGA!K6/1000</f>
        <v>107086.446</v>
      </c>
      <c r="N45" s="448">
        <f>+DGA!L6/1000</f>
        <v>98082.49</v>
      </c>
      <c r="O45" s="448">
        <f>+DGA!M6/1000</f>
        <v>94958.611000000004</v>
      </c>
      <c r="P45" s="448">
        <f>+DGA!N6/1000</f>
        <v>74038.801000000007</v>
      </c>
      <c r="Q45" s="433">
        <f t="shared" si="2"/>
        <v>1092258.5180000002</v>
      </c>
      <c r="R45" s="448"/>
      <c r="U45" s="699">
        <v>1178346</v>
      </c>
      <c r="W45" s="481"/>
    </row>
    <row r="46" spans="1:23" ht="13.5" thickBot="1">
      <c r="A46" s="426"/>
      <c r="B46" s="426"/>
      <c r="C46" s="453" t="s">
        <v>828</v>
      </c>
      <c r="D46" s="449" t="s">
        <v>829</v>
      </c>
      <c r="E46" s="448">
        <f>DGA!C7/1000</f>
        <v>174630.39199999999</v>
      </c>
      <c r="F46" s="448">
        <f>DGA!D7/1000</f>
        <v>175065.84700000001</v>
      </c>
      <c r="G46" s="448">
        <f>DGA!E7/1000</f>
        <v>177459.10699999999</v>
      </c>
      <c r="H46" s="448">
        <f>DGA!F7/1000</f>
        <v>83532.997000000003</v>
      </c>
      <c r="I46" s="448">
        <f>DGA!G7/1000</f>
        <v>244559.45199999999</v>
      </c>
      <c r="J46" s="448">
        <f>DGA!H7/1000</f>
        <v>125811.65399999999</v>
      </c>
      <c r="K46" s="448">
        <f>DGA!I7/1000</f>
        <v>118612.28</v>
      </c>
      <c r="L46" s="448">
        <f>+DGA!J7/1000</f>
        <v>154990.69200000001</v>
      </c>
      <c r="M46" s="448">
        <f>DGA!K7/1000</f>
        <v>105027.40399999999</v>
      </c>
      <c r="N46" s="448">
        <f>DGA!L7/1000</f>
        <v>177853.671</v>
      </c>
      <c r="O46" s="448">
        <f>DGA!M7/1000</f>
        <v>58874.154000000002</v>
      </c>
      <c r="P46" s="448">
        <f>DGA!N7/1000</f>
        <v>74439.854000000007</v>
      </c>
      <c r="Q46" s="433">
        <f t="shared" si="2"/>
        <v>1670857.5040000002</v>
      </c>
      <c r="R46" s="448"/>
      <c r="U46" s="699">
        <v>791067</v>
      </c>
      <c r="W46" s="481"/>
    </row>
    <row r="47" spans="1:23" ht="13.5" thickBot="1">
      <c r="A47" s="426" t="s">
        <v>830</v>
      </c>
      <c r="B47" s="426" t="s">
        <v>830</v>
      </c>
      <c r="C47" s="453" t="s">
        <v>1382</v>
      </c>
      <c r="D47" s="449" t="s">
        <v>831</v>
      </c>
      <c r="E47" s="842">
        <f>DGA!C8/1000+DGA!C39/1000</f>
        <v>529162.304</v>
      </c>
      <c r="F47" s="448">
        <f>DGA!D8/1000+DGA!D39/1000</f>
        <v>813736.09100000001</v>
      </c>
      <c r="G47" s="448">
        <f>DGA!E8/1000+DGA!E39/1000</f>
        <v>716531.30799999996</v>
      </c>
      <c r="H47" s="448">
        <f>DGA!F8/1000+DGA!F39/1000</f>
        <v>634125.26100000006</v>
      </c>
      <c r="I47" s="448">
        <f>DGA!G8/1000+DGA!G39/1000</f>
        <v>856369.54700000002</v>
      </c>
      <c r="J47" s="448">
        <f>DGA!H8/1000+DGA!H39/1000</f>
        <v>736778.897</v>
      </c>
      <c r="K47" s="448">
        <f>DGA!I8/1000+DGA!I39/1000</f>
        <v>738116.74399999995</v>
      </c>
      <c r="L47" s="448">
        <f>DGA!J8/1000+DGA!J39/1000</f>
        <v>515531.26</v>
      </c>
      <c r="M47" s="448">
        <f>DGA!K8/1000+DGA!K39/1000</f>
        <v>661494.38699999999</v>
      </c>
      <c r="N47" s="448">
        <f>DGA!L8/1000+DGA!L39/1000</f>
        <v>766645.30700000003</v>
      </c>
      <c r="O47" s="448">
        <f>DGA!M8/1000+DGA!M39/1000</f>
        <v>523174.27799999999</v>
      </c>
      <c r="P47" s="448">
        <f>DGA!N8/1000+DGA!N39/1000</f>
        <v>756910.44900000002</v>
      </c>
      <c r="Q47" s="433">
        <f t="shared" si="2"/>
        <v>8248575.8329999996</v>
      </c>
      <c r="R47" s="448"/>
      <c r="U47" s="699">
        <v>2869586</v>
      </c>
      <c r="W47" s="481"/>
    </row>
    <row r="48" spans="1:23" ht="15" thickBot="1">
      <c r="A48" s="426" t="s">
        <v>832</v>
      </c>
      <c r="B48" s="426" t="s">
        <v>832</v>
      </c>
      <c r="C48" s="450" t="s">
        <v>833</v>
      </c>
      <c r="D48" s="449"/>
      <c r="E48" s="452"/>
      <c r="F48" s="452"/>
      <c r="G48" s="452"/>
      <c r="H48" s="452"/>
      <c r="I48" s="452"/>
      <c r="J48" s="452"/>
      <c r="K48" s="452"/>
      <c r="L48" s="448"/>
      <c r="M48" s="622"/>
      <c r="N48" s="452"/>
      <c r="O48" s="452"/>
      <c r="P48" s="452"/>
      <c r="Q48" s="433">
        <f t="shared" si="2"/>
        <v>0</v>
      </c>
      <c r="R48" s="452"/>
      <c r="U48" s="699">
        <v>0</v>
      </c>
      <c r="W48" s="481"/>
    </row>
    <row r="49" spans="1:23" ht="13.5" thickBot="1">
      <c r="A49" s="426" t="s">
        <v>834</v>
      </c>
      <c r="B49" s="426" t="s">
        <v>834</v>
      </c>
      <c r="C49" s="434" t="s">
        <v>835</v>
      </c>
      <c r="D49" s="435" t="s">
        <v>836</v>
      </c>
      <c r="E49" s="444"/>
      <c r="F49" s="444"/>
      <c r="G49" s="444"/>
      <c r="H49" s="444"/>
      <c r="I49" s="444"/>
      <c r="J49" s="444"/>
      <c r="K49" s="444"/>
      <c r="L49" s="448"/>
      <c r="M49" s="444"/>
      <c r="N49" s="444"/>
      <c r="O49" s="444"/>
      <c r="P49" s="444"/>
      <c r="Q49" s="433">
        <f t="shared" si="2"/>
        <v>0</v>
      </c>
      <c r="R49" s="444"/>
      <c r="U49" s="699">
        <v>0</v>
      </c>
      <c r="W49" s="481"/>
    </row>
    <row r="50" spans="1:23" ht="13.5" thickBot="1">
      <c r="A50" s="426" t="s">
        <v>837</v>
      </c>
      <c r="B50" s="426" t="s">
        <v>837</v>
      </c>
      <c r="C50" s="454" t="s">
        <v>838</v>
      </c>
      <c r="D50" s="435" t="s">
        <v>279</v>
      </c>
      <c r="E50" s="452">
        <f>+DGA!C11/1000</f>
        <v>0</v>
      </c>
      <c r="F50" s="452">
        <f>+DGA!D11/1000</f>
        <v>21394.312999999998</v>
      </c>
      <c r="G50" s="452">
        <f>+DGA!E11/1000</f>
        <v>0</v>
      </c>
      <c r="H50" s="452">
        <f>+DGA!F11/1000</f>
        <v>1001.449</v>
      </c>
      <c r="I50" s="452">
        <f>+DGA!G11/1000</f>
        <v>748753.99199999997</v>
      </c>
      <c r="J50" s="452">
        <f>+DGA!H11/1000</f>
        <v>2358374.6260000002</v>
      </c>
      <c r="K50" s="452">
        <f>+DGA!I11/1000</f>
        <v>1974911.254</v>
      </c>
      <c r="L50" s="452">
        <f>+DGA!J11/1000</f>
        <v>947127.93099999998</v>
      </c>
      <c r="M50" s="452">
        <f>+DGA!K11/1000</f>
        <v>317895.61099999998</v>
      </c>
      <c r="N50" s="452">
        <f>+DGA!L11/1000</f>
        <v>107037.03599999999</v>
      </c>
      <c r="O50" s="452">
        <f>+DGA!M11/1000</f>
        <v>5403.5410000000002</v>
      </c>
      <c r="P50" s="452">
        <f>+DGA!N11/1000</f>
        <v>33555.9</v>
      </c>
      <c r="Q50" s="433">
        <f t="shared" si="2"/>
        <v>6515455.6529999999</v>
      </c>
      <c r="R50" s="452"/>
      <c r="U50" s="699">
        <v>2000000</v>
      </c>
      <c r="W50" s="481"/>
    </row>
    <row r="51" spans="1:23" ht="13.5" thickBot="1">
      <c r="A51" s="426"/>
      <c r="B51" s="426"/>
      <c r="C51" s="454" t="s">
        <v>839</v>
      </c>
      <c r="D51" s="435" t="s">
        <v>840</v>
      </c>
      <c r="E51" s="444">
        <f t="shared" ref="E51:P51" si="16">+E52+E53+E54+E55</f>
        <v>0</v>
      </c>
      <c r="F51" s="444">
        <f t="shared" si="16"/>
        <v>0</v>
      </c>
      <c r="G51" s="444">
        <f t="shared" si="16"/>
        <v>0</v>
      </c>
      <c r="H51" s="444">
        <f t="shared" si="16"/>
        <v>0</v>
      </c>
      <c r="I51" s="444">
        <f t="shared" si="16"/>
        <v>0</v>
      </c>
      <c r="J51" s="444">
        <f t="shared" si="16"/>
        <v>0</v>
      </c>
      <c r="K51" s="444">
        <f t="shared" si="16"/>
        <v>220.40199999999999</v>
      </c>
      <c r="L51" s="444">
        <f t="shared" si="16"/>
        <v>793.44600000000003</v>
      </c>
      <c r="M51" s="444">
        <f t="shared" si="16"/>
        <v>0</v>
      </c>
      <c r="N51" s="444">
        <f t="shared" si="16"/>
        <v>0</v>
      </c>
      <c r="O51" s="444">
        <f t="shared" si="16"/>
        <v>0</v>
      </c>
      <c r="P51" s="444">
        <f t="shared" si="16"/>
        <v>0</v>
      </c>
      <c r="Q51" s="433">
        <f t="shared" si="2"/>
        <v>1013.848</v>
      </c>
      <c r="R51" s="444"/>
      <c r="U51" s="699"/>
      <c r="W51" s="481"/>
    </row>
    <row r="52" spans="1:23" ht="13.5" thickBot="1">
      <c r="A52" s="426" t="s">
        <v>841</v>
      </c>
      <c r="B52" s="426" t="s">
        <v>841</v>
      </c>
      <c r="C52" s="453" t="s">
        <v>1383</v>
      </c>
      <c r="D52" s="449" t="s">
        <v>842</v>
      </c>
      <c r="E52" s="448"/>
      <c r="F52" s="448"/>
      <c r="G52" s="448"/>
      <c r="H52" s="448"/>
      <c r="I52" s="448"/>
      <c r="J52" s="448"/>
      <c r="K52" s="448"/>
      <c r="L52" s="448"/>
      <c r="M52" s="448"/>
      <c r="N52" s="448"/>
      <c r="O52" s="448"/>
      <c r="P52" s="448"/>
      <c r="Q52" s="433">
        <f t="shared" si="2"/>
        <v>0</v>
      </c>
      <c r="R52" s="448"/>
      <c r="U52" s="699">
        <f>SUM(I52:Q52)</f>
        <v>0</v>
      </c>
      <c r="W52" s="481"/>
    </row>
    <row r="53" spans="1:23" ht="13.5" thickBot="1">
      <c r="A53" s="426" t="s">
        <v>843</v>
      </c>
      <c r="B53" s="426" t="s">
        <v>843</v>
      </c>
      <c r="C53" s="453" t="s">
        <v>1384</v>
      </c>
      <c r="D53" s="449" t="s">
        <v>844</v>
      </c>
      <c r="E53" s="448"/>
      <c r="F53" s="448"/>
      <c r="G53" s="448"/>
      <c r="H53" s="448"/>
      <c r="I53" s="448"/>
      <c r="J53" s="448"/>
      <c r="K53" s="448"/>
      <c r="L53" s="448"/>
      <c r="M53" s="448"/>
      <c r="N53" s="448"/>
      <c r="O53" s="448"/>
      <c r="P53" s="448"/>
      <c r="Q53" s="433">
        <f t="shared" si="2"/>
        <v>0</v>
      </c>
      <c r="R53" s="448"/>
      <c r="U53" s="699">
        <f>SUM(I53:Q53)</f>
        <v>0</v>
      </c>
      <c r="W53" s="481"/>
    </row>
    <row r="54" spans="1:23" ht="13.5" thickBot="1">
      <c r="A54" s="426" t="s">
        <v>845</v>
      </c>
      <c r="B54" s="426" t="s">
        <v>845</v>
      </c>
      <c r="C54" s="453" t="s">
        <v>1385</v>
      </c>
      <c r="D54" s="449" t="s">
        <v>846</v>
      </c>
      <c r="E54" s="448"/>
      <c r="F54" s="448"/>
      <c r="G54" s="448"/>
      <c r="H54" s="448"/>
      <c r="I54" s="448"/>
      <c r="J54" s="448"/>
      <c r="K54" s="448"/>
      <c r="L54" s="448"/>
      <c r="M54" s="448"/>
      <c r="N54" s="448"/>
      <c r="O54" s="448"/>
      <c r="P54" s="448"/>
      <c r="Q54" s="433">
        <f t="shared" si="2"/>
        <v>0</v>
      </c>
      <c r="R54" s="448"/>
      <c r="U54" s="699">
        <f>SUM(I54:Q54)</f>
        <v>0</v>
      </c>
      <c r="W54" s="481"/>
    </row>
    <row r="55" spans="1:23" ht="13.5" thickBot="1">
      <c r="A55" s="426" t="s">
        <v>847</v>
      </c>
      <c r="B55" s="426" t="s">
        <v>847</v>
      </c>
      <c r="C55" s="453" t="s">
        <v>1386</v>
      </c>
      <c r="D55" s="449" t="s">
        <v>2990</v>
      </c>
      <c r="E55" s="448">
        <f>+DGA!C43/1000</f>
        <v>0</v>
      </c>
      <c r="F55" s="448">
        <f>+DGA!D43/1000</f>
        <v>0</v>
      </c>
      <c r="G55" s="448">
        <f>+DGA!E43/1000</f>
        <v>0</v>
      </c>
      <c r="H55" s="448">
        <f>+DGA!F43/1000</f>
        <v>0</v>
      </c>
      <c r="I55" s="448">
        <f>+DGA!G43/1000</f>
        <v>0</v>
      </c>
      <c r="J55" s="448">
        <f>+DGA!H43/1000</f>
        <v>0</v>
      </c>
      <c r="K55" s="448">
        <f>+DGA!I43/1000</f>
        <v>220.40199999999999</v>
      </c>
      <c r="L55" s="448">
        <f>+DGA!J43/1000</f>
        <v>793.44600000000003</v>
      </c>
      <c r="M55" s="448">
        <f>+DGA!K43/1000</f>
        <v>0</v>
      </c>
      <c r="N55" s="448">
        <f>+DGA!L43/1000</f>
        <v>0</v>
      </c>
      <c r="O55" s="448">
        <f>+DGA!M43/1000</f>
        <v>0</v>
      </c>
      <c r="P55" s="448">
        <f>+DGA!N43/1000</f>
        <v>0</v>
      </c>
      <c r="Q55" s="433">
        <f t="shared" si="2"/>
        <v>1013.848</v>
      </c>
      <c r="R55" s="448"/>
      <c r="U55" s="699"/>
      <c r="W55" s="481"/>
    </row>
    <row r="56" spans="1:23" ht="13.5" thickBot="1">
      <c r="A56" s="426" t="s">
        <v>848</v>
      </c>
      <c r="B56" s="426" t="s">
        <v>848</v>
      </c>
      <c r="C56" s="434" t="s">
        <v>849</v>
      </c>
      <c r="D56" s="435" t="s">
        <v>850</v>
      </c>
      <c r="E56" s="448">
        <f>+DGA!C22/1000</f>
        <v>0</v>
      </c>
      <c r="F56" s="448">
        <f>+DGA!D22/1000</f>
        <v>0</v>
      </c>
      <c r="G56" s="448">
        <f>+DGA!E22/1000</f>
        <v>0</v>
      </c>
      <c r="H56" s="448">
        <f>+DGA!F22/1000</f>
        <v>0</v>
      </c>
      <c r="I56" s="448">
        <f>+DGA!G22/1000</f>
        <v>0</v>
      </c>
      <c r="J56" s="448">
        <f>+DGA!H22/1000</f>
        <v>0</v>
      </c>
      <c r="K56" s="448">
        <f>+DGA!I22/1000</f>
        <v>0</v>
      </c>
      <c r="L56" s="448"/>
      <c r="M56" s="448">
        <f>+DGA!K22/1000</f>
        <v>0</v>
      </c>
      <c r="N56" s="448">
        <f>+DGA!L22/1000</f>
        <v>0</v>
      </c>
      <c r="O56" s="448">
        <f>+DGA!M22/1000</f>
        <v>0</v>
      </c>
      <c r="P56" s="448">
        <f>+DGA!N22/1000</f>
        <v>0</v>
      </c>
      <c r="Q56" s="433">
        <f t="shared" si="2"/>
        <v>0</v>
      </c>
      <c r="R56" s="448"/>
      <c r="U56" s="699">
        <f>SUM(I56:Q56)</f>
        <v>0</v>
      </c>
      <c r="W56" s="481"/>
    </row>
    <row r="57" spans="1:23" ht="13.5" thickBot="1">
      <c r="A57" s="426"/>
      <c r="B57" s="426"/>
      <c r="C57" s="434" t="s">
        <v>851</v>
      </c>
      <c r="D57" s="435" t="s">
        <v>852</v>
      </c>
      <c r="E57" s="444">
        <f>SUM(E58:E60)</f>
        <v>127398.62899999999</v>
      </c>
      <c r="F57" s="444">
        <f t="shared" ref="F57:O57" si="17">SUM(F58:F60)</f>
        <v>187252.05</v>
      </c>
      <c r="G57" s="444">
        <f t="shared" si="17"/>
        <v>186625.734</v>
      </c>
      <c r="H57" s="444">
        <f t="shared" si="17"/>
        <v>122018.45199999999</v>
      </c>
      <c r="I57" s="444">
        <f t="shared" si="17"/>
        <v>200425.84599999999</v>
      </c>
      <c r="J57" s="444">
        <f t="shared" si="17"/>
        <v>139569.5</v>
      </c>
      <c r="K57" s="444">
        <f t="shared" si="17"/>
        <v>160006.15100000001</v>
      </c>
      <c r="L57" s="444">
        <f t="shared" si="17"/>
        <v>116828.38799999999</v>
      </c>
      <c r="M57" s="444">
        <f t="shared" si="17"/>
        <v>162883.745</v>
      </c>
      <c r="N57" s="444">
        <f t="shared" si="17"/>
        <v>167856.46400000001</v>
      </c>
      <c r="O57" s="444">
        <f t="shared" si="17"/>
        <v>91986.673999999999</v>
      </c>
      <c r="P57" s="444">
        <f>SUM(P58:P60)</f>
        <v>140763.54800000001</v>
      </c>
      <c r="Q57" s="433">
        <f t="shared" si="2"/>
        <v>1803615.1809999999</v>
      </c>
      <c r="R57" s="444"/>
      <c r="U57" s="699">
        <v>693614</v>
      </c>
      <c r="W57" s="481"/>
    </row>
    <row r="58" spans="1:23" ht="15" thickBot="1">
      <c r="A58" s="445" t="s">
        <v>853</v>
      </c>
      <c r="B58" s="426" t="s">
        <v>853</v>
      </c>
      <c r="C58" s="453" t="s">
        <v>1387</v>
      </c>
      <c r="D58" s="449" t="s">
        <v>854</v>
      </c>
      <c r="E58" s="452">
        <f>+DGA!C48/1000</f>
        <v>41812.332000000002</v>
      </c>
      <c r="F58" s="452">
        <f>+DGA!D48/1000</f>
        <v>63043.622000000003</v>
      </c>
      <c r="G58" s="452">
        <f>+DGA!E48/1000</f>
        <v>62540.23</v>
      </c>
      <c r="H58" s="452">
        <f>+DGA!F48/1000</f>
        <v>39813.137000000002</v>
      </c>
      <c r="I58" s="452">
        <f>+DGA!G48/1000</f>
        <v>65799.686000000002</v>
      </c>
      <c r="J58" s="452">
        <f>+DGA!H48/1000</f>
        <v>45400.546000000002</v>
      </c>
      <c r="K58" s="452">
        <f>+DGA!I48/1000</f>
        <v>52182.546000000002</v>
      </c>
      <c r="L58" s="448">
        <f>+DGA!J48/1000</f>
        <v>38478.807000000001</v>
      </c>
      <c r="M58" s="622">
        <f>+DGA!K48/1000</f>
        <v>53721.669000000002</v>
      </c>
      <c r="N58" s="452">
        <f>+DGA!L48/1000</f>
        <v>56361.576999999997</v>
      </c>
      <c r="O58" s="452">
        <f>+DGA!M48/1000</f>
        <v>30033.223000000002</v>
      </c>
      <c r="P58" s="452">
        <f>+DGA!N48/1000</f>
        <v>47016.337</v>
      </c>
      <c r="Q58" s="433">
        <f t="shared" si="2"/>
        <v>596203.71200000006</v>
      </c>
      <c r="R58" s="452"/>
      <c r="U58" s="699">
        <v>268055</v>
      </c>
      <c r="W58" s="481"/>
    </row>
    <row r="59" spans="1:23" ht="15" thickBot="1">
      <c r="A59" s="445"/>
      <c r="B59" s="426"/>
      <c r="C59" s="453" t="s">
        <v>1388</v>
      </c>
      <c r="D59" s="449" t="s">
        <v>855</v>
      </c>
      <c r="E59" s="452">
        <f>+DGA!C47/1000</f>
        <v>53311.127999999997</v>
      </c>
      <c r="F59" s="452">
        <f>+DGA!D47/1000</f>
        <v>79942.725999999995</v>
      </c>
      <c r="G59" s="452">
        <f>+DGA!E47/1000</f>
        <v>79912.448000000004</v>
      </c>
      <c r="H59" s="452">
        <f>+DGA!F47/1000</f>
        <v>51608.436999999998</v>
      </c>
      <c r="I59" s="452">
        <f>+DGA!G47/1000</f>
        <v>85085.702999999994</v>
      </c>
      <c r="J59" s="452">
        <f>+DGA!H47/1000</f>
        <v>59147.451000000001</v>
      </c>
      <c r="K59" s="452">
        <f>+DGA!I47/1000</f>
        <v>66730.91</v>
      </c>
      <c r="L59" s="448">
        <f>+DGA!J47/1000</f>
        <v>48810.796999999999</v>
      </c>
      <c r="M59" s="622">
        <f>+DGA!K47/1000</f>
        <v>67996.126999999993</v>
      </c>
      <c r="N59" s="452">
        <f>+DGA!L47/1000</f>
        <v>70945.623999999996</v>
      </c>
      <c r="O59" s="452">
        <f>+DGA!M47/1000</f>
        <v>37876.623</v>
      </c>
      <c r="P59" s="452">
        <f>+DGA!N47/1000</f>
        <v>59155.161</v>
      </c>
      <c r="Q59" s="433">
        <f t="shared" si="2"/>
        <v>760523.13499999989</v>
      </c>
      <c r="R59" s="452"/>
      <c r="U59" s="699">
        <v>279273</v>
      </c>
      <c r="W59" s="481"/>
    </row>
    <row r="60" spans="1:23" ht="15" thickBot="1">
      <c r="A60" s="445"/>
      <c r="B60" s="426"/>
      <c r="C60" s="453" t="s">
        <v>1389</v>
      </c>
      <c r="D60" s="449" t="s">
        <v>856</v>
      </c>
      <c r="E60" s="444">
        <f>+DGA!C49/1000</f>
        <v>32275.169000000002</v>
      </c>
      <c r="F60" s="444">
        <f>+DGA!D49/1000</f>
        <v>44265.701999999997</v>
      </c>
      <c r="G60" s="444">
        <f>+DGA!E49/1000</f>
        <v>44173.055999999997</v>
      </c>
      <c r="H60" s="444">
        <f>+DGA!F49/1000</f>
        <v>30596.878000000001</v>
      </c>
      <c r="I60" s="444">
        <f>+DGA!G49/1000</f>
        <v>49540.457000000002</v>
      </c>
      <c r="J60" s="444">
        <f>+DGA!H49/1000</f>
        <v>35021.502999999997</v>
      </c>
      <c r="K60" s="444">
        <f>+DGA!I49/1000</f>
        <v>41092.695</v>
      </c>
      <c r="L60" s="448">
        <f>+DGA!J49/1000</f>
        <v>29538.784</v>
      </c>
      <c r="M60" s="623">
        <f>+DGA!K49/1000</f>
        <v>41165.949000000001</v>
      </c>
      <c r="N60" s="444">
        <f>+DGA!L49/1000</f>
        <v>40549.262999999999</v>
      </c>
      <c r="O60" s="444">
        <f>+DGA!M49/1000</f>
        <v>24076.828000000001</v>
      </c>
      <c r="P60" s="444">
        <f>+DGA!N49/1000</f>
        <v>34592.050000000003</v>
      </c>
      <c r="Q60" s="433">
        <f t="shared" si="2"/>
        <v>446888.33399999992</v>
      </c>
      <c r="R60" s="444"/>
      <c r="U60" s="699">
        <v>146286</v>
      </c>
      <c r="W60" s="481"/>
    </row>
    <row r="61" spans="1:23" ht="5.0999999999999996" customHeight="1" thickBot="1">
      <c r="A61" s="426"/>
      <c r="B61" s="426"/>
      <c r="C61" s="434"/>
      <c r="D61" s="435"/>
      <c r="E61" s="444"/>
      <c r="F61" s="444"/>
      <c r="G61" s="444"/>
      <c r="H61" s="444"/>
      <c r="I61" s="444"/>
      <c r="J61" s="444"/>
      <c r="K61" s="444"/>
      <c r="L61" s="444"/>
      <c r="M61" s="444"/>
      <c r="N61" s="444"/>
      <c r="O61" s="444"/>
      <c r="P61" s="444"/>
      <c r="Q61" s="433">
        <f t="shared" si="2"/>
        <v>0</v>
      </c>
      <c r="R61" s="444"/>
      <c r="U61" s="699"/>
      <c r="W61" s="481"/>
    </row>
    <row r="62" spans="1:23" ht="15.75" thickBot="1">
      <c r="A62" s="430"/>
      <c r="B62" s="426"/>
      <c r="C62" s="440" t="s">
        <v>348</v>
      </c>
      <c r="D62" s="441" t="s">
        <v>857</v>
      </c>
      <c r="E62" s="451">
        <f t="shared" ref="E62:J62" si="18">+E63+E66</f>
        <v>376623.674</v>
      </c>
      <c r="F62" s="451">
        <f t="shared" si="18"/>
        <v>306134.59399999998</v>
      </c>
      <c r="G62" s="451">
        <f t="shared" si="18"/>
        <v>382954.14600000001</v>
      </c>
      <c r="H62" s="451">
        <f t="shared" si="18"/>
        <v>367704.02799999999</v>
      </c>
      <c r="I62" s="451">
        <f t="shared" si="18"/>
        <v>408296.82400000002</v>
      </c>
      <c r="J62" s="451">
        <f t="shared" si="18"/>
        <v>473008.29700000002</v>
      </c>
      <c r="K62" s="451">
        <f t="shared" ref="K62:P62" si="19">+K63+K66</f>
        <v>470457.55499999999</v>
      </c>
      <c r="L62" s="451">
        <f t="shared" si="19"/>
        <v>483241.38500000001</v>
      </c>
      <c r="M62" s="451">
        <f t="shared" si="19"/>
        <v>391480.66000000003</v>
      </c>
      <c r="N62" s="451">
        <f t="shared" si="19"/>
        <v>429872.212</v>
      </c>
      <c r="O62" s="451">
        <f t="shared" si="19"/>
        <v>354493.087</v>
      </c>
      <c r="P62" s="451">
        <f t="shared" si="19"/>
        <v>479777.88099999994</v>
      </c>
      <c r="Q62" s="433">
        <f t="shared" si="2"/>
        <v>4924044.3430000003</v>
      </c>
      <c r="R62" s="451"/>
      <c r="U62" s="699">
        <v>1460393</v>
      </c>
      <c r="W62" s="481"/>
    </row>
    <row r="63" spans="1:23" ht="13.5" thickBot="1">
      <c r="A63" s="426" t="s">
        <v>858</v>
      </c>
      <c r="B63" s="426" t="s">
        <v>858</v>
      </c>
      <c r="C63" s="434" t="s">
        <v>859</v>
      </c>
      <c r="D63" s="435" t="s">
        <v>280</v>
      </c>
      <c r="E63" s="444">
        <f t="shared" ref="E63:J63" si="20">+E64+E65</f>
        <v>376623.674</v>
      </c>
      <c r="F63" s="444">
        <f t="shared" si="20"/>
        <v>306134.59399999998</v>
      </c>
      <c r="G63" s="444">
        <f t="shared" si="20"/>
        <v>382624.50599999999</v>
      </c>
      <c r="H63" s="444">
        <f t="shared" si="20"/>
        <v>367451.158</v>
      </c>
      <c r="I63" s="444">
        <f t="shared" si="20"/>
        <v>408296.82400000002</v>
      </c>
      <c r="J63" s="444">
        <f t="shared" si="20"/>
        <v>473008.29700000002</v>
      </c>
      <c r="K63" s="444">
        <f t="shared" ref="K63:P63" si="21">+K64+K65</f>
        <v>470457.55499999999</v>
      </c>
      <c r="L63" s="444">
        <f t="shared" si="21"/>
        <v>483241.38500000001</v>
      </c>
      <c r="M63" s="444">
        <f t="shared" si="21"/>
        <v>391480.66000000003</v>
      </c>
      <c r="N63" s="444">
        <f t="shared" si="21"/>
        <v>429241.04200000002</v>
      </c>
      <c r="O63" s="444">
        <f t="shared" si="21"/>
        <v>354493.087</v>
      </c>
      <c r="P63" s="444">
        <f t="shared" si="21"/>
        <v>479777.88099999994</v>
      </c>
      <c r="Q63" s="433">
        <f t="shared" si="2"/>
        <v>4922830.6630000006</v>
      </c>
      <c r="R63" s="444"/>
      <c r="U63" s="699">
        <v>1460393</v>
      </c>
      <c r="W63" s="481"/>
    </row>
    <row r="64" spans="1:23" ht="13.5" thickBot="1">
      <c r="A64" s="426"/>
      <c r="B64" s="426" t="s">
        <v>860</v>
      </c>
      <c r="C64" s="453" t="s">
        <v>1390</v>
      </c>
      <c r="D64" s="449" t="s">
        <v>861</v>
      </c>
      <c r="E64" s="452">
        <f>+DGA!C19/1000</f>
        <v>128274.428</v>
      </c>
      <c r="F64" s="452">
        <f>+DGA!D19/1000</f>
        <v>66121.430999999997</v>
      </c>
      <c r="G64" s="452">
        <f>+DGA!E19/1000</f>
        <v>95513.36</v>
      </c>
      <c r="H64" s="452">
        <f>+DGA!F19/1000</f>
        <v>105093.598</v>
      </c>
      <c r="I64" s="452">
        <f>+DGA!G19/1000</f>
        <v>134243.24799999999</v>
      </c>
      <c r="J64" s="452">
        <f>+DGA!H19/1000</f>
        <v>100337.2</v>
      </c>
      <c r="K64" s="452">
        <f>+DGA!I19/1000</f>
        <v>130967.898</v>
      </c>
      <c r="L64" s="452">
        <f>+DGA!J19/1000</f>
        <v>114418.425</v>
      </c>
      <c r="M64" s="452">
        <f>+DGA!K19/1000</f>
        <v>133874.43400000001</v>
      </c>
      <c r="N64" s="452">
        <f>+DGA!L19/1000</f>
        <v>125725.588</v>
      </c>
      <c r="O64" s="452">
        <f>+DGA!M19/1000</f>
        <v>119190.27899999999</v>
      </c>
      <c r="P64" s="452">
        <f>+DGA!N19/1000</f>
        <v>95583.361999999994</v>
      </c>
      <c r="Q64" s="433">
        <f t="shared" si="2"/>
        <v>1349343.2510000002</v>
      </c>
      <c r="R64" s="452"/>
      <c r="U64" s="699">
        <v>438119</v>
      </c>
      <c r="W64" s="481"/>
    </row>
    <row r="65" spans="1:23" ht="15" thickBot="1">
      <c r="A65" s="445" t="s">
        <v>860</v>
      </c>
      <c r="B65" s="426" t="s">
        <v>862</v>
      </c>
      <c r="C65" s="453" t="s">
        <v>1391</v>
      </c>
      <c r="D65" s="449" t="s">
        <v>863</v>
      </c>
      <c r="E65" s="452">
        <f>+DGA!C20/1000</f>
        <v>248349.24600000001</v>
      </c>
      <c r="F65" s="452">
        <f>+DGA!D20/1000</f>
        <v>240013.163</v>
      </c>
      <c r="G65" s="452">
        <f>+DGA!E20/1000</f>
        <v>287111.14600000001</v>
      </c>
      <c r="H65" s="452">
        <f>+DGA!F20/1000</f>
        <v>262357.56</v>
      </c>
      <c r="I65" s="452">
        <f>+DGA!G20/1000</f>
        <v>274053.576</v>
      </c>
      <c r="J65" s="452">
        <f>+DGA!H20/1000</f>
        <v>372671.09700000001</v>
      </c>
      <c r="K65" s="452">
        <f>+DGA!I20/1000</f>
        <v>339489.65700000001</v>
      </c>
      <c r="L65" s="452">
        <f>+DGA!J20/1000</f>
        <v>368822.96</v>
      </c>
      <c r="M65" s="622">
        <f>+DGA!K20/1000</f>
        <v>257606.226</v>
      </c>
      <c r="N65" s="452">
        <f>+DGA!L20/1000</f>
        <v>303515.45400000003</v>
      </c>
      <c r="O65" s="452">
        <f>+DGA!M20/1000</f>
        <v>235302.80799999999</v>
      </c>
      <c r="P65" s="452">
        <f>+DGA!N20/1000</f>
        <v>384194.51899999997</v>
      </c>
      <c r="Q65" s="433">
        <f t="shared" si="2"/>
        <v>3573487.412</v>
      </c>
      <c r="R65" s="452"/>
      <c r="U65" s="699">
        <v>1022275</v>
      </c>
      <c r="W65" s="481"/>
    </row>
    <row r="66" spans="1:23" ht="13.5" thickBot="1">
      <c r="A66" s="445" t="s">
        <v>862</v>
      </c>
      <c r="B66" s="426" t="s">
        <v>864</v>
      </c>
      <c r="C66" s="434" t="s">
        <v>865</v>
      </c>
      <c r="D66" s="435" t="s">
        <v>866</v>
      </c>
      <c r="E66" s="444">
        <f t="shared" ref="E66:P66" si="22">+E67+E68+E69+E70+E71</f>
        <v>0</v>
      </c>
      <c r="F66" s="444">
        <f t="shared" si="22"/>
        <v>0</v>
      </c>
      <c r="G66" s="444">
        <f t="shared" si="22"/>
        <v>329.64</v>
      </c>
      <c r="H66" s="444">
        <f t="shared" si="22"/>
        <v>252.87</v>
      </c>
      <c r="I66" s="444">
        <f t="shared" si="22"/>
        <v>0</v>
      </c>
      <c r="J66" s="444">
        <f t="shared" si="22"/>
        <v>0</v>
      </c>
      <c r="K66" s="444">
        <f t="shared" si="22"/>
        <v>0</v>
      </c>
      <c r="L66" s="444">
        <f t="shared" si="22"/>
        <v>0</v>
      </c>
      <c r="M66" s="444">
        <f t="shared" si="22"/>
        <v>0</v>
      </c>
      <c r="N66" s="444">
        <f t="shared" si="22"/>
        <v>631.16999999999996</v>
      </c>
      <c r="O66" s="444">
        <f t="shared" si="22"/>
        <v>0</v>
      </c>
      <c r="P66" s="444">
        <f t="shared" si="22"/>
        <v>0</v>
      </c>
      <c r="Q66" s="433">
        <f t="shared" si="2"/>
        <v>1213.6799999999998</v>
      </c>
      <c r="R66" s="444"/>
      <c r="U66" s="699">
        <f t="shared" ref="U66:U71" si="23">SUM(I66:Q66)</f>
        <v>1844.85</v>
      </c>
      <c r="W66" s="481"/>
    </row>
    <row r="67" spans="1:23" ht="13.5" thickBot="1">
      <c r="A67" s="426" t="s">
        <v>864</v>
      </c>
      <c r="B67" s="426" t="s">
        <v>867</v>
      </c>
      <c r="C67" s="450" t="s">
        <v>1392</v>
      </c>
      <c r="D67" s="449" t="s">
        <v>869</v>
      </c>
      <c r="E67" s="452">
        <f>+'DGCI '!C43</f>
        <v>0</v>
      </c>
      <c r="F67" s="452">
        <f>+'DGCI '!D43</f>
        <v>0</v>
      </c>
      <c r="G67" s="452">
        <f>+'DGCI '!E43</f>
        <v>329.64</v>
      </c>
      <c r="H67" s="452">
        <f>+'DGCI '!F43</f>
        <v>252.87</v>
      </c>
      <c r="I67" s="452">
        <f>+'DGCI '!G43</f>
        <v>0</v>
      </c>
      <c r="J67" s="452">
        <f>+'DGCI '!H43</f>
        <v>0</v>
      </c>
      <c r="K67" s="452">
        <f>+'DGCI '!J43</f>
        <v>0</v>
      </c>
      <c r="L67" s="452">
        <f>+'DGCI '!K43</f>
        <v>0</v>
      </c>
      <c r="M67" s="452">
        <f>+'DGCI '!L43</f>
        <v>0</v>
      </c>
      <c r="N67" s="452">
        <f>+'DGCI '!M43</f>
        <v>631.16999999999996</v>
      </c>
      <c r="O67" s="452">
        <f>+'DGCI '!N43</f>
        <v>0</v>
      </c>
      <c r="P67" s="452">
        <f>+'DGCI '!O43</f>
        <v>0</v>
      </c>
      <c r="Q67" s="433">
        <f t="shared" si="2"/>
        <v>1213.6799999999998</v>
      </c>
      <c r="R67" s="452"/>
      <c r="U67" s="699">
        <f t="shared" si="23"/>
        <v>1844.85</v>
      </c>
      <c r="W67" s="481"/>
    </row>
    <row r="68" spans="1:23" ht="13.5" thickBot="1">
      <c r="A68" s="426" t="s">
        <v>867</v>
      </c>
      <c r="B68" s="426" t="s">
        <v>870</v>
      </c>
      <c r="C68" s="450" t="s">
        <v>1393</v>
      </c>
      <c r="D68" s="449" t="s">
        <v>871</v>
      </c>
      <c r="E68" s="452">
        <f>+'DGCI '!C42</f>
        <v>0</v>
      </c>
      <c r="F68" s="452">
        <f>+'DGCI '!D42</f>
        <v>0</v>
      </c>
      <c r="G68" s="452">
        <f>+'DGCI '!E42</f>
        <v>0</v>
      </c>
      <c r="H68" s="452">
        <f>+'DGCI '!F42</f>
        <v>0</v>
      </c>
      <c r="I68" s="452">
        <f>+'DGCI '!G42</f>
        <v>0</v>
      </c>
      <c r="J68" s="452">
        <f>+'DGCI '!H42</f>
        <v>0</v>
      </c>
      <c r="K68" s="452">
        <f>+'DGCI '!J42</f>
        <v>0</v>
      </c>
      <c r="L68" s="452">
        <f>+'DGCI '!K42</f>
        <v>0</v>
      </c>
      <c r="M68" s="452">
        <f>+'DGCI '!L42</f>
        <v>0</v>
      </c>
      <c r="N68" s="452">
        <f>+'DGCI '!M42</f>
        <v>0</v>
      </c>
      <c r="O68" s="452">
        <f>+'DGCI '!N42</f>
        <v>0</v>
      </c>
      <c r="P68" s="452">
        <f>+'DGCI '!O42</f>
        <v>0</v>
      </c>
      <c r="Q68" s="433">
        <f t="shared" si="2"/>
        <v>0</v>
      </c>
      <c r="R68" s="452"/>
      <c r="U68" s="699">
        <f t="shared" si="23"/>
        <v>0</v>
      </c>
      <c r="W68" s="481"/>
    </row>
    <row r="69" spans="1:23" ht="13.5" thickBot="1">
      <c r="A69" s="426"/>
      <c r="B69" s="426"/>
      <c r="C69" s="450" t="s">
        <v>1394</v>
      </c>
      <c r="D69" s="449" t="s">
        <v>872</v>
      </c>
      <c r="E69" s="452"/>
      <c r="F69" s="452"/>
      <c r="G69" s="452"/>
      <c r="H69" s="452"/>
      <c r="I69" s="452"/>
      <c r="J69" s="452"/>
      <c r="K69" s="452"/>
      <c r="L69" s="452"/>
      <c r="M69" s="452"/>
      <c r="N69" s="452"/>
      <c r="O69" s="452"/>
      <c r="P69" s="452"/>
      <c r="Q69" s="433">
        <f t="shared" si="2"/>
        <v>0</v>
      </c>
      <c r="R69" s="452"/>
      <c r="U69" s="699">
        <f t="shared" si="23"/>
        <v>0</v>
      </c>
      <c r="W69" s="481"/>
    </row>
    <row r="70" spans="1:23" ht="13.5" thickBot="1">
      <c r="A70" s="426" t="s">
        <v>873</v>
      </c>
      <c r="B70" s="455">
        <v>1608</v>
      </c>
      <c r="C70" s="446" t="s">
        <v>1395</v>
      </c>
      <c r="D70" s="449" t="s">
        <v>575</v>
      </c>
      <c r="E70" s="452">
        <f>+'DGCI '!C44</f>
        <v>0</v>
      </c>
      <c r="F70" s="452">
        <f>+'DGCI '!D44</f>
        <v>0</v>
      </c>
      <c r="G70" s="452">
        <f>+'DGCI '!E44</f>
        <v>0</v>
      </c>
      <c r="H70" s="452">
        <f>+'DGCI '!F44</f>
        <v>0</v>
      </c>
      <c r="I70" s="452">
        <f>+'DGCI '!G44</f>
        <v>0</v>
      </c>
      <c r="J70" s="452">
        <f>+'DGCI '!H44</f>
        <v>0</v>
      </c>
      <c r="K70" s="452">
        <f>+'DGCI '!J44</f>
        <v>0</v>
      </c>
      <c r="L70" s="452">
        <f>+'DGCI '!K44</f>
        <v>0</v>
      </c>
      <c r="M70" s="452">
        <f>+'DGCI '!L44</f>
        <v>0</v>
      </c>
      <c r="N70" s="452">
        <f>+'DGCI '!M44</f>
        <v>0</v>
      </c>
      <c r="O70" s="452">
        <f>+'DGCI '!N44</f>
        <v>0</v>
      </c>
      <c r="P70" s="452">
        <f>+'DGCI '!O44</f>
        <v>0</v>
      </c>
      <c r="Q70" s="433">
        <f t="shared" si="2"/>
        <v>0</v>
      </c>
      <c r="R70" s="452"/>
      <c r="U70" s="699">
        <f t="shared" si="23"/>
        <v>0</v>
      </c>
      <c r="W70" s="481"/>
    </row>
    <row r="71" spans="1:23" ht="13.5" customHeight="1" thickBot="1">
      <c r="A71" s="430"/>
      <c r="B71" s="426"/>
      <c r="C71" s="434"/>
      <c r="D71" s="449" t="s">
        <v>874</v>
      </c>
      <c r="E71" s="444">
        <f>+'DGCI '!C45</f>
        <v>0</v>
      </c>
      <c r="F71" s="444">
        <f>+'DGCI '!D45</f>
        <v>0</v>
      </c>
      <c r="G71" s="444">
        <f>+'DGCI '!E45</f>
        <v>0</v>
      </c>
      <c r="H71" s="444">
        <f>+'DGCI '!F45</f>
        <v>0</v>
      </c>
      <c r="I71" s="444">
        <f>+'DGCI '!G45</f>
        <v>0</v>
      </c>
      <c r="J71" s="444">
        <f>+'DGCI '!H45</f>
        <v>0</v>
      </c>
      <c r="K71" s="444">
        <f>+'DGCI '!J45</f>
        <v>0</v>
      </c>
      <c r="L71" s="444">
        <f>+'DGCI '!K45</f>
        <v>0</v>
      </c>
      <c r="M71" s="444">
        <f>+'DGCI '!L45</f>
        <v>0</v>
      </c>
      <c r="N71" s="444">
        <f>+'DGCI '!M45</f>
        <v>0</v>
      </c>
      <c r="O71" s="444">
        <f>+'DGCI '!N45</f>
        <v>0</v>
      </c>
      <c r="P71" s="444">
        <f>+'DGCI '!O45</f>
        <v>0</v>
      </c>
      <c r="Q71" s="433">
        <f t="shared" si="2"/>
        <v>0</v>
      </c>
      <c r="R71" s="444"/>
      <c r="U71" s="699">
        <f t="shared" si="23"/>
        <v>0</v>
      </c>
      <c r="W71" s="481"/>
    </row>
    <row r="72" spans="1:23" ht="15.75" thickBot="1">
      <c r="A72" s="430"/>
      <c r="B72" s="426"/>
      <c r="C72" s="440" t="s">
        <v>368</v>
      </c>
      <c r="D72" s="441" t="s">
        <v>875</v>
      </c>
      <c r="E72" s="456">
        <f>+E73+E77+E82+E85+E86</f>
        <v>1899768.08</v>
      </c>
      <c r="F72" s="456">
        <f t="shared" ref="F72:P72" si="24">+F73+F77+F82+F85+F86</f>
        <v>2072222.98</v>
      </c>
      <c r="G72" s="456">
        <f t="shared" si="24"/>
        <v>2069960.0019999999</v>
      </c>
      <c r="H72" s="456">
        <f t="shared" si="24"/>
        <v>1957998.4439999999</v>
      </c>
      <c r="I72" s="456">
        <f t="shared" si="24"/>
        <v>2292865.3689999999</v>
      </c>
      <c r="J72" s="456">
        <f t="shared" si="24"/>
        <v>2235598.054</v>
      </c>
      <c r="K72" s="456">
        <f t="shared" si="24"/>
        <v>2432759.446</v>
      </c>
      <c r="L72" s="456">
        <f t="shared" si="24"/>
        <v>1981277.1529999999</v>
      </c>
      <c r="M72" s="456">
        <f t="shared" si="24"/>
        <v>1988413.8909999998</v>
      </c>
      <c r="N72" s="456">
        <f t="shared" si="24"/>
        <v>2357186.0549999997</v>
      </c>
      <c r="O72" s="456">
        <f t="shared" si="24"/>
        <v>1894159.0629999998</v>
      </c>
      <c r="P72" s="456">
        <f t="shared" si="24"/>
        <v>1944480.7209999999</v>
      </c>
      <c r="Q72" s="433">
        <f t="shared" si="2"/>
        <v>25126689.258000001</v>
      </c>
      <c r="R72" s="456"/>
      <c r="U72" s="699">
        <v>5457891</v>
      </c>
      <c r="W72" s="481"/>
    </row>
    <row r="73" spans="1:23" ht="15.75" thickBot="1">
      <c r="A73" s="430"/>
      <c r="B73" s="426"/>
      <c r="C73" s="434" t="s">
        <v>370</v>
      </c>
      <c r="D73" s="435" t="s">
        <v>876</v>
      </c>
      <c r="E73" s="444">
        <f t="shared" ref="E73:J73" si="25">SUM(E74:E76)</f>
        <v>1109742.976</v>
      </c>
      <c r="F73" s="444">
        <f t="shared" si="25"/>
        <v>1307935.5020000001</v>
      </c>
      <c r="G73" s="444">
        <f t="shared" si="25"/>
        <v>1238804.2379999999</v>
      </c>
      <c r="H73" s="444">
        <f t="shared" si="25"/>
        <v>1073020.9779999999</v>
      </c>
      <c r="I73" s="444">
        <f t="shared" si="25"/>
        <v>1538877.9100000001</v>
      </c>
      <c r="J73" s="444">
        <f t="shared" si="25"/>
        <v>1266106.273</v>
      </c>
      <c r="K73" s="444">
        <f t="shared" ref="K73:P73" si="26">SUM(K74:K76)</f>
        <v>1272964.125</v>
      </c>
      <c r="L73" s="444">
        <f t="shared" si="26"/>
        <v>1028036.728</v>
      </c>
      <c r="M73" s="444">
        <f t="shared" si="26"/>
        <v>1087622.5249999999</v>
      </c>
      <c r="N73" s="444">
        <f t="shared" si="26"/>
        <v>1378781.111</v>
      </c>
      <c r="O73" s="444">
        <f t="shared" si="26"/>
        <v>959753.04999999993</v>
      </c>
      <c r="P73" s="444">
        <f t="shared" si="26"/>
        <v>1134607.46</v>
      </c>
      <c r="Q73" s="433">
        <f t="shared" si="2"/>
        <v>14396252.876000002</v>
      </c>
      <c r="R73" s="444"/>
      <c r="U73" s="699">
        <v>3555991</v>
      </c>
      <c r="W73" s="481"/>
    </row>
    <row r="74" spans="1:23" ht="15.75" thickBot="1">
      <c r="A74" s="430"/>
      <c r="B74" s="426"/>
      <c r="C74" s="453" t="s">
        <v>1396</v>
      </c>
      <c r="D74" s="449" t="s">
        <v>844</v>
      </c>
      <c r="E74" s="452">
        <f>+DGA!C14/1000</f>
        <v>237210.24799999999</v>
      </c>
      <c r="F74" s="452">
        <f>+DGA!D14/1000</f>
        <v>154817.394</v>
      </c>
      <c r="G74" s="452">
        <f>+DGA!E14/1000</f>
        <v>178749.614</v>
      </c>
      <c r="H74" s="452">
        <f>+DGA!F14/1000</f>
        <v>105093.598</v>
      </c>
      <c r="I74" s="452">
        <f>+DGA!G14/1000</f>
        <v>255676.318</v>
      </c>
      <c r="J74" s="452">
        <f>+DGA!H14/1000</f>
        <v>186406.864</v>
      </c>
      <c r="K74" s="452">
        <f>+DGA!I14/1000</f>
        <v>244900.753</v>
      </c>
      <c r="L74" s="452">
        <f>+DGA!J14/1000</f>
        <v>219216.77799999999</v>
      </c>
      <c r="M74" s="622">
        <f>+DGA!K14/1000</f>
        <v>251102.497</v>
      </c>
      <c r="N74" s="452">
        <f>+DGA!L14/1000</f>
        <v>230162.82500000001</v>
      </c>
      <c r="O74" s="452">
        <f>+DGA!M14/1000</f>
        <v>222832.212</v>
      </c>
      <c r="P74" s="452">
        <f>+DGA!N14/1000</f>
        <v>174175.78700000001</v>
      </c>
      <c r="Q74" s="433">
        <f t="shared" si="2"/>
        <v>2460344.8879999998</v>
      </c>
      <c r="R74" s="452"/>
      <c r="U74" s="699">
        <v>1030000</v>
      </c>
      <c r="W74" s="481"/>
    </row>
    <row r="75" spans="1:23" ht="15.75" thickBot="1">
      <c r="A75" s="430"/>
      <c r="B75" s="426"/>
      <c r="C75" s="453" t="s">
        <v>1397</v>
      </c>
      <c r="D75" s="449" t="s">
        <v>877</v>
      </c>
      <c r="E75" s="452">
        <f>+DGA!C15/1000</f>
        <v>196109.93100000001</v>
      </c>
      <c r="F75" s="452">
        <f>+DGA!D15/1000</f>
        <v>196598.948</v>
      </c>
      <c r="G75" s="452">
        <f>+DGA!E15/1000</f>
        <v>199286.57699999999</v>
      </c>
      <c r="H75" s="452">
        <f>+DGA!F15/1000</f>
        <v>93807.554999999993</v>
      </c>
      <c r="I75" s="452">
        <f>+DGA!G15/1000</f>
        <v>274640.266</v>
      </c>
      <c r="J75" s="452">
        <f>+DGA!H15/1000</f>
        <v>141286.48800000001</v>
      </c>
      <c r="K75" s="452">
        <f>+DGA!I15/1000</f>
        <v>133201.59299999999</v>
      </c>
      <c r="L75" s="452">
        <f>+DGA!J15/1000</f>
        <v>174054.54800000001</v>
      </c>
      <c r="M75" s="622">
        <f>+DGA!K15/1000</f>
        <v>117945.776</v>
      </c>
      <c r="N75" s="452">
        <f>+DGA!L15/1000</f>
        <v>199729.67499999999</v>
      </c>
      <c r="O75" s="452">
        <f>+DGA!M15/1000</f>
        <v>66115.675000000003</v>
      </c>
      <c r="P75" s="452">
        <f>+DGA!N15/1000</f>
        <v>83595.956999999995</v>
      </c>
      <c r="Q75" s="433">
        <f t="shared" si="2"/>
        <v>1876372.9890000001</v>
      </c>
      <c r="R75" s="452"/>
      <c r="U75" s="699">
        <v>0</v>
      </c>
      <c r="W75" s="481"/>
    </row>
    <row r="76" spans="1:23" ht="15.75" thickBot="1">
      <c r="A76" s="430"/>
      <c r="B76" s="426"/>
      <c r="C76" s="453" t="s">
        <v>1399</v>
      </c>
      <c r="D76" s="449" t="s">
        <v>878</v>
      </c>
      <c r="E76" s="452">
        <f>+(DGA!C16+DGA!C42)/1000</f>
        <v>676422.79700000002</v>
      </c>
      <c r="F76" s="452">
        <f>+(DGA!D16+DGA!D42)/1000</f>
        <v>956519.16</v>
      </c>
      <c r="G76" s="452">
        <f>+(DGA!E16+DGA!E42)/1000</f>
        <v>860768.04700000002</v>
      </c>
      <c r="H76" s="452">
        <f>+(DGA!F16+DGA!F42)/1000</f>
        <v>874119.82499999995</v>
      </c>
      <c r="I76" s="452">
        <f>+(DGA!G16+DGA!G42)/1000</f>
        <v>1008561.326</v>
      </c>
      <c r="J76" s="452">
        <f>+(DGA!H16+DGA!H42)/1000</f>
        <v>938412.92099999997</v>
      </c>
      <c r="K76" s="452">
        <f>+(DGA!I16+DGA!I42)/1000</f>
        <v>894861.77899999998</v>
      </c>
      <c r="L76" s="452">
        <f>+(DGA!J16+DGA!J42)/1000</f>
        <v>634765.402</v>
      </c>
      <c r="M76" s="622">
        <f>+(DGA!K16+DGA!K42)/1000</f>
        <v>718574.25199999998</v>
      </c>
      <c r="N76" s="452">
        <f>+(DGA!L16+DGA!L42)/1000</f>
        <v>948888.61100000003</v>
      </c>
      <c r="O76" s="452">
        <f>+(DGA!M16+DGA!M42)/1000</f>
        <v>670805.16299999994</v>
      </c>
      <c r="P76" s="452">
        <f>+(DGA!N16+DGA!N42)/1000</f>
        <v>876835.71600000001</v>
      </c>
      <c r="Q76" s="433">
        <f t="shared" si="2"/>
        <v>10059534.999000002</v>
      </c>
      <c r="R76" s="452"/>
      <c r="U76" s="699">
        <v>2525991</v>
      </c>
      <c r="W76" s="481"/>
    </row>
    <row r="77" spans="1:23" ht="15.75" thickBot="1">
      <c r="A77" s="430"/>
      <c r="B77" s="426"/>
      <c r="C77" s="450" t="s">
        <v>879</v>
      </c>
      <c r="D77" s="435" t="s">
        <v>880</v>
      </c>
      <c r="E77" s="444">
        <f>SUM(E78:E81)</f>
        <v>790025.10399999993</v>
      </c>
      <c r="F77" s="444">
        <f t="shared" ref="F77:P77" si="27">SUM(F78:F81)</f>
        <v>764287.478</v>
      </c>
      <c r="G77" s="444">
        <f t="shared" si="27"/>
        <v>830990.55900000001</v>
      </c>
      <c r="H77" s="444">
        <f t="shared" si="27"/>
        <v>884977.46600000001</v>
      </c>
      <c r="I77" s="444">
        <f t="shared" si="27"/>
        <v>753987.45899999992</v>
      </c>
      <c r="J77" s="444">
        <f t="shared" si="27"/>
        <v>969491.78099999996</v>
      </c>
      <c r="K77" s="444">
        <f t="shared" si="27"/>
        <v>1159795.321</v>
      </c>
      <c r="L77" s="444">
        <f t="shared" si="27"/>
        <v>953240.42499999993</v>
      </c>
      <c r="M77" s="444">
        <f t="shared" si="27"/>
        <v>900791.36600000004</v>
      </c>
      <c r="N77" s="444">
        <f t="shared" si="27"/>
        <v>978404.9439999999</v>
      </c>
      <c r="O77" s="444">
        <f t="shared" si="27"/>
        <v>934406.01299999992</v>
      </c>
      <c r="P77" s="444">
        <f t="shared" si="27"/>
        <v>809795.34100000013</v>
      </c>
      <c r="Q77" s="433">
        <f t="shared" ref="Q77:Q145" si="28">SUM(E77:P77)</f>
        <v>10730193.256999999</v>
      </c>
      <c r="R77" s="444"/>
      <c r="U77" s="699">
        <v>1901900</v>
      </c>
      <c r="W77" s="481"/>
    </row>
    <row r="78" spans="1:23" ht="15.75" thickBot="1">
      <c r="A78" s="430"/>
      <c r="B78" s="426"/>
      <c r="C78" s="434" t="s">
        <v>1400</v>
      </c>
      <c r="D78" s="449" t="s">
        <v>881</v>
      </c>
      <c r="E78" s="452">
        <f>+'DGCI '!C32</f>
        <v>0</v>
      </c>
      <c r="F78" s="452">
        <f>+'DGCI '!D32</f>
        <v>0</v>
      </c>
      <c r="G78" s="452">
        <f>+'DGCI '!E32</f>
        <v>0</v>
      </c>
      <c r="H78" s="452">
        <f>+'DGCI '!F32</f>
        <v>0</v>
      </c>
      <c r="I78" s="452">
        <f>+'DGCI '!G32</f>
        <v>0</v>
      </c>
      <c r="J78" s="452">
        <f>+'DGCI '!H32</f>
        <v>0</v>
      </c>
      <c r="K78" s="452">
        <f>+'DGCI '!J32</f>
        <v>0</v>
      </c>
      <c r="L78" s="452">
        <f>+'DGCI '!K32</f>
        <v>0</v>
      </c>
      <c r="M78" s="452">
        <f>+'DGCI '!L32</f>
        <v>0</v>
      </c>
      <c r="N78" s="452">
        <f>+'DGCI '!M32</f>
        <v>0</v>
      </c>
      <c r="O78" s="452">
        <f>+'DGCI '!N32</f>
        <v>0</v>
      </c>
      <c r="P78" s="452">
        <f>+'DGCI '!O32</f>
        <v>0</v>
      </c>
      <c r="Q78" s="433">
        <f t="shared" si="28"/>
        <v>0</v>
      </c>
      <c r="R78" s="452"/>
      <c r="U78" s="699">
        <f>SUM(I78:Q78)</f>
        <v>0</v>
      </c>
      <c r="W78" s="481"/>
    </row>
    <row r="79" spans="1:23" ht="15.75" thickBot="1">
      <c r="A79" s="430"/>
      <c r="B79" s="426"/>
      <c r="C79" s="450" t="s">
        <v>1401</v>
      </c>
      <c r="D79" s="449" t="s">
        <v>882</v>
      </c>
      <c r="E79" s="452">
        <f>+'DGCI '!C33</f>
        <v>0</v>
      </c>
      <c r="F79" s="452">
        <f>+'DGCI '!D33</f>
        <v>0</v>
      </c>
      <c r="G79" s="452">
        <f>+'DGCI '!E33</f>
        <v>0</v>
      </c>
      <c r="H79" s="452">
        <f>+'DGCI '!F33</f>
        <v>0</v>
      </c>
      <c r="I79" s="452">
        <f>+'DGCI '!G33</f>
        <v>0</v>
      </c>
      <c r="J79" s="452">
        <f>+'DGCI '!H33</f>
        <v>0</v>
      </c>
      <c r="K79" s="452">
        <f>+'DGCI '!J33</f>
        <v>715.41</v>
      </c>
      <c r="L79" s="452">
        <f>+'DGCI '!K33</f>
        <v>0</v>
      </c>
      <c r="M79" s="452">
        <f>+'DGCI '!L33</f>
        <v>0</v>
      </c>
      <c r="N79" s="452">
        <f>+'DGCI '!M33</f>
        <v>0</v>
      </c>
      <c r="O79" s="452">
        <f>+'DGCI '!N33</f>
        <v>480.75</v>
      </c>
      <c r="P79" s="452">
        <f>+'DGCI '!O33</f>
        <v>0</v>
      </c>
      <c r="Q79" s="433">
        <f t="shared" si="28"/>
        <v>1196.1599999999999</v>
      </c>
      <c r="R79" s="452"/>
      <c r="U79" s="699">
        <f>SUM(I79:Q79)</f>
        <v>2392.3199999999997</v>
      </c>
      <c r="W79" s="481"/>
    </row>
    <row r="80" spans="1:23" ht="15.75" thickBot="1">
      <c r="A80" s="430"/>
      <c r="B80" s="426"/>
      <c r="C80" s="450"/>
      <c r="D80" s="449" t="s">
        <v>575</v>
      </c>
      <c r="E80" s="452">
        <f>+'DGCI '!C34</f>
        <v>0</v>
      </c>
      <c r="F80" s="452">
        <f>+'DGCI '!D34</f>
        <v>0</v>
      </c>
      <c r="G80" s="452">
        <f>+'DGCI '!E34</f>
        <v>0</v>
      </c>
      <c r="H80" s="452">
        <f>+'DGCI '!F34</f>
        <v>0</v>
      </c>
      <c r="I80" s="452">
        <f>+'DGCI '!G34</f>
        <v>0</v>
      </c>
      <c r="J80" s="452">
        <f>+'DGCI '!H34</f>
        <v>0</v>
      </c>
      <c r="K80" s="452">
        <f>+'DGCI '!J34</f>
        <v>0</v>
      </c>
      <c r="L80" s="452">
        <f>+'DGCI '!K34</f>
        <v>0</v>
      </c>
      <c r="M80" s="452">
        <f>+'DGCI '!L34</f>
        <v>0</v>
      </c>
      <c r="N80" s="452">
        <f>+'DGCI '!M34</f>
        <v>0</v>
      </c>
      <c r="O80" s="452">
        <f>+'DGCI '!N34</f>
        <v>0</v>
      </c>
      <c r="P80" s="452">
        <f>+'DGCI '!O34</f>
        <v>0</v>
      </c>
      <c r="Q80" s="433">
        <f t="shared" si="28"/>
        <v>0</v>
      </c>
      <c r="R80" s="452"/>
      <c r="U80" s="699"/>
      <c r="W80" s="481"/>
    </row>
    <row r="81" spans="1:23" ht="15.75" thickBot="1">
      <c r="A81" s="430"/>
      <c r="B81" s="426"/>
      <c r="C81" s="450"/>
      <c r="D81" s="449" t="s">
        <v>3259</v>
      </c>
      <c r="E81" s="452">
        <f>+'DGCI '!C35</f>
        <v>790025.10399999993</v>
      </c>
      <c r="F81" s="452">
        <f>+'DGCI '!D35</f>
        <v>764287.478</v>
      </c>
      <c r="G81" s="452">
        <f>+'DGCI '!E35</f>
        <v>830990.55900000001</v>
      </c>
      <c r="H81" s="452">
        <f>+'DGCI '!F35</f>
        <v>884977.46600000001</v>
      </c>
      <c r="I81" s="452">
        <f>+'DGCI '!G35</f>
        <v>753987.45899999992</v>
      </c>
      <c r="J81" s="452">
        <f>+'DGCI '!H35</f>
        <v>969491.78099999996</v>
      </c>
      <c r="K81" s="452">
        <f>+'DGCI '!J35</f>
        <v>1159079.9110000001</v>
      </c>
      <c r="L81" s="452">
        <f>+'DGCI '!K35</f>
        <v>953240.42499999993</v>
      </c>
      <c r="M81" s="452">
        <f>+'DGCI '!L35</f>
        <v>900791.36600000004</v>
      </c>
      <c r="N81" s="452">
        <f>+'DGCI '!M35</f>
        <v>978404.9439999999</v>
      </c>
      <c r="O81" s="452">
        <f>+'DGCI '!N35</f>
        <v>933925.26299999992</v>
      </c>
      <c r="P81" s="452">
        <f>+'DGCI '!O35</f>
        <v>809795.34100000013</v>
      </c>
      <c r="Q81" s="433">
        <f t="shared" si="28"/>
        <v>10728997.096999999</v>
      </c>
      <c r="R81" s="452"/>
      <c r="U81" s="699"/>
      <c r="W81" s="481"/>
    </row>
    <row r="82" spans="1:23" ht="15.75" thickBot="1">
      <c r="A82" s="430"/>
      <c r="B82" s="426"/>
      <c r="C82" s="457" t="s">
        <v>1402</v>
      </c>
      <c r="D82" s="2061" t="s">
        <v>3073</v>
      </c>
      <c r="E82" s="458">
        <f>+E83+E84</f>
        <v>0</v>
      </c>
      <c r="F82" s="458">
        <f t="shared" ref="F82:J82" si="29">+F83+F84</f>
        <v>0</v>
      </c>
      <c r="G82" s="458">
        <f t="shared" si="29"/>
        <v>0</v>
      </c>
      <c r="H82" s="458">
        <f t="shared" si="29"/>
        <v>0</v>
      </c>
      <c r="I82" s="458">
        <f t="shared" si="29"/>
        <v>0</v>
      </c>
      <c r="J82" s="458">
        <f t="shared" si="29"/>
        <v>0</v>
      </c>
      <c r="K82" s="458">
        <f t="shared" ref="K82" si="30">+K83+K84</f>
        <v>0</v>
      </c>
      <c r="L82" s="458">
        <f t="shared" ref="L82" si="31">+L83+L84</f>
        <v>0</v>
      </c>
      <c r="M82" s="458">
        <f t="shared" ref="M82" si="32">+M83+M84</f>
        <v>0</v>
      </c>
      <c r="N82" s="458">
        <f t="shared" ref="N82" si="33">+N83+N84</f>
        <v>0</v>
      </c>
      <c r="O82" s="458">
        <f t="shared" ref="O82" si="34">+O83+O84</f>
        <v>0</v>
      </c>
      <c r="P82" s="458">
        <f t="shared" ref="P82" si="35">+P83+P84</f>
        <v>0</v>
      </c>
      <c r="Q82" s="433">
        <f t="shared" si="28"/>
        <v>0</v>
      </c>
      <c r="R82" s="458"/>
      <c r="U82" s="699">
        <v>0</v>
      </c>
      <c r="W82" s="481"/>
    </row>
    <row r="83" spans="1:23" ht="15.75" thickBot="1">
      <c r="A83" s="430"/>
      <c r="B83" s="426"/>
      <c r="C83" s="446"/>
      <c r="D83" s="2062" t="s">
        <v>3260</v>
      </c>
      <c r="E83" s="452">
        <f>'DGCI '!C37</f>
        <v>0</v>
      </c>
      <c r="F83" s="452">
        <f>'DGCI '!D37</f>
        <v>0</v>
      </c>
      <c r="G83" s="452">
        <f>'DGCI '!E37</f>
        <v>0</v>
      </c>
      <c r="H83" s="452">
        <f>'DGCI '!F37</f>
        <v>0</v>
      </c>
      <c r="I83" s="452">
        <f>'DGCI '!G37</f>
        <v>0</v>
      </c>
      <c r="J83" s="452">
        <f>'DGCI '!H37</f>
        <v>0</v>
      </c>
      <c r="K83" s="452">
        <f>'DGCI '!J37</f>
        <v>0</v>
      </c>
      <c r="L83" s="452">
        <f>'DGCI '!K37</f>
        <v>0</v>
      </c>
      <c r="M83" s="452">
        <f>'DGCI '!L37</f>
        <v>0</v>
      </c>
      <c r="N83" s="452">
        <f>'DGCI '!M37</f>
        <v>0</v>
      </c>
      <c r="O83" s="452">
        <f>'DGCI '!N37</f>
        <v>0</v>
      </c>
      <c r="P83" s="452">
        <f>'DGCI '!O37</f>
        <v>0</v>
      </c>
      <c r="Q83" s="433"/>
      <c r="R83" s="452"/>
      <c r="U83" s="699"/>
      <c r="W83" s="481"/>
    </row>
    <row r="84" spans="1:23" ht="15.75" thickBot="1">
      <c r="A84" s="430"/>
      <c r="B84" s="426"/>
      <c r="C84" s="446"/>
      <c r="D84" s="2062" t="s">
        <v>3261</v>
      </c>
      <c r="E84" s="452">
        <f>'DGCI '!C38</f>
        <v>0</v>
      </c>
      <c r="F84" s="452">
        <f>'DGCI '!D38</f>
        <v>0</v>
      </c>
      <c r="G84" s="452">
        <f>'DGCI '!E38</f>
        <v>0</v>
      </c>
      <c r="H84" s="452">
        <f>'DGCI '!F38</f>
        <v>0</v>
      </c>
      <c r="I84" s="452">
        <f>'DGCI '!G38</f>
        <v>0</v>
      </c>
      <c r="J84" s="452">
        <f>'DGCI '!H38</f>
        <v>0</v>
      </c>
      <c r="K84" s="452">
        <f>'DGCI '!J38</f>
        <v>0</v>
      </c>
      <c r="L84" s="452">
        <f>'DGCI '!K38</f>
        <v>0</v>
      </c>
      <c r="M84" s="452">
        <f>'DGCI '!L38</f>
        <v>0</v>
      </c>
      <c r="N84" s="452">
        <f>'DGCI '!M38</f>
        <v>0</v>
      </c>
      <c r="O84" s="452">
        <f>'DGCI '!N38</f>
        <v>0</v>
      </c>
      <c r="P84" s="452">
        <f>'DGCI '!O38</f>
        <v>0</v>
      </c>
      <c r="Q84" s="433"/>
      <c r="R84" s="452"/>
      <c r="U84" s="699"/>
      <c r="W84" s="481"/>
    </row>
    <row r="85" spans="1:23" ht="15.75" thickBot="1">
      <c r="A85" s="430"/>
      <c r="B85" s="426"/>
      <c r="C85" s="446" t="s">
        <v>1404</v>
      </c>
      <c r="D85" s="2061" t="s">
        <v>1655</v>
      </c>
      <c r="E85" s="452">
        <f>'DGCI '!C39</f>
        <v>0</v>
      </c>
      <c r="F85" s="452">
        <f>'DGCI '!D39</f>
        <v>0</v>
      </c>
      <c r="G85" s="452">
        <f>'DGCI '!E39</f>
        <v>0</v>
      </c>
      <c r="H85" s="452">
        <f>'DGCI '!F39</f>
        <v>0</v>
      </c>
      <c r="I85" s="452">
        <f>'DGCI '!G39</f>
        <v>0</v>
      </c>
      <c r="J85" s="452">
        <f>'DGCI '!H39</f>
        <v>0</v>
      </c>
      <c r="K85" s="452">
        <f>'DGCI '!J39</f>
        <v>0</v>
      </c>
      <c r="L85" s="452">
        <f>'DGCI '!K39</f>
        <v>0</v>
      </c>
      <c r="M85" s="452">
        <f>'DGCI '!L39</f>
        <v>0</v>
      </c>
      <c r="N85" s="452">
        <f>'DGCI '!M39</f>
        <v>0</v>
      </c>
      <c r="O85" s="452">
        <f>'DGCI '!N39</f>
        <v>0</v>
      </c>
      <c r="P85" s="452">
        <f>'DGCI '!O39</f>
        <v>0</v>
      </c>
      <c r="Q85" s="433">
        <f t="shared" si="28"/>
        <v>0</v>
      </c>
      <c r="R85" s="452"/>
      <c r="U85" s="699">
        <v>1901900</v>
      </c>
      <c r="W85" s="481"/>
    </row>
    <row r="86" spans="1:23" ht="15.75" thickBot="1">
      <c r="A86" s="430"/>
      <c r="B86" s="426"/>
      <c r="C86" s="450"/>
      <c r="D86" s="2061" t="s">
        <v>275</v>
      </c>
      <c r="E86" s="452">
        <f>'DGCI '!C40</f>
        <v>0</v>
      </c>
      <c r="F86" s="452">
        <f>'DGCI '!D40</f>
        <v>0</v>
      </c>
      <c r="G86" s="452">
        <f>'DGCI '!E40</f>
        <v>165.20500000000001</v>
      </c>
      <c r="H86" s="452">
        <f>'DGCI '!F40</f>
        <v>0</v>
      </c>
      <c r="I86" s="452">
        <f>'DGCI '!G40</f>
        <v>0</v>
      </c>
      <c r="J86" s="452">
        <f>'DGCI '!H40</f>
        <v>0</v>
      </c>
      <c r="K86" s="452">
        <f>'DGCI '!J40</f>
        <v>0</v>
      </c>
      <c r="L86" s="452">
        <f>'DGCI '!K40</f>
        <v>0</v>
      </c>
      <c r="M86" s="452">
        <f>'DGCI '!L40</f>
        <v>0</v>
      </c>
      <c r="N86" s="452">
        <f>'DGCI '!M40</f>
        <v>0</v>
      </c>
      <c r="O86" s="452">
        <f>'DGCI '!N40</f>
        <v>0</v>
      </c>
      <c r="P86" s="452">
        <f>'DGCI '!O40</f>
        <v>77.92</v>
      </c>
      <c r="Q86" s="433">
        <f t="shared" si="28"/>
        <v>243.125</v>
      </c>
      <c r="R86" s="444"/>
      <c r="U86" s="699">
        <f>SUM(I86:Q86)</f>
        <v>321.04500000000002</v>
      </c>
      <c r="W86" s="481"/>
    </row>
    <row r="87" spans="1:23" ht="13.5" thickBot="1">
      <c r="A87" s="426"/>
      <c r="B87" s="426"/>
      <c r="C87" s="440" t="s">
        <v>883</v>
      </c>
      <c r="D87" s="441" t="s">
        <v>281</v>
      </c>
      <c r="E87" s="451">
        <f t="shared" ref="E87:J87" si="36">E88+E100+E101</f>
        <v>65692.951000000001</v>
      </c>
      <c r="F87" s="451">
        <f t="shared" si="36"/>
        <v>288791.40899999999</v>
      </c>
      <c r="G87" s="451">
        <f t="shared" si="36"/>
        <v>73323.263000000006</v>
      </c>
      <c r="H87" s="451">
        <f t="shared" si="36"/>
        <v>89304.963999999993</v>
      </c>
      <c r="I87" s="451">
        <f t="shared" si="36"/>
        <v>84947.137999999992</v>
      </c>
      <c r="J87" s="451">
        <f t="shared" si="36"/>
        <v>295436.51499999996</v>
      </c>
      <c r="K87" s="451">
        <f t="shared" ref="K87:P87" si="37">K88+K100+K101</f>
        <v>104083.337</v>
      </c>
      <c r="L87" s="451">
        <f t="shared" si="37"/>
        <v>110140.84823999999</v>
      </c>
      <c r="M87" s="451">
        <f t="shared" si="37"/>
        <v>146556.158</v>
      </c>
      <c r="N87" s="451">
        <f t="shared" si="37"/>
        <v>133840.75699999998</v>
      </c>
      <c r="O87" s="451">
        <f t="shared" si="37"/>
        <v>130656.82399999999</v>
      </c>
      <c r="P87" s="451">
        <f t="shared" si="37"/>
        <v>135001.14899999998</v>
      </c>
      <c r="Q87" s="433">
        <f t="shared" si="28"/>
        <v>1657775.31324</v>
      </c>
      <c r="R87" s="451"/>
      <c r="U87" s="699">
        <v>450000</v>
      </c>
      <c r="W87" s="481"/>
    </row>
    <row r="88" spans="1:23" ht="13.5" thickBot="1">
      <c r="A88" s="445" t="s">
        <v>884</v>
      </c>
      <c r="B88" s="426"/>
      <c r="C88" s="434" t="s">
        <v>885</v>
      </c>
      <c r="D88" s="435" t="s">
        <v>886</v>
      </c>
      <c r="E88" s="444">
        <f>SUM(E89:E99)</f>
        <v>65692.951000000001</v>
      </c>
      <c r="F88" s="444">
        <f t="shared" ref="F88:M88" si="38">SUM(F89:F99)</f>
        <v>288791.40899999999</v>
      </c>
      <c r="G88" s="444">
        <f t="shared" si="38"/>
        <v>73323.263000000006</v>
      </c>
      <c r="H88" s="444">
        <f t="shared" si="38"/>
        <v>89304.963999999993</v>
      </c>
      <c r="I88" s="444">
        <f t="shared" si="38"/>
        <v>84947.137999999992</v>
      </c>
      <c r="J88" s="444">
        <f t="shared" si="38"/>
        <v>295436.51499999996</v>
      </c>
      <c r="K88" s="444">
        <f t="shared" si="38"/>
        <v>104083.337</v>
      </c>
      <c r="L88" s="444">
        <f t="shared" si="38"/>
        <v>110140.84823999999</v>
      </c>
      <c r="M88" s="444">
        <f t="shared" si="38"/>
        <v>146556.158</v>
      </c>
      <c r="N88" s="444">
        <f>SUM(N89:N99)</f>
        <v>133840.75699999998</v>
      </c>
      <c r="O88" s="444">
        <f>SUM(O89:O99)</f>
        <v>130656.82399999999</v>
      </c>
      <c r="P88" s="444">
        <f>SUM(P89:P99)</f>
        <v>135001.14899999998</v>
      </c>
      <c r="Q88" s="433">
        <f t="shared" si="28"/>
        <v>1657775.31324</v>
      </c>
      <c r="R88" s="444"/>
      <c r="U88" s="699">
        <v>450000</v>
      </c>
      <c r="W88" s="481"/>
    </row>
    <row r="89" spans="1:23" ht="15" thickBot="1">
      <c r="A89" s="445" t="s">
        <v>887</v>
      </c>
      <c r="B89" s="426" t="s">
        <v>884</v>
      </c>
      <c r="C89" s="446" t="s">
        <v>1405</v>
      </c>
      <c r="D89" s="449" t="s">
        <v>888</v>
      </c>
      <c r="E89" s="452">
        <f>+'DGCI '!C48</f>
        <v>4197.7610000000004</v>
      </c>
      <c r="F89" s="452">
        <f>+'DGCI '!D48</f>
        <v>8907.5380000000005</v>
      </c>
      <c r="G89" s="452">
        <f>+'DGCI '!E48</f>
        <v>6423.8969999999999</v>
      </c>
      <c r="H89" s="452">
        <f>+'DGCI '!F48</f>
        <v>7680.4040000000005</v>
      </c>
      <c r="I89" s="452">
        <f>+'DGCI '!G48</f>
        <v>581</v>
      </c>
      <c r="J89" s="452">
        <f>+'DGCI '!H48</f>
        <v>6859.0730000000003</v>
      </c>
      <c r="K89" s="452">
        <f>+'DGCI '!J48</f>
        <v>9318.7109999999993</v>
      </c>
      <c r="L89" s="452">
        <f>+'DGCI '!K48</f>
        <v>8937.23</v>
      </c>
      <c r="M89" s="622">
        <f>+'DGCI '!L48</f>
        <v>11786.793</v>
      </c>
      <c r="N89" s="452">
        <f>+'DGCI '!M48</f>
        <v>11358.724</v>
      </c>
      <c r="O89" s="452">
        <f>+'DGCI '!N48</f>
        <v>6233.9259999999995</v>
      </c>
      <c r="P89" s="452">
        <f>+'DGCI '!O48</f>
        <v>5724.277</v>
      </c>
      <c r="Q89" s="433">
        <f t="shared" si="28"/>
        <v>88009.333999999973</v>
      </c>
      <c r="R89" s="452"/>
      <c r="U89" s="699">
        <v>79518</v>
      </c>
      <c r="W89" s="481"/>
    </row>
    <row r="90" spans="1:23" ht="15" thickBot="1">
      <c r="A90" s="445" t="s">
        <v>889</v>
      </c>
      <c r="B90" s="426" t="s">
        <v>887</v>
      </c>
      <c r="C90" s="446" t="s">
        <v>1406</v>
      </c>
      <c r="D90" s="449" t="s">
        <v>890</v>
      </c>
      <c r="E90" s="452">
        <f>+'DGCI '!C49</f>
        <v>3497</v>
      </c>
      <c r="F90" s="452">
        <f>+'DGCI '!D49</f>
        <v>2210</v>
      </c>
      <c r="G90" s="452">
        <f>+'DGCI '!E49</f>
        <v>3744</v>
      </c>
      <c r="H90" s="452">
        <f>+'DGCI '!F49</f>
        <v>12694.184999999999</v>
      </c>
      <c r="I90" s="452">
        <f>+'DGCI '!G49</f>
        <v>2519.5</v>
      </c>
      <c r="J90" s="452">
        <f>+'DGCI '!H49</f>
        <v>5269</v>
      </c>
      <c r="K90" s="452">
        <f>+'DGCI '!J49</f>
        <v>10009</v>
      </c>
      <c r="L90" s="452">
        <f>+'DGCI '!K49</f>
        <v>19271</v>
      </c>
      <c r="M90" s="622">
        <f>+'DGCI '!L49</f>
        <v>12830</v>
      </c>
      <c r="N90" s="452">
        <f>+'DGCI '!M49</f>
        <v>8592.5</v>
      </c>
      <c r="O90" s="452">
        <f>+'DGCI '!N49</f>
        <v>6085</v>
      </c>
      <c r="P90" s="452">
        <f>+'DGCI '!O49</f>
        <v>23788.666000000001</v>
      </c>
      <c r="Q90" s="433">
        <f t="shared" si="28"/>
        <v>110509.851</v>
      </c>
      <c r="R90" s="452"/>
      <c r="U90" s="699">
        <v>5102</v>
      </c>
      <c r="W90" s="481"/>
    </row>
    <row r="91" spans="1:23" ht="15" thickBot="1">
      <c r="A91" s="445" t="s">
        <v>891</v>
      </c>
      <c r="B91" s="426" t="s">
        <v>889</v>
      </c>
      <c r="C91" s="446" t="s">
        <v>1407</v>
      </c>
      <c r="D91" s="449" t="s">
        <v>892</v>
      </c>
      <c r="E91" s="452">
        <f>+'DGCI '!C50</f>
        <v>4184</v>
      </c>
      <c r="F91" s="452">
        <f>+'DGCI '!D50</f>
        <v>5196</v>
      </c>
      <c r="G91" s="452">
        <f>+'DGCI '!E50</f>
        <v>5077</v>
      </c>
      <c r="H91" s="452">
        <f>+'DGCI '!F50</f>
        <v>8239</v>
      </c>
      <c r="I91" s="452">
        <f>+'DGCI '!G50</f>
        <v>1582</v>
      </c>
      <c r="J91" s="452">
        <f>+'DGCI '!H50</f>
        <v>5532.5</v>
      </c>
      <c r="K91" s="452">
        <f>+'DGCI '!J50</f>
        <v>12996.5</v>
      </c>
      <c r="L91" s="452">
        <f>+'DGCI '!K50</f>
        <v>10409.5</v>
      </c>
      <c r="M91" s="622">
        <f>+'DGCI '!L50</f>
        <v>17167</v>
      </c>
      <c r="N91" s="452">
        <f>+'DGCI '!M50</f>
        <v>11799.45</v>
      </c>
      <c r="O91" s="452">
        <f>+'DGCI '!N50</f>
        <v>3529.5</v>
      </c>
      <c r="P91" s="452">
        <f>+'DGCI '!O50</f>
        <v>3432</v>
      </c>
      <c r="Q91" s="433">
        <f t="shared" si="28"/>
        <v>89144.45</v>
      </c>
      <c r="R91" s="452"/>
      <c r="U91" s="699">
        <v>6378</v>
      </c>
      <c r="W91" s="481"/>
    </row>
    <row r="92" spans="1:23" ht="15" thickBot="1">
      <c r="A92" s="445" t="s">
        <v>893</v>
      </c>
      <c r="B92" s="426" t="s">
        <v>891</v>
      </c>
      <c r="C92" s="450" t="s">
        <v>1408</v>
      </c>
      <c r="D92" s="449" t="s">
        <v>897</v>
      </c>
      <c r="E92" s="452">
        <f>+'DGCI '!C51</f>
        <v>0</v>
      </c>
      <c r="F92" s="452">
        <f>+'DGCI '!D51</f>
        <v>0</v>
      </c>
      <c r="G92" s="452">
        <f>+'DGCI '!E51</f>
        <v>0</v>
      </c>
      <c r="H92" s="452">
        <f>+'DGCI '!F51</f>
        <v>0</v>
      </c>
      <c r="I92" s="452">
        <f>+'DGCI '!G51</f>
        <v>0</v>
      </c>
      <c r="J92" s="452">
        <f>+'DGCI '!H51</f>
        <v>0</v>
      </c>
      <c r="K92" s="452">
        <f>+'DGCI '!J51</f>
        <v>0</v>
      </c>
      <c r="L92" s="452">
        <f>+'DGCI '!K51</f>
        <v>0</v>
      </c>
      <c r="M92" s="622">
        <f>+'DGCI '!L51</f>
        <v>0</v>
      </c>
      <c r="N92" s="452">
        <f>+'DGCI '!M51</f>
        <v>250</v>
      </c>
      <c r="O92" s="452">
        <f>+'DGCI '!N51</f>
        <v>0</v>
      </c>
      <c r="P92" s="452">
        <f>+'DGCI '!O51</f>
        <v>0</v>
      </c>
      <c r="Q92" s="433">
        <f t="shared" si="28"/>
        <v>250</v>
      </c>
      <c r="R92" s="452"/>
      <c r="U92" s="699">
        <f>SUM(I92:Q92)</f>
        <v>500</v>
      </c>
      <c r="W92" s="481"/>
    </row>
    <row r="93" spans="1:23" ht="15" thickBot="1">
      <c r="A93" s="445" t="s">
        <v>898</v>
      </c>
      <c r="B93" s="426" t="s">
        <v>893</v>
      </c>
      <c r="C93" s="446" t="s">
        <v>1409</v>
      </c>
      <c r="D93" s="449" t="s">
        <v>899</v>
      </c>
      <c r="E93" s="452">
        <f>+'DGCI '!C52</f>
        <v>35324.822</v>
      </c>
      <c r="F93" s="452">
        <f>+'DGCI '!D52</f>
        <v>243720.984</v>
      </c>
      <c r="G93" s="452">
        <f>+'DGCI '!E52</f>
        <v>23504.639000000003</v>
      </c>
      <c r="H93" s="452">
        <f>+'DGCI '!F52</f>
        <v>16564.047999999999</v>
      </c>
      <c r="I93" s="452">
        <f>+'DGCI '!G52</f>
        <v>58632.567999999992</v>
      </c>
      <c r="J93" s="452">
        <f>+'DGCI '!H52</f>
        <v>244777.50299999997</v>
      </c>
      <c r="K93" s="452">
        <f>+'DGCI '!J52</f>
        <v>38585.161999999997</v>
      </c>
      <c r="L93" s="452">
        <f>+'DGCI '!K52</f>
        <v>27024.537240000001</v>
      </c>
      <c r="M93" s="622">
        <f>+'DGCI '!L52</f>
        <v>86828.707999999984</v>
      </c>
      <c r="N93" s="452">
        <f>+'DGCI '!M52</f>
        <v>61188.309000000008</v>
      </c>
      <c r="O93" s="452">
        <f>+'DGCI '!N52</f>
        <v>100198.59999999998</v>
      </c>
      <c r="P93" s="452">
        <f>+'DGCI '!O52</f>
        <v>91241.536999999982</v>
      </c>
      <c r="Q93" s="433">
        <f t="shared" si="28"/>
        <v>1027591.41724</v>
      </c>
      <c r="R93" s="452"/>
      <c r="U93" s="699">
        <v>233983</v>
      </c>
      <c r="W93" s="481"/>
    </row>
    <row r="94" spans="1:23" ht="15" thickBot="1">
      <c r="A94" s="445" t="s">
        <v>900</v>
      </c>
      <c r="B94" s="426" t="s">
        <v>898</v>
      </c>
      <c r="C94" s="446" t="s">
        <v>1410</v>
      </c>
      <c r="D94" s="449" t="s">
        <v>901</v>
      </c>
      <c r="E94" s="452">
        <f>+'DGCI '!C53</f>
        <v>0</v>
      </c>
      <c r="F94" s="452">
        <f>+'DGCI '!D53</f>
        <v>657.65</v>
      </c>
      <c r="G94" s="452">
        <f>+'DGCI '!E53</f>
        <v>0</v>
      </c>
      <c r="H94" s="452">
        <f>+'DGCI '!F53</f>
        <v>0</v>
      </c>
      <c r="I94" s="452">
        <f>+'DGCI '!G53</f>
        <v>0</v>
      </c>
      <c r="J94" s="452">
        <f>+'DGCI '!H53</f>
        <v>0</v>
      </c>
      <c r="K94" s="452">
        <f>+'DGCI '!J53</f>
        <v>0</v>
      </c>
      <c r="L94" s="452">
        <f>+'DGCI '!K53</f>
        <v>0</v>
      </c>
      <c r="M94" s="622">
        <f>+'DGCI '!L53</f>
        <v>0</v>
      </c>
      <c r="N94" s="452">
        <f>+'DGCI '!M53</f>
        <v>8.1310000000000002</v>
      </c>
      <c r="O94" s="452">
        <f>+'DGCI '!N53</f>
        <v>4149.4059999999999</v>
      </c>
      <c r="P94" s="452">
        <f>+'DGCI '!O53</f>
        <v>0</v>
      </c>
      <c r="Q94" s="433">
        <f t="shared" si="28"/>
        <v>4815.1869999999999</v>
      </c>
      <c r="R94" s="452"/>
      <c r="U94" s="699">
        <v>0</v>
      </c>
      <c r="W94" s="481"/>
    </row>
    <row r="95" spans="1:23" ht="15" thickBot="1">
      <c r="A95" s="445" t="s">
        <v>902</v>
      </c>
      <c r="B95" s="426" t="s">
        <v>900</v>
      </c>
      <c r="C95" s="446" t="s">
        <v>1411</v>
      </c>
      <c r="D95" s="449" t="s">
        <v>903</v>
      </c>
      <c r="E95" s="452">
        <f>+'DGCI '!C54</f>
        <v>5978.8559999999998</v>
      </c>
      <c r="F95" s="452">
        <f>+'DGCI '!D54</f>
        <v>5885.3590000000004</v>
      </c>
      <c r="G95" s="452">
        <f>+'DGCI '!E54</f>
        <v>18133.923999999999</v>
      </c>
      <c r="H95" s="452">
        <f>+'DGCI '!F54</f>
        <v>21216.547999999999</v>
      </c>
      <c r="I95" s="452">
        <f>+'DGCI '!G54</f>
        <v>0</v>
      </c>
      <c r="J95" s="452">
        <f>+'DGCI '!H54</f>
        <v>19432.7</v>
      </c>
      <c r="K95" s="452">
        <f>+'DGCI '!J54</f>
        <v>19218.488000000001</v>
      </c>
      <c r="L95" s="452">
        <f>+'DGCI '!K54</f>
        <v>23431.727999999999</v>
      </c>
      <c r="M95" s="622">
        <f>+'DGCI '!L54</f>
        <v>0</v>
      </c>
      <c r="N95" s="452">
        <f>+'DGCI '!M54</f>
        <v>0</v>
      </c>
      <c r="O95" s="452">
        <f>+'DGCI '!N54</f>
        <v>20.395</v>
      </c>
      <c r="P95" s="452">
        <f>+'DGCI '!O54</f>
        <v>0</v>
      </c>
      <c r="Q95" s="433">
        <f t="shared" si="28"/>
        <v>113317.99800000001</v>
      </c>
      <c r="R95" s="452"/>
      <c r="U95" s="699">
        <v>0</v>
      </c>
      <c r="W95" s="481"/>
    </row>
    <row r="96" spans="1:23" ht="15" thickBot="1">
      <c r="A96" s="445" t="s">
        <v>904</v>
      </c>
      <c r="B96" s="426" t="s">
        <v>902</v>
      </c>
      <c r="C96" s="446" t="s">
        <v>1412</v>
      </c>
      <c r="D96" s="449" t="s">
        <v>905</v>
      </c>
      <c r="E96" s="452">
        <f>+'DGCI '!C55</f>
        <v>0</v>
      </c>
      <c r="F96" s="452">
        <f>+'DGCI '!D55</f>
        <v>0</v>
      </c>
      <c r="G96" s="452">
        <f>+'DGCI '!E55</f>
        <v>0</v>
      </c>
      <c r="H96" s="452">
        <f>+'DGCI '!F55</f>
        <v>0</v>
      </c>
      <c r="I96" s="452">
        <f>+'DGCI '!G55</f>
        <v>0</v>
      </c>
      <c r="J96" s="452">
        <f>+'DGCI '!H55</f>
        <v>0</v>
      </c>
      <c r="K96" s="452">
        <f>+'DGCI '!J55</f>
        <v>0</v>
      </c>
      <c r="L96" s="452">
        <f>+'DGCI '!K55</f>
        <v>0</v>
      </c>
      <c r="M96" s="622">
        <f>+'DGCI '!L55</f>
        <v>0</v>
      </c>
      <c r="N96" s="452">
        <f>+'DGCI '!M55</f>
        <v>0</v>
      </c>
      <c r="O96" s="452">
        <f>+'DGCI '!N55</f>
        <v>0</v>
      </c>
      <c r="P96" s="452">
        <f>+'DGCI '!O55</f>
        <v>0</v>
      </c>
      <c r="Q96" s="433">
        <f t="shared" si="28"/>
        <v>0</v>
      </c>
      <c r="R96" s="452"/>
      <c r="U96" s="699">
        <f>SUM(I96:Q96)</f>
        <v>0</v>
      </c>
      <c r="W96" s="481"/>
    </row>
    <row r="97" spans="1:23" ht="15" thickBot="1">
      <c r="A97" s="445" t="s">
        <v>906</v>
      </c>
      <c r="B97" s="426" t="s">
        <v>904</v>
      </c>
      <c r="C97" s="446" t="s">
        <v>1413</v>
      </c>
      <c r="D97" s="449" t="s">
        <v>907</v>
      </c>
      <c r="E97" s="452">
        <f>+'DGCI '!C56</f>
        <v>4197.7610000000004</v>
      </c>
      <c r="F97" s="452">
        <f>+'DGCI '!D56</f>
        <v>8899.5709999999999</v>
      </c>
      <c r="G97" s="452">
        <f>+'DGCI '!E56</f>
        <v>5317.2510000000002</v>
      </c>
      <c r="H97" s="452">
        <f>+'DGCI '!F56</f>
        <v>7599.4040000000005</v>
      </c>
      <c r="I97" s="452">
        <f>+'DGCI '!G56</f>
        <v>4169.5820000000003</v>
      </c>
      <c r="J97" s="452">
        <f>+'DGCI '!H56</f>
        <v>6595.0969999999998</v>
      </c>
      <c r="K97" s="452">
        <f>+'DGCI '!J56</f>
        <v>9304.1490000000013</v>
      </c>
      <c r="L97" s="452">
        <f>+'DGCI '!K56</f>
        <v>13465.196</v>
      </c>
      <c r="M97" s="622">
        <f>+'DGCI '!L56</f>
        <v>12442.093000000001</v>
      </c>
      <c r="N97" s="452">
        <f>+'DGCI '!M56</f>
        <v>30350.23</v>
      </c>
      <c r="O97" s="452">
        <f>+'DGCI '!N56</f>
        <v>5835.326</v>
      </c>
      <c r="P97" s="452">
        <f>+'DGCI '!O56</f>
        <v>5624.1319999999996</v>
      </c>
      <c r="Q97" s="433">
        <f t="shared" si="28"/>
        <v>113799.79199999999</v>
      </c>
      <c r="R97" s="452"/>
      <c r="U97" s="699">
        <v>125018</v>
      </c>
      <c r="W97" s="481"/>
    </row>
    <row r="98" spans="1:23" ht="13.5" thickBot="1">
      <c r="A98" s="445" t="s">
        <v>908</v>
      </c>
      <c r="B98" s="426" t="s">
        <v>906</v>
      </c>
      <c r="C98" s="450" t="s">
        <v>1414</v>
      </c>
      <c r="D98" s="449" t="s">
        <v>909</v>
      </c>
      <c r="E98" s="452"/>
      <c r="F98" s="452"/>
      <c r="G98" s="452"/>
      <c r="H98" s="452"/>
      <c r="I98" s="452"/>
      <c r="J98" s="452"/>
      <c r="K98" s="452"/>
      <c r="L98" s="452"/>
      <c r="M98" s="452"/>
      <c r="N98" s="452"/>
      <c r="O98" s="452"/>
      <c r="P98" s="452"/>
      <c r="Q98" s="433">
        <f t="shared" si="28"/>
        <v>0</v>
      </c>
      <c r="R98" s="452"/>
      <c r="U98" s="699">
        <f>SUM(I98:Q98)</f>
        <v>0</v>
      </c>
      <c r="W98" s="481"/>
    </row>
    <row r="99" spans="1:23" ht="13.5" thickBot="1">
      <c r="A99" s="426"/>
      <c r="B99" s="426" t="s">
        <v>908</v>
      </c>
      <c r="C99" s="450" t="s">
        <v>1415</v>
      </c>
      <c r="D99" s="449" t="s">
        <v>910</v>
      </c>
      <c r="E99" s="452">
        <f>+'DGCI '!C57</f>
        <v>8312.7510000000002</v>
      </c>
      <c r="F99" s="452">
        <f>+'DGCI '!D57</f>
        <v>13314.307000000001</v>
      </c>
      <c r="G99" s="452">
        <f>+'DGCI '!E57</f>
        <v>11122.551999999998</v>
      </c>
      <c r="H99" s="452">
        <f>+'DGCI '!F57</f>
        <v>15311.375</v>
      </c>
      <c r="I99" s="452">
        <f>+'DGCI '!G57</f>
        <v>17462.488000000001</v>
      </c>
      <c r="J99" s="452">
        <f>+'DGCI '!H57</f>
        <v>6970.6419999999998</v>
      </c>
      <c r="K99" s="452">
        <f>+'DGCI '!J57</f>
        <v>4651.3269999999993</v>
      </c>
      <c r="L99" s="452">
        <f>+'DGCI '!K57</f>
        <v>7601.6569999999992</v>
      </c>
      <c r="M99" s="452">
        <f>+'DGCI '!L57</f>
        <v>5501.5640000000003</v>
      </c>
      <c r="N99" s="452">
        <f>+'DGCI '!M57</f>
        <v>10293.412999999999</v>
      </c>
      <c r="O99" s="452">
        <f>+'DGCI '!N57</f>
        <v>4604.6710000000003</v>
      </c>
      <c r="P99" s="452">
        <f>+'DGCI '!O57</f>
        <v>5190.5369999999994</v>
      </c>
      <c r="Q99" s="433">
        <f t="shared" si="28"/>
        <v>110337.28399999999</v>
      </c>
      <c r="R99" s="452"/>
      <c r="U99" s="699">
        <v>0</v>
      </c>
      <c r="W99" s="481"/>
    </row>
    <row r="100" spans="1:23" ht="13.5" thickBot="1">
      <c r="A100" s="426"/>
      <c r="B100" s="426"/>
      <c r="C100" s="459" t="s">
        <v>911</v>
      </c>
      <c r="D100" s="460" t="s">
        <v>282</v>
      </c>
      <c r="E100" s="461"/>
      <c r="F100" s="461"/>
      <c r="G100" s="461"/>
      <c r="H100" s="461"/>
      <c r="I100" s="461"/>
      <c r="J100" s="461"/>
      <c r="K100" s="461"/>
      <c r="L100" s="461"/>
      <c r="M100" s="461"/>
      <c r="N100" s="461"/>
      <c r="O100" s="461"/>
      <c r="P100" s="461"/>
      <c r="Q100" s="433">
        <f t="shared" si="28"/>
        <v>0</v>
      </c>
      <c r="R100" s="461"/>
      <c r="U100" s="699">
        <f>SUM(I100:Q100)</f>
        <v>0</v>
      </c>
      <c r="W100" s="481"/>
    </row>
    <row r="101" spans="1:23" ht="13.5" thickBot="1">
      <c r="A101" s="445"/>
      <c r="B101" s="426"/>
      <c r="C101" s="434" t="s">
        <v>912</v>
      </c>
      <c r="D101" s="435" t="s">
        <v>275</v>
      </c>
      <c r="E101" s="444">
        <f>SUM(E102:E103)</f>
        <v>0</v>
      </c>
      <c r="F101" s="444">
        <f t="shared" ref="F101:N101" si="39">SUM(F102:F103)</f>
        <v>0</v>
      </c>
      <c r="G101" s="444">
        <f t="shared" si="39"/>
        <v>0</v>
      </c>
      <c r="H101" s="444">
        <f t="shared" si="39"/>
        <v>0</v>
      </c>
      <c r="I101" s="444">
        <f t="shared" si="39"/>
        <v>0</v>
      </c>
      <c r="J101" s="444">
        <f t="shared" si="39"/>
        <v>0</v>
      </c>
      <c r="K101" s="444">
        <f t="shared" si="39"/>
        <v>0</v>
      </c>
      <c r="L101" s="444">
        <f t="shared" si="39"/>
        <v>0</v>
      </c>
      <c r="M101" s="444">
        <f t="shared" si="39"/>
        <v>0</v>
      </c>
      <c r="N101" s="444">
        <f t="shared" si="39"/>
        <v>0</v>
      </c>
      <c r="O101" s="444">
        <f>SUM(O102:O103)</f>
        <v>0</v>
      </c>
      <c r="P101" s="444">
        <f>SUM(P102:P103)</f>
        <v>0</v>
      </c>
      <c r="Q101" s="433">
        <f t="shared" si="28"/>
        <v>0</v>
      </c>
      <c r="R101" s="444"/>
      <c r="U101" s="699">
        <f>SUM(I101:Q101)</f>
        <v>0</v>
      </c>
      <c r="W101" s="481"/>
    </row>
    <row r="102" spans="1:23" ht="13.5" thickBot="1">
      <c r="A102" s="445"/>
      <c r="B102" s="426"/>
      <c r="C102" s="446" t="s">
        <v>1416</v>
      </c>
      <c r="D102" s="449" t="s">
        <v>913</v>
      </c>
      <c r="E102" s="452"/>
      <c r="F102" s="452"/>
      <c r="G102" s="452"/>
      <c r="H102" s="452"/>
      <c r="I102" s="452"/>
      <c r="J102" s="452"/>
      <c r="K102" s="452"/>
      <c r="L102" s="452"/>
      <c r="M102" s="452"/>
      <c r="N102" s="452"/>
      <c r="O102" s="452"/>
      <c r="P102" s="452"/>
      <c r="Q102" s="433">
        <f t="shared" si="28"/>
        <v>0</v>
      </c>
      <c r="R102" s="452"/>
      <c r="U102" s="699">
        <f>SUM(I102:Q102)</f>
        <v>0</v>
      </c>
      <c r="W102" s="481"/>
    </row>
    <row r="103" spans="1:23" ht="13.5" thickBot="1">
      <c r="A103" s="426"/>
      <c r="B103" s="426"/>
      <c r="C103" s="446" t="s">
        <v>1417</v>
      </c>
      <c r="D103" s="449" t="s">
        <v>914</v>
      </c>
      <c r="E103" s="452"/>
      <c r="F103" s="452"/>
      <c r="G103" s="452"/>
      <c r="H103" s="452"/>
      <c r="I103" s="452"/>
      <c r="J103" s="452"/>
      <c r="K103" s="452"/>
      <c r="L103" s="452"/>
      <c r="M103" s="452"/>
      <c r="N103" s="452"/>
      <c r="O103" s="452"/>
      <c r="P103" s="452"/>
      <c r="Q103" s="433">
        <f t="shared" si="28"/>
        <v>0</v>
      </c>
      <c r="R103" s="452"/>
      <c r="U103" s="699">
        <f>SUM(I103:Q103)</f>
        <v>0</v>
      </c>
      <c r="W103" s="481"/>
    </row>
    <row r="104" spans="1:23" ht="13.5" customHeight="1" thickBot="1">
      <c r="A104" s="426"/>
      <c r="B104" s="426"/>
      <c r="C104" s="431" t="s">
        <v>283</v>
      </c>
      <c r="D104" s="462" t="s">
        <v>915</v>
      </c>
      <c r="E104" s="463">
        <f t="shared" ref="E104:N104" si="40">E105+E164+E200+E241+E296+E307+E324</f>
        <v>887384.79400000023</v>
      </c>
      <c r="F104" s="463">
        <f>F105+F164+F200+F241+F296+F307+F324</f>
        <v>764726.9040000001</v>
      </c>
      <c r="G104" s="463">
        <f t="shared" si="40"/>
        <v>6069792.5599999996</v>
      </c>
      <c r="H104" s="463">
        <f t="shared" si="40"/>
        <v>540812.50200000009</v>
      </c>
      <c r="I104" s="463">
        <f>I105+I164+I200+I241+I296+I307+I324</f>
        <v>906597.27399999998</v>
      </c>
      <c r="J104" s="463">
        <f>J105+J164+J200+J241+J296+J307+J324</f>
        <v>1541425.8230000001</v>
      </c>
      <c r="K104" s="463">
        <f t="shared" si="40"/>
        <v>1616550.1090000002</v>
      </c>
      <c r="L104" s="463">
        <f t="shared" si="40"/>
        <v>824271.31200000015</v>
      </c>
      <c r="M104" s="463">
        <f t="shared" si="40"/>
        <v>712703.60900000005</v>
      </c>
      <c r="N104" s="463">
        <f t="shared" si="40"/>
        <v>8093930.0870000003</v>
      </c>
      <c r="O104" s="463">
        <f>O105+O164+O200+O241+O296+O307+O324</f>
        <v>2205274.483</v>
      </c>
      <c r="P104" s="463">
        <f>+P105+P164+P200+P241+P296+P307+P324</f>
        <v>2316573.983</v>
      </c>
      <c r="Q104" s="433">
        <f t="shared" si="28"/>
        <v>26480043.440000001</v>
      </c>
      <c r="R104" s="463"/>
      <c r="U104" s="699">
        <f>+(U105+U164+U200+U241+U296+U307+U324)</f>
        <v>16979439</v>
      </c>
      <c r="W104" s="481"/>
    </row>
    <row r="105" spans="1:23" ht="13.5" thickBot="1">
      <c r="A105" s="426"/>
      <c r="B105" s="426"/>
      <c r="C105" s="437" t="s">
        <v>382</v>
      </c>
      <c r="D105" s="438" t="s">
        <v>916</v>
      </c>
      <c r="E105" s="439">
        <f t="shared" ref="E105:J105" si="41">+E106+E155</f>
        <v>614078.45600000024</v>
      </c>
      <c r="F105" s="439">
        <f t="shared" si="41"/>
        <v>288901.59900000005</v>
      </c>
      <c r="G105" s="439">
        <f t="shared" si="41"/>
        <v>121622.715</v>
      </c>
      <c r="H105" s="439">
        <f t="shared" si="41"/>
        <v>214670.75700000001</v>
      </c>
      <c r="I105" s="439">
        <f t="shared" si="41"/>
        <v>433196.45699999999</v>
      </c>
      <c r="J105" s="439">
        <f t="shared" si="41"/>
        <v>764263.96000000008</v>
      </c>
      <c r="K105" s="439">
        <f t="shared" ref="K105:O105" si="42">+K106+K155</f>
        <v>897054.06</v>
      </c>
      <c r="L105" s="439">
        <f t="shared" si="42"/>
        <v>354020.78400000004</v>
      </c>
      <c r="M105" s="439">
        <f t="shared" si="42"/>
        <v>354333.66800000006</v>
      </c>
      <c r="N105" s="439">
        <f t="shared" si="42"/>
        <v>147993.98499999999</v>
      </c>
      <c r="O105" s="439">
        <f t="shared" si="42"/>
        <v>653962.81999999983</v>
      </c>
      <c r="P105" s="439">
        <f>+P106+P155</f>
        <v>1964245.9920000001</v>
      </c>
      <c r="Q105" s="433">
        <f t="shared" si="28"/>
        <v>6808345.2530000005</v>
      </c>
      <c r="R105" s="439"/>
      <c r="S105" s="481">
        <f>+P105-P106</f>
        <v>5720.4199999999255</v>
      </c>
      <c r="U105" s="699">
        <v>3979235</v>
      </c>
      <c r="W105" s="481"/>
    </row>
    <row r="106" spans="1:23" ht="13.5" thickBot="1">
      <c r="A106" s="426" t="s">
        <v>917</v>
      </c>
      <c r="B106" s="426"/>
      <c r="C106" s="440" t="s">
        <v>918</v>
      </c>
      <c r="D106" s="441" t="s">
        <v>284</v>
      </c>
      <c r="E106" s="451">
        <f t="shared" ref="E106:J106" si="43">+E107+E111+E113+E112+E114+E115+E116+E117+E118+E119+E120+E121+E122+E123+E126</f>
        <v>610415.11900000018</v>
      </c>
      <c r="F106" s="451">
        <f t="shared" si="43"/>
        <v>211834.14800000002</v>
      </c>
      <c r="G106" s="451">
        <f t="shared" si="43"/>
        <v>120138.715</v>
      </c>
      <c r="H106" s="451">
        <f t="shared" si="43"/>
        <v>207202.55100000001</v>
      </c>
      <c r="I106" s="451">
        <f t="shared" si="43"/>
        <v>240890.81599999999</v>
      </c>
      <c r="J106" s="451">
        <f t="shared" si="43"/>
        <v>631991.21000000008</v>
      </c>
      <c r="K106" s="451">
        <f t="shared" ref="K106:P106" si="44">+K107+K111+K113+K112+K114+K115+K116+K117+K118+K119+K120+K121+K122+K123+K126</f>
        <v>888979.59000000008</v>
      </c>
      <c r="L106" s="451">
        <f t="shared" si="44"/>
        <v>228082.74300000005</v>
      </c>
      <c r="M106" s="451">
        <f t="shared" si="44"/>
        <v>351491.79000000004</v>
      </c>
      <c r="N106" s="451">
        <f t="shared" si="44"/>
        <v>141813.136</v>
      </c>
      <c r="O106" s="451">
        <f t="shared" si="44"/>
        <v>651325.66899999988</v>
      </c>
      <c r="P106" s="451">
        <f t="shared" si="44"/>
        <v>1958525.5720000002</v>
      </c>
      <c r="Q106" s="433">
        <f t="shared" si="28"/>
        <v>6242691.0590000004</v>
      </c>
      <c r="R106" s="451"/>
      <c r="U106" s="699">
        <v>2872235</v>
      </c>
      <c r="W106" s="481"/>
    </row>
    <row r="107" spans="1:23" ht="13.5" thickBot="1">
      <c r="A107" s="426" t="s">
        <v>919</v>
      </c>
      <c r="B107" s="426" t="s">
        <v>917</v>
      </c>
      <c r="C107" s="434" t="s">
        <v>920</v>
      </c>
      <c r="D107" s="435" t="s">
        <v>921</v>
      </c>
      <c r="E107" s="444">
        <f>+E108+E109+E110</f>
        <v>578775.67100000009</v>
      </c>
      <c r="F107" s="444">
        <f t="shared" ref="F107:O107" si="45">+F108+F109+F110</f>
        <v>185593.59100000001</v>
      </c>
      <c r="G107" s="444">
        <f t="shared" si="45"/>
        <v>100326.673</v>
      </c>
      <c r="H107" s="444">
        <f t="shared" si="45"/>
        <v>185384.72</v>
      </c>
      <c r="I107" s="444">
        <f t="shared" si="45"/>
        <v>113225.68800000001</v>
      </c>
      <c r="J107" s="444">
        <f>+J108+J109+J110</f>
        <v>619371.52000000002</v>
      </c>
      <c r="K107" s="444">
        <f t="shared" si="45"/>
        <v>873402.69300000009</v>
      </c>
      <c r="L107" s="444">
        <f t="shared" si="45"/>
        <v>212923.19300000003</v>
      </c>
      <c r="M107" s="444">
        <f t="shared" si="45"/>
        <v>326352.16200000001</v>
      </c>
      <c r="N107" s="444">
        <f t="shared" si="45"/>
        <v>106354.931</v>
      </c>
      <c r="O107" s="444">
        <f t="shared" si="45"/>
        <v>627786.37399999995</v>
      </c>
      <c r="P107" s="444">
        <f>+P108+P109+P110</f>
        <v>1940049.8730000001</v>
      </c>
      <c r="Q107" s="433">
        <f t="shared" si="28"/>
        <v>5869547.0889999997</v>
      </c>
      <c r="R107" s="444"/>
      <c r="U107" s="699">
        <v>2766072</v>
      </c>
      <c r="W107" s="481"/>
    </row>
    <row r="108" spans="1:23" ht="13.5" thickBot="1">
      <c r="A108" s="426"/>
      <c r="B108" s="426"/>
      <c r="C108" s="464" t="s">
        <v>1418</v>
      </c>
      <c r="D108" s="449" t="s">
        <v>922</v>
      </c>
      <c r="E108" s="452">
        <f>+'LICENCA PESCA'!D6/1000+'LICENCA PESCA'!D8/1000+'LICENCA PESCA'!D9/1000</f>
        <v>473402.79000000004</v>
      </c>
      <c r="F108" s="452">
        <f>+'LICENCA PESCA'!E6/1000+'LICENCA PESCA'!E8/1000+'LICENCA PESCA'!E9/1000</f>
        <v>147354.19700000001</v>
      </c>
      <c r="G108" s="452">
        <f>+'LICENCA PESCA'!F6/1000+'LICENCA PESCA'!F8/1000+'LICENCA PESCA'!F9/1000</f>
        <v>80580.875</v>
      </c>
      <c r="H108" s="452">
        <f>+'LICENCA PESCA'!G6/1000+'LICENCA PESCA'!G8/1000+'LICENCA PESCA'!G9/1000</f>
        <v>122922.818</v>
      </c>
      <c r="I108" s="452">
        <f>+'LICENCA PESCA'!H6/1000+'LICENCA PESCA'!H8/1000+'LICENCA PESCA'!H9/1000</f>
        <v>99724.524000000005</v>
      </c>
      <c r="J108" s="452">
        <f>+'LICENCA PESCA'!I6/1000+'LICENCA PESCA'!I8/1000+'LICENCA PESCA'!I9/1000</f>
        <v>526486.63300000003</v>
      </c>
      <c r="K108" s="452">
        <f>+'LICENCA PESCA'!J6/1000+'LICENCA PESCA'!J8/1000+'LICENCA PESCA'!J9/1000</f>
        <v>567585.60700000008</v>
      </c>
      <c r="L108" s="452">
        <f>+'LICENCA PESCA'!K6/1000+'LICENCA PESCA'!K8/1000+'LICENCA PESCA'!K9/1000</f>
        <v>179294.03700000001</v>
      </c>
      <c r="M108" s="452">
        <f>+'LICENCA PESCA'!L6/1000+'LICENCA PESCA'!L8/1000+'LICENCA PESCA'!L9/1000</f>
        <v>222609.59600000002</v>
      </c>
      <c r="N108" s="452">
        <f>+'LICENCA PESCA'!M6/1000+'LICENCA PESCA'!M8/1000+'LICENCA PESCA'!M9/1000</f>
        <v>90955.221999999994</v>
      </c>
      <c r="O108" s="452">
        <f>+'LICENCA PESCA'!N6/1000+'LICENCA PESCA'!N8/1000+'LICENCA PESCA'!N9/1000</f>
        <v>437940.83199999999</v>
      </c>
      <c r="P108" s="452">
        <f>+'LICENCA PESCA'!O6/1000+'LICENCA PESCA'!O8/1000+'LICENCA PESCA'!O9/1000</f>
        <v>1383005.969</v>
      </c>
      <c r="Q108" s="433">
        <f t="shared" si="28"/>
        <v>4331863.0999999996</v>
      </c>
      <c r="R108" s="452"/>
      <c r="U108" s="699">
        <v>2531072</v>
      </c>
      <c r="W108" s="481"/>
    </row>
    <row r="109" spans="1:23" ht="13.5" thickBot="1">
      <c r="A109" s="426"/>
      <c r="B109" s="426"/>
      <c r="C109" s="450" t="s">
        <v>1419</v>
      </c>
      <c r="D109" s="883" t="s">
        <v>923</v>
      </c>
      <c r="E109" s="452"/>
      <c r="F109" s="452"/>
      <c r="G109" s="452"/>
      <c r="H109" s="452"/>
      <c r="I109" s="452"/>
      <c r="J109" s="452"/>
      <c r="K109" s="452"/>
      <c r="L109" s="452"/>
      <c r="M109" s="452"/>
      <c r="N109" s="452"/>
      <c r="O109" s="452"/>
      <c r="P109" s="452"/>
      <c r="Q109" s="433">
        <f t="shared" si="28"/>
        <v>0</v>
      </c>
      <c r="R109" s="452"/>
      <c r="U109" s="699">
        <v>0</v>
      </c>
      <c r="W109" s="481"/>
    </row>
    <row r="110" spans="1:23" ht="13.5" thickBot="1">
      <c r="A110" s="426"/>
      <c r="B110" s="426"/>
      <c r="C110" s="450" t="s">
        <v>1420</v>
      </c>
      <c r="D110" s="449" t="s">
        <v>924</v>
      </c>
      <c r="E110" s="452">
        <f>'LICENCA PESCA'!D7/1000</f>
        <v>105372.88099999999</v>
      </c>
      <c r="F110" s="452">
        <f>'LICENCA PESCA'!E7/1000</f>
        <v>38239.394</v>
      </c>
      <c r="G110" s="452">
        <f>'LICENCA PESCA'!F7/1000</f>
        <v>19745.797999999999</v>
      </c>
      <c r="H110" s="452">
        <f>'LICENCA PESCA'!G7/1000</f>
        <v>62461.902000000002</v>
      </c>
      <c r="I110" s="452">
        <f>'LICENCA PESCA'!H7/1000</f>
        <v>13501.164000000001</v>
      </c>
      <c r="J110" s="452">
        <f>'LICENCA PESCA'!I7/1000</f>
        <v>92884.887000000002</v>
      </c>
      <c r="K110" s="452">
        <f>'LICENCA PESCA'!J7/1000</f>
        <v>305817.08600000001</v>
      </c>
      <c r="L110" s="452">
        <f>'LICENCA PESCA'!K7/1000</f>
        <v>33629.156000000003</v>
      </c>
      <c r="M110" s="452">
        <f>'LICENCA PESCA'!L7/1000</f>
        <v>103742.56600000001</v>
      </c>
      <c r="N110" s="452">
        <f>'LICENCA PESCA'!M7/1000</f>
        <v>15399.709000000001</v>
      </c>
      <c r="O110" s="452">
        <f>'LICENCA PESCA'!N7/1000</f>
        <v>189845.54199999999</v>
      </c>
      <c r="P110" s="452">
        <f>'LICENCA PESCA'!O7/1000</f>
        <v>557043.90399999998</v>
      </c>
      <c r="Q110" s="433">
        <f t="shared" si="28"/>
        <v>1537683.9890000001</v>
      </c>
      <c r="R110" s="452"/>
      <c r="U110" s="699">
        <v>235000</v>
      </c>
      <c r="W110" s="481"/>
    </row>
    <row r="111" spans="1:23" ht="13.5" thickBot="1">
      <c r="A111" s="426"/>
      <c r="B111" s="426" t="s">
        <v>919</v>
      </c>
      <c r="C111" s="465" t="s">
        <v>925</v>
      </c>
      <c r="D111" s="435" t="s">
        <v>2871</v>
      </c>
      <c r="E111" s="444">
        <f>+'LICENCAS TELEM. e OUTRAS '!C4</f>
        <v>0</v>
      </c>
      <c r="F111" s="444">
        <f>+'LICENCAS TELEM. e OUTRAS '!D4</f>
        <v>0</v>
      </c>
      <c r="G111" s="444">
        <f>+'LICENCAS TELEM. e OUTRAS '!E4</f>
        <v>0</v>
      </c>
      <c r="H111" s="444">
        <f>+'LICENCAS TELEM. e OUTRAS '!F4</f>
        <v>0</v>
      </c>
      <c r="I111" s="444">
        <f>+'LICENCAS TELEM. e OUTRAS '!G4</f>
        <v>0</v>
      </c>
      <c r="J111" s="444">
        <f>+'LICENCAS TELEM. e OUTRAS '!H4</f>
        <v>0</v>
      </c>
      <c r="K111" s="444">
        <f>+'LICENCAS TELEM. e OUTRAS '!I4</f>
        <v>0</v>
      </c>
      <c r="L111" s="444">
        <f>+'LICENCAS TELEM. e OUTRAS '!J4</f>
        <v>0</v>
      </c>
      <c r="M111" s="444">
        <f>+'LICENCAS TELEM. e OUTRAS '!K4</f>
        <v>0</v>
      </c>
      <c r="N111" s="444">
        <f>+'LICENCAS TELEM. e OUTRAS '!L4</f>
        <v>0</v>
      </c>
      <c r="O111" s="444">
        <f>+'LICENCAS TELEM. e OUTRAS '!M4</f>
        <v>0</v>
      </c>
      <c r="P111" s="444">
        <f>+'LICENCAS TELEM. e OUTRAS '!N4</f>
        <v>0</v>
      </c>
      <c r="Q111" s="433">
        <f t="shared" si="28"/>
        <v>0</v>
      </c>
      <c r="R111" s="444"/>
      <c r="U111" s="699">
        <f t="shared" ref="U111:U118" si="46">SUM(I111:Q111)</f>
        <v>0</v>
      </c>
      <c r="W111" s="481"/>
    </row>
    <row r="112" spans="1:23" ht="13.5" thickBot="1">
      <c r="A112" s="426"/>
      <c r="B112" s="426"/>
      <c r="C112" s="465"/>
      <c r="D112" s="1462" t="s">
        <v>2870</v>
      </c>
      <c r="E112" s="878">
        <f>+'LICENCAS TELEM. e OUTRAS '!C5</f>
        <v>0</v>
      </c>
      <c r="F112" s="878">
        <f>+'LICENCAS TELEM. e OUTRAS '!D5</f>
        <v>0</v>
      </c>
      <c r="G112" s="878">
        <f>+'LICENCAS TELEM. e OUTRAS '!E5</f>
        <v>0</v>
      </c>
      <c r="H112" s="878">
        <f>+'LICENCAS TELEM. e OUTRAS '!F5</f>
        <v>0</v>
      </c>
      <c r="I112" s="878">
        <f>+'LICENCAS TELEM. e OUTRAS '!G5</f>
        <v>0</v>
      </c>
      <c r="J112" s="878">
        <f>+'LICENCAS TELEM. e OUTRAS '!H5</f>
        <v>0</v>
      </c>
      <c r="K112" s="878">
        <f>+'LICENCAS TELEM. e OUTRAS '!I5</f>
        <v>0</v>
      </c>
      <c r="L112" s="878">
        <f>+'LICENCAS TELEM. e OUTRAS '!J5</f>
        <v>0</v>
      </c>
      <c r="M112" s="878">
        <f>+'LICENCAS TELEM. e OUTRAS '!K5</f>
        <v>0</v>
      </c>
      <c r="N112" s="878">
        <f>+'LICENCAS TELEM. e OUTRAS '!L5</f>
        <v>0</v>
      </c>
      <c r="O112" s="878">
        <f>+'LICENCAS TELEM. e OUTRAS '!M5</f>
        <v>0</v>
      </c>
      <c r="P112" s="878">
        <f>+'LICENCAS TELEM. e OUTRAS '!N5</f>
        <v>0</v>
      </c>
      <c r="Q112" s="433">
        <f>SUM(E112:P112)</f>
        <v>0</v>
      </c>
      <c r="R112" s="444"/>
      <c r="U112" s="699"/>
      <c r="W112" s="481"/>
    </row>
    <row r="113" spans="1:23" ht="13.5" thickBot="1">
      <c r="A113" s="426"/>
      <c r="B113" s="426"/>
      <c r="C113" s="434" t="s">
        <v>926</v>
      </c>
      <c r="D113" s="435" t="s">
        <v>927</v>
      </c>
      <c r="E113" s="452"/>
      <c r="F113" s="444"/>
      <c r="G113" s="444"/>
      <c r="H113" s="444"/>
      <c r="I113" s="444"/>
      <c r="J113" s="444"/>
      <c r="K113" s="444"/>
      <c r="L113" s="444"/>
      <c r="M113" s="444"/>
      <c r="N113" s="444"/>
      <c r="O113" s="444"/>
      <c r="P113" s="444"/>
      <c r="Q113" s="433">
        <f t="shared" si="28"/>
        <v>0</v>
      </c>
      <c r="R113" s="444">
        <f>+H111+H110+H108</f>
        <v>185384.72</v>
      </c>
      <c r="U113" s="699">
        <f t="shared" si="46"/>
        <v>0</v>
      </c>
      <c r="W113" s="481"/>
    </row>
    <row r="114" spans="1:23" ht="13.5" thickBot="1">
      <c r="A114" s="426" t="s">
        <v>929</v>
      </c>
      <c r="B114" s="426"/>
      <c r="C114" s="434" t="s">
        <v>1714</v>
      </c>
      <c r="D114" s="435" t="s">
        <v>930</v>
      </c>
      <c r="E114" s="452">
        <f>+'DGCI '!C70</f>
        <v>0</v>
      </c>
      <c r="F114" s="444">
        <f>+'DGCI '!D70</f>
        <v>0</v>
      </c>
      <c r="G114" s="444">
        <f>+'DGCI '!E70</f>
        <v>0</v>
      </c>
      <c r="H114" s="444">
        <f>+'DGCI '!F70</f>
        <v>0</v>
      </c>
      <c r="I114" s="444">
        <f>+'DGCI '!G70</f>
        <v>0</v>
      </c>
      <c r="J114" s="444">
        <f>+'DGCI '!H70</f>
        <v>0</v>
      </c>
      <c r="K114" s="444">
        <f>+'DGCI '!J70</f>
        <v>0</v>
      </c>
      <c r="L114" s="444">
        <f>+'DGCI '!K70</f>
        <v>0</v>
      </c>
      <c r="M114" s="444">
        <f>+'DGCI '!L70</f>
        <v>0</v>
      </c>
      <c r="N114" s="444">
        <f>+'DGCI '!M70</f>
        <v>0</v>
      </c>
      <c r="O114" s="444">
        <f>+'DGCI '!N70</f>
        <v>0</v>
      </c>
      <c r="P114" s="444">
        <f>+'DGCI '!O70</f>
        <v>0</v>
      </c>
      <c r="Q114" s="433">
        <f t="shared" si="28"/>
        <v>0</v>
      </c>
      <c r="R114" s="444">
        <f>+H111+H110+H108+H107</f>
        <v>370769.44</v>
      </c>
      <c r="U114" s="699">
        <f t="shared" si="46"/>
        <v>0</v>
      </c>
      <c r="W114" s="481"/>
    </row>
    <row r="115" spans="1:23" ht="13.5" thickBot="1">
      <c r="A115" s="426" t="s">
        <v>931</v>
      </c>
      <c r="B115" s="426"/>
      <c r="C115" s="434" t="s">
        <v>932</v>
      </c>
      <c r="D115" s="435" t="s">
        <v>933</v>
      </c>
      <c r="E115" s="452"/>
      <c r="F115" s="444"/>
      <c r="G115" s="444"/>
      <c r="H115" s="444"/>
      <c r="I115" s="444"/>
      <c r="J115" s="444"/>
      <c r="K115" s="444"/>
      <c r="L115" s="444"/>
      <c r="M115" s="444"/>
      <c r="N115" s="444"/>
      <c r="O115" s="444"/>
      <c r="P115" s="444"/>
      <c r="Q115" s="433">
        <f t="shared" si="28"/>
        <v>0</v>
      </c>
      <c r="R115" s="444"/>
      <c r="U115" s="699">
        <f t="shared" si="46"/>
        <v>0</v>
      </c>
      <c r="W115" s="481"/>
    </row>
    <row r="116" spans="1:23" ht="13.5" thickBot="1">
      <c r="A116" s="426" t="s">
        <v>934</v>
      </c>
      <c r="B116" s="426"/>
      <c r="C116" s="434" t="s">
        <v>935</v>
      </c>
      <c r="D116" s="435" t="s">
        <v>936</v>
      </c>
      <c r="E116" s="452"/>
      <c r="F116" s="444"/>
      <c r="G116" s="444"/>
      <c r="H116" s="444"/>
      <c r="I116" s="444"/>
      <c r="J116" s="444"/>
      <c r="K116" s="444"/>
      <c r="L116" s="444"/>
      <c r="M116" s="444"/>
      <c r="N116" s="444"/>
      <c r="O116" s="444"/>
      <c r="P116" s="444"/>
      <c r="Q116" s="433">
        <f t="shared" si="28"/>
        <v>0</v>
      </c>
      <c r="R116" s="444"/>
      <c r="U116" s="699">
        <f t="shared" si="46"/>
        <v>0</v>
      </c>
      <c r="W116" s="481"/>
    </row>
    <row r="117" spans="1:23" ht="13.5" thickBot="1">
      <c r="A117" s="426" t="s">
        <v>937</v>
      </c>
      <c r="B117" s="426"/>
      <c r="C117" s="434" t="s">
        <v>938</v>
      </c>
      <c r="D117" s="435" t="s">
        <v>939</v>
      </c>
      <c r="E117" s="452"/>
      <c r="F117" s="444"/>
      <c r="G117" s="444"/>
      <c r="H117" s="444"/>
      <c r="I117" s="444"/>
      <c r="J117" s="444"/>
      <c r="K117" s="444"/>
      <c r="L117" s="444"/>
      <c r="M117" s="444"/>
      <c r="N117" s="444"/>
      <c r="O117" s="444"/>
      <c r="P117" s="444"/>
      <c r="Q117" s="433">
        <f t="shared" si="28"/>
        <v>0</v>
      </c>
      <c r="R117" s="444"/>
      <c r="U117" s="699">
        <f t="shared" si="46"/>
        <v>0</v>
      </c>
      <c r="W117" s="481"/>
    </row>
    <row r="118" spans="1:23" ht="13.5" thickBot="1">
      <c r="A118" s="426" t="s">
        <v>940</v>
      </c>
      <c r="B118" s="426" t="s">
        <v>929</v>
      </c>
      <c r="C118" s="443" t="s">
        <v>941</v>
      </c>
      <c r="D118" s="2061" t="s">
        <v>3465</v>
      </c>
      <c r="E118" s="452">
        <f>+'DGCI '!C68</f>
        <v>0</v>
      </c>
      <c r="F118" s="444">
        <f>+'DGCI '!D68</f>
        <v>0</v>
      </c>
      <c r="G118" s="444">
        <f>+'DGCI '!E68</f>
        <v>0</v>
      </c>
      <c r="H118" s="444">
        <f>+'DGCI '!F68</f>
        <v>0</v>
      </c>
      <c r="I118" s="444">
        <f>+'DGCI '!G68</f>
        <v>392.57100000000003</v>
      </c>
      <c r="J118" s="444">
        <f>+'DGCI '!H68</f>
        <v>182.5</v>
      </c>
      <c r="K118" s="444">
        <f>+'DGCI '!J68</f>
        <v>0</v>
      </c>
      <c r="L118" s="444">
        <f>+'DGCI '!K68</f>
        <v>0</v>
      </c>
      <c r="M118" s="444">
        <f>+'DGCI '!L68</f>
        <v>214.37799999999999</v>
      </c>
      <c r="N118" s="444">
        <f>+'DGCI '!M68</f>
        <v>166.25</v>
      </c>
      <c r="O118" s="444">
        <f>+'DGCI '!N68</f>
        <v>0</v>
      </c>
      <c r="P118" s="444">
        <f>+'DGCI '!O68</f>
        <v>0</v>
      </c>
      <c r="Q118" s="433">
        <f t="shared" si="28"/>
        <v>955.69900000000007</v>
      </c>
      <c r="R118" s="444"/>
      <c r="U118" s="699">
        <f t="shared" si="46"/>
        <v>1911.3980000000001</v>
      </c>
      <c r="W118" s="481"/>
    </row>
    <row r="119" spans="1:23" ht="13.5" thickBot="1">
      <c r="A119" s="426" t="s">
        <v>942</v>
      </c>
      <c r="B119" s="426" t="s">
        <v>931</v>
      </c>
      <c r="C119" s="434" t="s">
        <v>1717</v>
      </c>
      <c r="D119" s="435" t="s">
        <v>943</v>
      </c>
      <c r="E119" s="444">
        <f>+'DGCI '!C72</f>
        <v>0</v>
      </c>
      <c r="F119" s="444">
        <f>+'DGCI '!D72</f>
        <v>0</v>
      </c>
      <c r="G119" s="444">
        <f>+'DGCI '!E72</f>
        <v>0</v>
      </c>
      <c r="H119" s="444">
        <f>+'DGCI '!F72</f>
        <v>0</v>
      </c>
      <c r="I119" s="444">
        <f>+'DGCI '!G72</f>
        <v>0</v>
      </c>
      <c r="J119" s="444">
        <f>+'DGCI '!H72</f>
        <v>0</v>
      </c>
      <c r="K119" s="444">
        <f>+'DGCI '!J72</f>
        <v>0</v>
      </c>
      <c r="L119" s="444">
        <f>+'DGCI '!K72</f>
        <v>0</v>
      </c>
      <c r="M119" s="444">
        <f>+'DGCI '!L72</f>
        <v>0</v>
      </c>
      <c r="N119" s="869">
        <f>+'DGCI '!M72</f>
        <v>0</v>
      </c>
      <c r="O119" s="869">
        <f>+'DGCI '!N72</f>
        <v>0</v>
      </c>
      <c r="P119" s="869">
        <f>+'DGCI '!O72</f>
        <v>0</v>
      </c>
      <c r="Q119" s="433">
        <f t="shared" si="28"/>
        <v>0</v>
      </c>
      <c r="R119" s="869"/>
      <c r="U119" s="699">
        <v>101600</v>
      </c>
      <c r="W119" s="481"/>
    </row>
    <row r="120" spans="1:23" ht="13.5" thickBot="1">
      <c r="A120" s="426"/>
      <c r="B120" s="426" t="s">
        <v>934</v>
      </c>
      <c r="C120" s="443" t="s">
        <v>1715</v>
      </c>
      <c r="D120" s="435" t="s">
        <v>944</v>
      </c>
      <c r="E120" s="444">
        <f>+'DGCI '!C71</f>
        <v>7505.3320000000003</v>
      </c>
      <c r="F120" s="444">
        <f>+'DGCI '!D71</f>
        <v>6983.1</v>
      </c>
      <c r="G120" s="444">
        <f>+'DGCI '!E71</f>
        <v>5711.25</v>
      </c>
      <c r="H120" s="444">
        <f>+'DGCI '!F71</f>
        <v>10412.700000000001</v>
      </c>
      <c r="I120" s="444">
        <f>+'DGCI '!G71</f>
        <v>2527.0500000000002</v>
      </c>
      <c r="J120" s="444">
        <f>+'DGCI '!H71</f>
        <v>5064.3</v>
      </c>
      <c r="K120" s="444">
        <f>+'DGCI '!J71</f>
        <v>6514.4500000000007</v>
      </c>
      <c r="L120" s="444">
        <f>+'DGCI '!K71</f>
        <v>3698.85</v>
      </c>
      <c r="M120" s="444">
        <f>+'DGCI '!L71</f>
        <v>649.95000000000005</v>
      </c>
      <c r="N120" s="444">
        <f>+'DGCI '!M71</f>
        <v>5117.1000000000004</v>
      </c>
      <c r="O120" s="444">
        <f>+'DGCI '!N71</f>
        <v>3800.8500000000004</v>
      </c>
      <c r="P120" s="444">
        <f>+'DGCI '!O71</f>
        <v>2178.9</v>
      </c>
      <c r="Q120" s="433">
        <f t="shared" si="28"/>
        <v>60163.831999999995</v>
      </c>
      <c r="R120" s="444"/>
      <c r="U120" s="699">
        <f t="shared" ref="U120:U125" si="47">SUM(I120:Q120)</f>
        <v>89715.282000000007</v>
      </c>
      <c r="W120" s="481"/>
    </row>
    <row r="121" spans="1:23" ht="13.5" thickBot="1">
      <c r="A121" s="445" t="s">
        <v>945</v>
      </c>
      <c r="B121" s="426" t="s">
        <v>937</v>
      </c>
      <c r="C121" s="443" t="s">
        <v>22</v>
      </c>
      <c r="D121" s="435" t="s">
        <v>946</v>
      </c>
      <c r="E121" s="444">
        <f>+'DGCI '!C94</f>
        <v>0</v>
      </c>
      <c r="F121" s="444">
        <f>+'DGCI '!D94</f>
        <v>0</v>
      </c>
      <c r="G121" s="444">
        <f>+'DGCI '!E94</f>
        <v>0</v>
      </c>
      <c r="H121" s="444">
        <f>+'DGCI '!F94</f>
        <v>0</v>
      </c>
      <c r="I121" s="444">
        <f>+'DGCI '!G94</f>
        <v>0</v>
      </c>
      <c r="J121" s="444">
        <f>+'DGCI '!H94</f>
        <v>0</v>
      </c>
      <c r="K121" s="444">
        <f>+'DGCI '!J94</f>
        <v>0</v>
      </c>
      <c r="L121" s="444">
        <f>+'DGCI '!K94</f>
        <v>0</v>
      </c>
      <c r="M121" s="444">
        <f>+'DGCI '!L94</f>
        <v>0</v>
      </c>
      <c r="N121" s="444">
        <f>+'DGCI '!L94</f>
        <v>0</v>
      </c>
      <c r="O121" s="444">
        <f>+'DGCI '!N94</f>
        <v>0</v>
      </c>
      <c r="P121" s="444">
        <f>+'DGCI '!N94</f>
        <v>0</v>
      </c>
      <c r="Q121" s="433">
        <f t="shared" si="28"/>
        <v>0</v>
      </c>
      <c r="R121" s="444"/>
      <c r="U121" s="699">
        <f t="shared" si="47"/>
        <v>0</v>
      </c>
      <c r="W121" s="481"/>
    </row>
    <row r="122" spans="1:23" ht="13.5" thickBot="1">
      <c r="A122" s="445" t="s">
        <v>947</v>
      </c>
      <c r="B122" s="426" t="s">
        <v>940</v>
      </c>
      <c r="C122" s="443" t="s">
        <v>1</v>
      </c>
      <c r="D122" s="435" t="s">
        <v>948</v>
      </c>
      <c r="E122" s="444">
        <f>+'DGCI '!C73</f>
        <v>0</v>
      </c>
      <c r="F122" s="444">
        <f>+'DGCI '!D73</f>
        <v>0</v>
      </c>
      <c r="G122" s="444">
        <f>+'DGCI '!E73</f>
        <v>0</v>
      </c>
      <c r="H122" s="444">
        <f>+'DGCI '!F73</f>
        <v>0</v>
      </c>
      <c r="I122" s="444">
        <f>+'DGCI '!G73</f>
        <v>780.17499999999995</v>
      </c>
      <c r="J122" s="444">
        <f>+'DGCI '!H73</f>
        <v>0</v>
      </c>
      <c r="K122" s="444">
        <f>+'DGCI '!J73</f>
        <v>0</v>
      </c>
      <c r="L122" s="444">
        <f>+'DGCI '!K73</f>
        <v>0</v>
      </c>
      <c r="M122" s="444">
        <f>+'DGCI '!L73</f>
        <v>0</v>
      </c>
      <c r="N122" s="444">
        <f>+'DGCI '!L73</f>
        <v>0</v>
      </c>
      <c r="O122" s="444">
        <f>+'DGCI '!N73</f>
        <v>0</v>
      </c>
      <c r="P122" s="444">
        <f>+'DGCI '!O73</f>
        <v>0</v>
      </c>
      <c r="Q122" s="433">
        <f t="shared" si="28"/>
        <v>780.17499999999995</v>
      </c>
      <c r="R122" s="444"/>
      <c r="U122" s="699">
        <f t="shared" si="47"/>
        <v>1560.35</v>
      </c>
      <c r="W122" s="481"/>
    </row>
    <row r="123" spans="1:23" ht="13.5" thickBot="1">
      <c r="A123" s="445" t="s">
        <v>949</v>
      </c>
      <c r="B123" s="426" t="s">
        <v>942</v>
      </c>
      <c r="C123" s="434" t="s">
        <v>950</v>
      </c>
      <c r="D123" s="460" t="s">
        <v>951</v>
      </c>
      <c r="E123" s="452">
        <f t="shared" ref="E123:J123" si="48">SUM(E124:E125)</f>
        <v>0</v>
      </c>
      <c r="F123" s="444">
        <f t="shared" si="48"/>
        <v>0</v>
      </c>
      <c r="G123" s="444">
        <f t="shared" si="48"/>
        <v>0</v>
      </c>
      <c r="H123" s="444">
        <f t="shared" si="48"/>
        <v>0</v>
      </c>
      <c r="I123" s="444">
        <f t="shared" si="48"/>
        <v>0</v>
      </c>
      <c r="J123" s="444">
        <f t="shared" si="48"/>
        <v>0</v>
      </c>
      <c r="K123" s="444">
        <f t="shared" ref="K123:P123" si="49">SUM(K124:K125)</f>
        <v>0</v>
      </c>
      <c r="L123" s="444">
        <f t="shared" si="49"/>
        <v>0</v>
      </c>
      <c r="M123" s="444">
        <f t="shared" si="49"/>
        <v>0</v>
      </c>
      <c r="N123" s="444">
        <f t="shared" si="49"/>
        <v>0</v>
      </c>
      <c r="O123" s="444">
        <f t="shared" si="49"/>
        <v>0</v>
      </c>
      <c r="P123" s="444">
        <f t="shared" si="49"/>
        <v>0</v>
      </c>
      <c r="Q123" s="433">
        <f t="shared" si="28"/>
        <v>0</v>
      </c>
      <c r="R123" s="444"/>
      <c r="U123" s="699">
        <f t="shared" si="47"/>
        <v>0</v>
      </c>
      <c r="W123" s="481"/>
    </row>
    <row r="124" spans="1:23" ht="13.5" thickBot="1">
      <c r="A124" s="445"/>
      <c r="B124" s="426"/>
      <c r="C124" s="450" t="s">
        <v>1421</v>
      </c>
      <c r="D124" s="449" t="s">
        <v>952</v>
      </c>
      <c r="E124" s="452"/>
      <c r="F124" s="444"/>
      <c r="G124" s="444"/>
      <c r="H124" s="444"/>
      <c r="I124" s="444"/>
      <c r="J124" s="444"/>
      <c r="K124" s="444"/>
      <c r="L124" s="444"/>
      <c r="M124" s="444"/>
      <c r="N124" s="444"/>
      <c r="O124" s="444"/>
      <c r="P124" s="444"/>
      <c r="Q124" s="433">
        <f t="shared" si="28"/>
        <v>0</v>
      </c>
      <c r="R124" s="444"/>
      <c r="U124" s="699">
        <f t="shared" si="47"/>
        <v>0</v>
      </c>
      <c r="W124" s="481"/>
    </row>
    <row r="125" spans="1:23" ht="13.5" thickBot="1">
      <c r="A125" s="445"/>
      <c r="B125" s="426"/>
      <c r="C125" s="450" t="s">
        <v>1422</v>
      </c>
      <c r="D125" s="449" t="s">
        <v>953</v>
      </c>
      <c r="E125" s="452"/>
      <c r="F125" s="444"/>
      <c r="G125" s="444"/>
      <c r="H125" s="444"/>
      <c r="I125" s="444"/>
      <c r="J125" s="444"/>
      <c r="K125" s="444"/>
      <c r="L125" s="444"/>
      <c r="M125" s="444"/>
      <c r="N125" s="444"/>
      <c r="O125" s="444"/>
      <c r="P125" s="444"/>
      <c r="Q125" s="433">
        <f t="shared" si="28"/>
        <v>0</v>
      </c>
      <c r="R125" s="444"/>
      <c r="U125" s="699">
        <f t="shared" si="47"/>
        <v>0</v>
      </c>
      <c r="W125" s="481"/>
    </row>
    <row r="126" spans="1:23" ht="13.5" thickBot="1">
      <c r="A126" s="445" t="s">
        <v>954</v>
      </c>
      <c r="B126" s="426"/>
      <c r="C126" s="434" t="s">
        <v>955</v>
      </c>
      <c r="D126" s="460" t="s">
        <v>956</v>
      </c>
      <c r="E126" s="452">
        <f>SUM(E127:E153)</f>
        <v>24134.115999999998</v>
      </c>
      <c r="F126" s="452">
        <f t="shared" ref="F126:P126" si="50">SUM(F127:F153)</f>
        <v>19257.457000000002</v>
      </c>
      <c r="G126" s="452">
        <f t="shared" si="50"/>
        <v>14100.792000000001</v>
      </c>
      <c r="H126" s="452">
        <f t="shared" si="50"/>
        <v>11405.130999999999</v>
      </c>
      <c r="I126" s="452">
        <f t="shared" si="50"/>
        <v>123965.33199999999</v>
      </c>
      <c r="J126" s="452">
        <f t="shared" si="50"/>
        <v>7372.8899999999994</v>
      </c>
      <c r="K126" s="452">
        <f t="shared" si="50"/>
        <v>9062.4470000000019</v>
      </c>
      <c r="L126" s="452">
        <f t="shared" si="50"/>
        <v>11460.7</v>
      </c>
      <c r="M126" s="452">
        <f t="shared" si="50"/>
        <v>24275.3</v>
      </c>
      <c r="N126" s="452">
        <f t="shared" si="50"/>
        <v>30174.855</v>
      </c>
      <c r="O126" s="452">
        <f t="shared" si="50"/>
        <v>19738.445</v>
      </c>
      <c r="P126" s="452">
        <f t="shared" si="50"/>
        <v>16296.798999999999</v>
      </c>
      <c r="Q126" s="433">
        <f t="shared" si="28"/>
        <v>311244.26400000002</v>
      </c>
      <c r="R126" s="444"/>
      <c r="U126" s="699">
        <v>0</v>
      </c>
      <c r="W126" s="481"/>
    </row>
    <row r="127" spans="1:23" ht="13.5" thickBot="1">
      <c r="A127" s="445" t="s">
        <v>957</v>
      </c>
      <c r="B127" s="466" t="s">
        <v>945</v>
      </c>
      <c r="C127" s="450" t="s">
        <v>1423</v>
      </c>
      <c r="D127" s="449" t="s">
        <v>958</v>
      </c>
      <c r="E127" s="452"/>
      <c r="F127" s="452"/>
      <c r="G127" s="452"/>
      <c r="H127" s="452"/>
      <c r="I127" s="452"/>
      <c r="J127" s="452"/>
      <c r="K127" s="452"/>
      <c r="L127" s="452"/>
      <c r="M127" s="452"/>
      <c r="N127" s="452"/>
      <c r="O127" s="452"/>
      <c r="P127" s="452"/>
      <c r="Q127" s="433">
        <f t="shared" si="28"/>
        <v>0</v>
      </c>
      <c r="R127" s="452"/>
      <c r="U127" s="699">
        <f>SUM(I127:Q127)</f>
        <v>0</v>
      </c>
      <c r="W127" s="481"/>
    </row>
    <row r="128" spans="1:23" ht="13.5" thickBot="1">
      <c r="A128" s="445" t="s">
        <v>959</v>
      </c>
      <c r="B128" s="426" t="s">
        <v>947</v>
      </c>
      <c r="C128" s="453" t="s">
        <v>1424</v>
      </c>
      <c r="D128" s="449" t="s">
        <v>960</v>
      </c>
      <c r="E128" s="452">
        <f>+DGA!C33/1000</f>
        <v>0</v>
      </c>
      <c r="F128" s="452">
        <f>+DGA!D33/1000</f>
        <v>0</v>
      </c>
      <c r="G128" s="452">
        <f>+DGA!E33/1000</f>
        <v>0</v>
      </c>
      <c r="H128" s="452">
        <f>+DGA!F33/1000</f>
        <v>0</v>
      </c>
      <c r="I128" s="452">
        <f>+DGA!G33/1000</f>
        <v>0</v>
      </c>
      <c r="J128" s="452">
        <f>+DGA!H33/1000</f>
        <v>0</v>
      </c>
      <c r="K128" s="452">
        <f>+DGA!I33/1000</f>
        <v>0</v>
      </c>
      <c r="L128" s="452">
        <f>+DGA!J33/1000</f>
        <v>0</v>
      </c>
      <c r="M128" s="452">
        <f>+DGA!K33/1000</f>
        <v>0</v>
      </c>
      <c r="N128" s="452">
        <f>+DGA!L33/1000</f>
        <v>0</v>
      </c>
      <c r="O128" s="452">
        <f>+DGA!M33/1000</f>
        <v>0</v>
      </c>
      <c r="P128" s="452">
        <f>+DGA!N33/1000</f>
        <v>37.15</v>
      </c>
      <c r="Q128" s="433">
        <f t="shared" si="28"/>
        <v>37.15</v>
      </c>
      <c r="R128" s="452"/>
      <c r="U128" s="699">
        <v>0</v>
      </c>
      <c r="W128" s="481"/>
    </row>
    <row r="129" spans="1:23" ht="13.5" thickBot="1">
      <c r="A129" s="445" t="s">
        <v>961</v>
      </c>
      <c r="B129" s="426" t="s">
        <v>949</v>
      </c>
      <c r="C129" s="446" t="s">
        <v>1425</v>
      </c>
      <c r="D129" s="449" t="s">
        <v>962</v>
      </c>
      <c r="E129" s="452">
        <f>+'DGCI '!C61</f>
        <v>491.01600000000002</v>
      </c>
      <c r="F129" s="452">
        <f>+'DGCI '!D61</f>
        <v>418.37599999999998</v>
      </c>
      <c r="G129" s="452">
        <f>+'DGCI '!E61</f>
        <v>697.40599999999995</v>
      </c>
      <c r="H129" s="452">
        <f>+'DGCI '!F61</f>
        <v>262.19900000000001</v>
      </c>
      <c r="I129" s="452">
        <f>+'DGCI '!G61</f>
        <v>3648.835</v>
      </c>
      <c r="J129" s="452">
        <f>+'DGCI '!H61</f>
        <v>1032.2629999999999</v>
      </c>
      <c r="K129" s="452">
        <f>+'DGCI '!J61</f>
        <v>2158.8830000000003</v>
      </c>
      <c r="L129" s="452">
        <f>+'DGCI '!K61</f>
        <v>2635.9450000000002</v>
      </c>
      <c r="M129" s="452">
        <f>+'DGCI '!L61</f>
        <v>3702.9630000000002</v>
      </c>
      <c r="N129" s="452">
        <f>+'DGCI '!M61</f>
        <v>3367.6529999999998</v>
      </c>
      <c r="O129" s="452">
        <f>+'DGCI '!N61</f>
        <v>2380.64</v>
      </c>
      <c r="P129" s="452">
        <f>+'DGCI '!O61</f>
        <v>1303.9059999999999</v>
      </c>
      <c r="Q129" s="433">
        <f t="shared" si="28"/>
        <v>22100.084999999999</v>
      </c>
      <c r="R129" s="452"/>
      <c r="U129" s="699">
        <v>0</v>
      </c>
      <c r="W129" s="481"/>
    </row>
    <row r="130" spans="1:23" ht="13.5" thickBot="1">
      <c r="A130" s="445" t="s">
        <v>963</v>
      </c>
      <c r="B130" s="426" t="s">
        <v>954</v>
      </c>
      <c r="C130" s="446" t="s">
        <v>1426</v>
      </c>
      <c r="D130" s="449" t="s">
        <v>964</v>
      </c>
      <c r="E130" s="452">
        <f>+'DGCI '!C62</f>
        <v>0</v>
      </c>
      <c r="F130" s="452">
        <f>+'DGCI '!D62</f>
        <v>0</v>
      </c>
      <c r="G130" s="452">
        <f>+'DGCI '!E62</f>
        <v>0</v>
      </c>
      <c r="H130" s="452">
        <f>+'DGCI '!F62</f>
        <v>0</v>
      </c>
      <c r="I130" s="452">
        <f>+'DGCI '!G62</f>
        <v>0</v>
      </c>
      <c r="J130" s="452">
        <f>+'DGCI '!H62</f>
        <v>0</v>
      </c>
      <c r="K130" s="452">
        <f>+'DGCI '!J62</f>
        <v>0</v>
      </c>
      <c r="L130" s="452">
        <f>+'DGCI '!K62</f>
        <v>0</v>
      </c>
      <c r="M130" s="452">
        <f>+'DGCI '!L62</f>
        <v>0</v>
      </c>
      <c r="N130" s="452">
        <f>+'DGCI '!M62</f>
        <v>0</v>
      </c>
      <c r="O130" s="452">
        <f>+'DGCI '!N62</f>
        <v>0</v>
      </c>
      <c r="P130" s="452">
        <f>+'DGCI '!O62</f>
        <v>0</v>
      </c>
      <c r="Q130" s="433">
        <f t="shared" si="28"/>
        <v>0</v>
      </c>
      <c r="R130" s="452"/>
      <c r="U130" s="699">
        <v>0</v>
      </c>
      <c r="W130" s="481"/>
    </row>
    <row r="131" spans="1:23" ht="13.5" thickBot="1">
      <c r="A131" s="445" t="s">
        <v>965</v>
      </c>
      <c r="B131" s="426" t="s">
        <v>957</v>
      </c>
      <c r="C131" s="446" t="s">
        <v>1427</v>
      </c>
      <c r="D131" s="449" t="s">
        <v>966</v>
      </c>
      <c r="E131" s="452">
        <f>+'DGCI '!C63+'DGCI '!C66</f>
        <v>6846.3010000000004</v>
      </c>
      <c r="F131" s="452">
        <f>+'DGCI '!D63+'DGCI '!D66</f>
        <v>2000</v>
      </c>
      <c r="G131" s="452">
        <f>+'DGCI '!E63+'DGCI '!E66</f>
        <v>2853.1879999999996</v>
      </c>
      <c r="H131" s="452">
        <f>+'DGCI '!F63+'DGCI '!F66</f>
        <v>1285.6590000000001</v>
      </c>
      <c r="I131" s="452">
        <f>+'DGCI '!G63+'DGCI '!G66</f>
        <v>0</v>
      </c>
      <c r="J131" s="452">
        <f>+'DGCI '!H63+'DGCI '!H66</f>
        <v>0</v>
      </c>
      <c r="K131" s="452">
        <f>+'DGCI '!J63+'DGCI '!J66</f>
        <v>2304.011</v>
      </c>
      <c r="L131" s="452">
        <f>+'DGCI '!K63+'DGCI '!K66</f>
        <v>3330.51</v>
      </c>
      <c r="M131" s="452">
        <f>+'DGCI '!L63+'DGCI '!L66</f>
        <v>11120.295</v>
      </c>
      <c r="N131" s="452">
        <f>+'DGCI '!M63+'DGCI '!M66</f>
        <v>11446.021000000001</v>
      </c>
      <c r="O131" s="452">
        <f>+'DGCI '!N63+'DGCI '!N66</f>
        <v>5729.4669999999996</v>
      </c>
      <c r="P131" s="452">
        <f>+'DGCI '!O63+'DGCI '!O66</f>
        <v>6188.5410000000002</v>
      </c>
      <c r="Q131" s="433">
        <f t="shared" si="28"/>
        <v>53103.992999999995</v>
      </c>
      <c r="R131" s="452"/>
      <c r="U131" s="699">
        <v>0</v>
      </c>
      <c r="W131" s="481"/>
    </row>
    <row r="132" spans="1:23" ht="13.5" thickBot="1">
      <c r="A132" s="445" t="s">
        <v>967</v>
      </c>
      <c r="B132" s="426" t="s">
        <v>959</v>
      </c>
      <c r="C132" s="450" t="s">
        <v>1428</v>
      </c>
      <c r="D132" s="449" t="s">
        <v>968</v>
      </c>
      <c r="E132" s="452"/>
      <c r="F132" s="452"/>
      <c r="G132" s="452"/>
      <c r="H132" s="452"/>
      <c r="I132" s="452"/>
      <c r="J132" s="452"/>
      <c r="K132" s="452"/>
      <c r="L132" s="452"/>
      <c r="M132" s="452"/>
      <c r="N132" s="452"/>
      <c r="O132" s="452"/>
      <c r="P132" s="452"/>
      <c r="Q132" s="433">
        <f t="shared" si="28"/>
        <v>0</v>
      </c>
      <c r="R132" s="452"/>
      <c r="U132" s="699">
        <f>SUM(I132:Q132)</f>
        <v>0</v>
      </c>
      <c r="W132" s="481"/>
    </row>
    <row r="133" spans="1:23" ht="13.5" thickBot="1">
      <c r="A133" s="445" t="s">
        <v>969</v>
      </c>
      <c r="B133" s="426" t="s">
        <v>961</v>
      </c>
      <c r="C133" s="450" t="s">
        <v>1429</v>
      </c>
      <c r="D133" s="449" t="s">
        <v>970</v>
      </c>
      <c r="E133" s="452">
        <f>+'DGCI '!C64</f>
        <v>1984.0720000000001</v>
      </c>
      <c r="F133" s="452">
        <f>+'DGCI '!D64</f>
        <v>0</v>
      </c>
      <c r="G133" s="452">
        <f>+'DGCI '!E64</f>
        <v>1231.3599999999999</v>
      </c>
      <c r="H133" s="452">
        <f>+'DGCI '!F64</f>
        <v>0</v>
      </c>
      <c r="I133" s="452">
        <f>+'DGCI '!G64</f>
        <v>0</v>
      </c>
      <c r="J133" s="452">
        <f>+'DGCI '!H64</f>
        <v>0</v>
      </c>
      <c r="K133" s="452">
        <f>+'DGCI '!J64</f>
        <v>83.3</v>
      </c>
      <c r="L133" s="452">
        <f>+'DGCI '!K64</f>
        <v>3088.0740000000001</v>
      </c>
      <c r="M133" s="452">
        <f>+'DGCI '!L64</f>
        <v>2751.6309999999999</v>
      </c>
      <c r="N133" s="452">
        <f>+'DGCI '!M64</f>
        <v>4507.3809999999994</v>
      </c>
      <c r="O133" s="452">
        <f>+'DGCI '!N64</f>
        <v>2503.1419999999998</v>
      </c>
      <c r="P133" s="452">
        <f>+'DGCI '!O64</f>
        <v>2088.848</v>
      </c>
      <c r="Q133" s="433">
        <f t="shared" si="28"/>
        <v>18237.807999999997</v>
      </c>
      <c r="R133" s="452"/>
      <c r="U133" s="699">
        <f>SUM(I133:Q133)</f>
        <v>33260.183999999994</v>
      </c>
      <c r="W133" s="481"/>
    </row>
    <row r="134" spans="1:23" ht="13.5" thickBot="1">
      <c r="A134" s="445" t="s">
        <v>971</v>
      </c>
      <c r="B134" s="426" t="s">
        <v>972</v>
      </c>
      <c r="C134" s="453" t="s">
        <v>1430</v>
      </c>
      <c r="D134" s="449" t="s">
        <v>973</v>
      </c>
      <c r="E134" s="452">
        <f>+DGA!C32/1000</f>
        <v>640.44799999999998</v>
      </c>
      <c r="F134" s="452">
        <f>+DGA!D32/1000</f>
        <v>980.44100000000003</v>
      </c>
      <c r="G134" s="452">
        <f>+DGA!E32/1000</f>
        <v>385.52</v>
      </c>
      <c r="H134" s="452">
        <f>+DGA!F32/1000</f>
        <v>649.01800000000003</v>
      </c>
      <c r="I134" s="452">
        <f>+DGA!G32/1000</f>
        <v>749.21500000000003</v>
      </c>
      <c r="J134" s="452">
        <f>+DGA!H32/1000</f>
        <v>829.00199999999995</v>
      </c>
      <c r="K134" s="452">
        <f>+DGA!I32/1000</f>
        <v>153.22800000000001</v>
      </c>
      <c r="L134" s="452">
        <f>+DGA!J32/1000</f>
        <v>120</v>
      </c>
      <c r="M134" s="452">
        <f>+DGA!K32/1000</f>
        <v>0</v>
      </c>
      <c r="N134" s="452">
        <f>+DGA!L32/1000</f>
        <v>396</v>
      </c>
      <c r="O134" s="452">
        <f>+DGA!M32/1000</f>
        <v>555.846</v>
      </c>
      <c r="P134" s="452">
        <f>+DGA!N32/1000</f>
        <v>410.36799999999999</v>
      </c>
      <c r="Q134" s="433">
        <f t="shared" si="28"/>
        <v>5869.0860000000011</v>
      </c>
      <c r="R134" s="452"/>
      <c r="U134" s="699">
        <v>0</v>
      </c>
      <c r="W134" s="481"/>
    </row>
    <row r="135" spans="1:23" ht="13.5" thickBot="1">
      <c r="A135" s="445" t="s">
        <v>974</v>
      </c>
      <c r="B135" s="426" t="s">
        <v>965</v>
      </c>
      <c r="C135" s="446" t="s">
        <v>1431</v>
      </c>
      <c r="D135" s="449" t="s">
        <v>975</v>
      </c>
      <c r="E135" s="452">
        <f>+'DGCI '!C65</f>
        <v>1510.6790000000001</v>
      </c>
      <c r="F135" s="452">
        <f>+'DGCI '!D65</f>
        <v>0</v>
      </c>
      <c r="G135" s="452">
        <f>+'DGCI '!E65</f>
        <v>1807.3430000000001</v>
      </c>
      <c r="H135" s="452">
        <f>+'DGCI '!F65</f>
        <v>691.56999999999994</v>
      </c>
      <c r="I135" s="452">
        <f>+'DGCI '!G65</f>
        <v>0</v>
      </c>
      <c r="J135" s="452">
        <f>+'DGCI '!H65</f>
        <v>0</v>
      </c>
      <c r="K135" s="452">
        <f>+'DGCI '!J65</f>
        <v>0</v>
      </c>
      <c r="L135" s="452">
        <f>+'DGCI '!K65</f>
        <v>738.68</v>
      </c>
      <c r="M135" s="452">
        <f>+'DGCI '!L65</f>
        <v>3916.942</v>
      </c>
      <c r="N135" s="452">
        <f>+'DGCI '!M65</f>
        <v>3828.6819999999998</v>
      </c>
      <c r="O135" s="452">
        <f>+'DGCI '!N65</f>
        <v>1853.3100000000004</v>
      </c>
      <c r="P135" s="452">
        <f>+'DGCI '!O65</f>
        <v>1853.4530000000002</v>
      </c>
      <c r="Q135" s="433">
        <f t="shared" si="28"/>
        <v>16200.659000000001</v>
      </c>
      <c r="R135" s="452">
        <v>0</v>
      </c>
      <c r="U135" s="699">
        <f>SUM(I135:Q135)</f>
        <v>28391.726000000002</v>
      </c>
      <c r="W135" s="481"/>
    </row>
    <row r="136" spans="1:23" ht="13.5" thickBot="1">
      <c r="A136" s="445" t="s">
        <v>976</v>
      </c>
      <c r="B136" s="426" t="s">
        <v>967</v>
      </c>
      <c r="C136" s="446" t="s">
        <v>1432</v>
      </c>
      <c r="D136" s="449" t="s">
        <v>977</v>
      </c>
      <c r="E136" s="452">
        <f>+'DGCI '!C69</f>
        <v>9688.1549999999988</v>
      </c>
      <c r="F136" s="452">
        <f>+'DGCI '!D69</f>
        <v>13469.679</v>
      </c>
      <c r="G136" s="452">
        <f>+'DGCI '!E69</f>
        <v>4921.8969999999999</v>
      </c>
      <c r="H136" s="452">
        <f>+'DGCI '!F69</f>
        <v>5320.5380000000005</v>
      </c>
      <c r="I136" s="452">
        <f>+'DGCI '!G69</f>
        <v>1830.6000000000001</v>
      </c>
      <c r="J136" s="452">
        <f>+'DGCI '!H69</f>
        <v>4675.2139999999999</v>
      </c>
      <c r="K136" s="452">
        <f>+'DGCI '!J69</f>
        <v>2208.8240000000001</v>
      </c>
      <c r="L136" s="452">
        <f>+'DGCI '!K69</f>
        <v>933.37099999999998</v>
      </c>
      <c r="M136" s="452">
        <f>+'DGCI '!L69</f>
        <v>1531.3140000000001</v>
      </c>
      <c r="N136" s="452">
        <f>+'DGCI '!M69</f>
        <v>5937.3770000000004</v>
      </c>
      <c r="O136" s="452">
        <f>+'DGCI '!N69</f>
        <v>5788.3980000000001</v>
      </c>
      <c r="P136" s="452">
        <f>+'DGCI '!O69</f>
        <v>3140.2929999999997</v>
      </c>
      <c r="Q136" s="433">
        <f t="shared" si="28"/>
        <v>59445.659999999996</v>
      </c>
      <c r="R136" s="452">
        <v>0</v>
      </c>
      <c r="U136" s="699">
        <v>0</v>
      </c>
      <c r="W136" s="481"/>
    </row>
    <row r="137" spans="1:23" ht="13.5" thickBot="1">
      <c r="A137" s="445" t="s">
        <v>978</v>
      </c>
      <c r="B137" s="426" t="s">
        <v>969</v>
      </c>
      <c r="C137" s="450" t="s">
        <v>1433</v>
      </c>
      <c r="D137" s="449" t="s">
        <v>979</v>
      </c>
      <c r="E137" s="452"/>
      <c r="F137" s="452"/>
      <c r="G137" s="452"/>
      <c r="H137" s="452"/>
      <c r="I137" s="452"/>
      <c r="J137" s="452"/>
      <c r="K137" s="452"/>
      <c r="L137" s="452"/>
      <c r="M137" s="452"/>
      <c r="N137" s="452"/>
      <c r="O137" s="452"/>
      <c r="P137" s="452"/>
      <c r="Q137" s="433">
        <f t="shared" si="28"/>
        <v>0</v>
      </c>
      <c r="R137" s="452">
        <v>0</v>
      </c>
      <c r="U137" s="699">
        <f>SUM(I137:Q137)</f>
        <v>0</v>
      </c>
      <c r="W137" s="481"/>
    </row>
    <row r="138" spans="1:23" ht="13.5" thickBot="1">
      <c r="A138" s="445" t="s">
        <v>980</v>
      </c>
      <c r="B138" s="426" t="s">
        <v>971</v>
      </c>
      <c r="C138" s="450" t="s">
        <v>1434</v>
      </c>
      <c r="D138" s="449" t="s">
        <v>981</v>
      </c>
      <c r="E138" s="452"/>
      <c r="F138" s="452"/>
      <c r="G138" s="452"/>
      <c r="H138" s="452"/>
      <c r="I138" s="452"/>
      <c r="J138" s="452"/>
      <c r="K138" s="452"/>
      <c r="L138" s="452"/>
      <c r="M138" s="452"/>
      <c r="N138" s="452"/>
      <c r="O138" s="452"/>
      <c r="P138" s="452"/>
      <c r="Q138" s="433">
        <f t="shared" si="28"/>
        <v>0</v>
      </c>
      <c r="R138" s="452">
        <v>0</v>
      </c>
      <c r="U138" s="699">
        <f>SUM(I138:Q138)</f>
        <v>0</v>
      </c>
      <c r="W138" s="481"/>
    </row>
    <row r="139" spans="1:23" ht="13.5" thickBot="1">
      <c r="A139" s="445" t="s">
        <v>982</v>
      </c>
      <c r="B139" s="426" t="s">
        <v>974</v>
      </c>
      <c r="C139" s="446" t="s">
        <v>1435</v>
      </c>
      <c r="D139" s="449" t="s">
        <v>983</v>
      </c>
      <c r="E139" s="452">
        <f>+'DGCI '!C75</f>
        <v>339.05900000000003</v>
      </c>
      <c r="F139" s="452">
        <f>+'DGCI '!D75</f>
        <v>367.56100000000004</v>
      </c>
      <c r="G139" s="452">
        <f>+'DGCI '!E75</f>
        <v>590.52800000000002</v>
      </c>
      <c r="H139" s="452">
        <f>+'DGCI '!F75</f>
        <v>1381.2470000000001</v>
      </c>
      <c r="I139" s="452">
        <f>+'DGCI '!G75</f>
        <v>971.57499999999993</v>
      </c>
      <c r="J139" s="452">
        <f>+'DGCI '!H75</f>
        <v>110</v>
      </c>
      <c r="K139" s="452">
        <f>+'DGCI '!J75</f>
        <v>1744.905</v>
      </c>
      <c r="L139" s="452">
        <f>+'DGCI '!K75</f>
        <v>104.392</v>
      </c>
      <c r="M139" s="452">
        <f>+'DGCI '!L75</f>
        <v>333.952</v>
      </c>
      <c r="N139" s="452">
        <f>+'DGCI '!M75</f>
        <v>428.24400000000003</v>
      </c>
      <c r="O139" s="452">
        <f>+'DGCI '!N75</f>
        <v>0</v>
      </c>
      <c r="P139" s="452">
        <f>+'DGCI '!O75</f>
        <v>929.96299999999997</v>
      </c>
      <c r="Q139" s="433">
        <f t="shared" si="28"/>
        <v>7301.4259999999995</v>
      </c>
      <c r="R139" s="452">
        <v>0</v>
      </c>
      <c r="U139" s="699">
        <v>0</v>
      </c>
      <c r="W139" s="481"/>
    </row>
    <row r="140" spans="1:23" ht="13.5" thickBot="1">
      <c r="A140" s="445" t="s">
        <v>984</v>
      </c>
      <c r="B140" s="426" t="s">
        <v>976</v>
      </c>
      <c r="C140" s="446" t="s">
        <v>1436</v>
      </c>
      <c r="D140" s="449" t="s">
        <v>985</v>
      </c>
      <c r="E140" s="452">
        <f>+'DGCI '!C76</f>
        <v>0</v>
      </c>
      <c r="F140" s="452">
        <f>+'DGCI '!D76</f>
        <v>0</v>
      </c>
      <c r="G140" s="452">
        <f>+'DGCI '!E76</f>
        <v>0</v>
      </c>
      <c r="H140" s="452">
        <f>+'DGCI '!F76</f>
        <v>0</v>
      </c>
      <c r="I140" s="452">
        <f>+'DGCI '!G76</f>
        <v>25.338999999999999</v>
      </c>
      <c r="J140" s="452">
        <f>+'DGCI '!H76</f>
        <v>0</v>
      </c>
      <c r="K140" s="452">
        <f>+'DGCI '!J76</f>
        <v>0</v>
      </c>
      <c r="L140" s="452">
        <f>+'DGCI '!K76</f>
        <v>0</v>
      </c>
      <c r="M140" s="452">
        <f>+'DGCI '!L76</f>
        <v>0</v>
      </c>
      <c r="N140" s="452">
        <f>+'DGCI '!M76</f>
        <v>0</v>
      </c>
      <c r="O140" s="452">
        <f>+'DGCI '!N76</f>
        <v>0</v>
      </c>
      <c r="P140" s="452">
        <f>+'DGCI '!O76</f>
        <v>0</v>
      </c>
      <c r="Q140" s="433">
        <f t="shared" si="28"/>
        <v>25.338999999999999</v>
      </c>
      <c r="R140" s="452">
        <v>0</v>
      </c>
      <c r="U140" s="699">
        <v>0</v>
      </c>
      <c r="W140" s="481"/>
    </row>
    <row r="141" spans="1:23" ht="13.5" thickBot="1">
      <c r="A141" s="445"/>
      <c r="B141" s="426"/>
      <c r="C141" s="446"/>
      <c r="D141" s="883" t="s">
        <v>1730</v>
      </c>
      <c r="E141" s="452">
        <f>+'DGCI '!C77</f>
        <v>0</v>
      </c>
      <c r="F141" s="452">
        <f>+'DGCI '!D77</f>
        <v>0</v>
      </c>
      <c r="G141" s="452">
        <f>+'DGCI '!E77</f>
        <v>157.19999999999999</v>
      </c>
      <c r="H141" s="452">
        <f>+'DGCI '!F77</f>
        <v>0</v>
      </c>
      <c r="I141" s="452">
        <f>+'DGCI '!G77</f>
        <v>218.4</v>
      </c>
      <c r="J141" s="452">
        <f>+'DGCI '!H77</f>
        <v>0</v>
      </c>
      <c r="K141" s="452">
        <f>+'DGCI '!J77</f>
        <v>0</v>
      </c>
      <c r="L141" s="452">
        <f>+'DGCI '!K77</f>
        <v>174.51300000000001</v>
      </c>
      <c r="M141" s="452">
        <f>+'DGCI '!L77</f>
        <v>0</v>
      </c>
      <c r="N141" s="452">
        <f>+'DGCI '!M77</f>
        <v>0</v>
      </c>
      <c r="O141" s="452">
        <f>+'DGCI '!N77</f>
        <v>128.61500000000001</v>
      </c>
      <c r="P141" s="452">
        <f>+'DGCI '!O77</f>
        <v>180.24600000000001</v>
      </c>
      <c r="Q141" s="433">
        <f t="shared" si="28"/>
        <v>858.97400000000005</v>
      </c>
      <c r="R141" s="452"/>
      <c r="U141" s="699"/>
      <c r="W141" s="481"/>
    </row>
    <row r="142" spans="1:23" ht="13.5" thickBot="1">
      <c r="A142" s="445" t="s">
        <v>986</v>
      </c>
      <c r="B142" s="426" t="s">
        <v>978</v>
      </c>
      <c r="C142" s="450" t="s">
        <v>1437</v>
      </c>
      <c r="D142" s="449" t="s">
        <v>987</v>
      </c>
      <c r="E142" s="452"/>
      <c r="F142" s="452"/>
      <c r="G142" s="452"/>
      <c r="H142" s="452"/>
      <c r="I142" s="452"/>
      <c r="J142" s="452"/>
      <c r="K142" s="452"/>
      <c r="L142" s="452"/>
      <c r="M142" s="452"/>
      <c r="N142" s="452"/>
      <c r="O142" s="452"/>
      <c r="P142" s="452"/>
      <c r="Q142" s="433">
        <f t="shared" si="28"/>
        <v>0</v>
      </c>
      <c r="R142" s="452">
        <v>0</v>
      </c>
      <c r="U142" s="699">
        <f t="shared" ref="U142:U152" si="51">SUM(I142:Q142)</f>
        <v>0</v>
      </c>
      <c r="W142" s="481"/>
    </row>
    <row r="143" spans="1:23" ht="13.5" thickBot="1">
      <c r="A143" s="445" t="s">
        <v>988</v>
      </c>
      <c r="B143" s="426" t="s">
        <v>980</v>
      </c>
      <c r="C143" s="450" t="s">
        <v>1438</v>
      </c>
      <c r="D143" s="449" t="s">
        <v>989</v>
      </c>
      <c r="E143" s="452"/>
      <c r="F143" s="452"/>
      <c r="G143" s="452"/>
      <c r="H143" s="452"/>
      <c r="I143" s="452"/>
      <c r="J143" s="452"/>
      <c r="K143" s="452"/>
      <c r="L143" s="452"/>
      <c r="M143" s="452"/>
      <c r="N143" s="452"/>
      <c r="O143" s="452"/>
      <c r="P143" s="452"/>
      <c r="Q143" s="433">
        <f t="shared" si="28"/>
        <v>0</v>
      </c>
      <c r="R143" s="452">
        <v>0</v>
      </c>
      <c r="U143" s="699">
        <f t="shared" si="51"/>
        <v>0</v>
      </c>
      <c r="W143" s="481"/>
    </row>
    <row r="144" spans="1:23" ht="13.5" thickBot="1">
      <c r="A144" s="445" t="s">
        <v>990</v>
      </c>
      <c r="B144" s="426" t="s">
        <v>982</v>
      </c>
      <c r="C144" s="450" t="s">
        <v>1439</v>
      </c>
      <c r="D144" s="449" t="s">
        <v>991</v>
      </c>
      <c r="E144" s="452"/>
      <c r="F144" s="452"/>
      <c r="G144" s="452"/>
      <c r="H144" s="452"/>
      <c r="I144" s="452"/>
      <c r="J144" s="452"/>
      <c r="K144" s="452"/>
      <c r="L144" s="452"/>
      <c r="M144" s="452"/>
      <c r="N144" s="452"/>
      <c r="O144" s="452"/>
      <c r="P144" s="452"/>
      <c r="Q144" s="433">
        <f t="shared" si="28"/>
        <v>0</v>
      </c>
      <c r="R144" s="452">
        <v>0</v>
      </c>
      <c r="U144" s="699">
        <f t="shared" si="51"/>
        <v>0</v>
      </c>
      <c r="W144" s="481"/>
    </row>
    <row r="145" spans="1:23" ht="13.5" thickBot="1">
      <c r="A145" s="445" t="s">
        <v>992</v>
      </c>
      <c r="B145" s="426" t="s">
        <v>984</v>
      </c>
      <c r="C145" s="450" t="s">
        <v>1440</v>
      </c>
      <c r="D145" s="449" t="s">
        <v>993</v>
      </c>
      <c r="E145" s="452"/>
      <c r="F145" s="452"/>
      <c r="G145" s="452"/>
      <c r="H145" s="452"/>
      <c r="I145" s="452"/>
      <c r="J145" s="452"/>
      <c r="K145" s="452"/>
      <c r="L145" s="452"/>
      <c r="M145" s="452"/>
      <c r="N145" s="452"/>
      <c r="O145" s="452"/>
      <c r="P145" s="452"/>
      <c r="Q145" s="433">
        <f t="shared" si="28"/>
        <v>0</v>
      </c>
      <c r="R145" s="452">
        <v>0</v>
      </c>
      <c r="U145" s="699">
        <f t="shared" si="51"/>
        <v>0</v>
      </c>
      <c r="W145" s="481"/>
    </row>
    <row r="146" spans="1:23" ht="13.5" thickBot="1">
      <c r="A146" s="445" t="s">
        <v>994</v>
      </c>
      <c r="B146" s="426" t="s">
        <v>986</v>
      </c>
      <c r="C146" s="450" t="s">
        <v>1441</v>
      </c>
      <c r="D146" s="449" t="s">
        <v>995</v>
      </c>
      <c r="E146" s="452"/>
      <c r="F146" s="452"/>
      <c r="G146" s="452"/>
      <c r="H146" s="452"/>
      <c r="I146" s="452"/>
      <c r="J146" s="452"/>
      <c r="K146" s="452"/>
      <c r="L146" s="452"/>
      <c r="M146" s="452"/>
      <c r="N146" s="452"/>
      <c r="O146" s="452"/>
      <c r="P146" s="452"/>
      <c r="Q146" s="433">
        <f t="shared" ref="Q146:Q209" si="52">SUM(E146:P146)</f>
        <v>0</v>
      </c>
      <c r="R146" s="452">
        <v>0</v>
      </c>
      <c r="U146" s="699">
        <f t="shared" si="51"/>
        <v>0</v>
      </c>
      <c r="W146" s="481"/>
    </row>
    <row r="147" spans="1:23" ht="13.5" thickBot="1">
      <c r="A147" s="445" t="s">
        <v>996</v>
      </c>
      <c r="B147" s="426" t="s">
        <v>988</v>
      </c>
      <c r="C147" s="450" t="s">
        <v>1442</v>
      </c>
      <c r="D147" s="449" t="s">
        <v>997</v>
      </c>
      <c r="E147" s="452"/>
      <c r="F147" s="452"/>
      <c r="G147" s="452"/>
      <c r="H147" s="452"/>
      <c r="I147" s="452"/>
      <c r="J147" s="452"/>
      <c r="K147" s="452"/>
      <c r="L147" s="452"/>
      <c r="M147" s="452"/>
      <c r="N147" s="452"/>
      <c r="O147" s="452"/>
      <c r="P147" s="452"/>
      <c r="Q147" s="433">
        <f t="shared" si="52"/>
        <v>0</v>
      </c>
      <c r="R147" s="452">
        <v>0</v>
      </c>
      <c r="U147" s="699">
        <f t="shared" si="51"/>
        <v>0</v>
      </c>
      <c r="W147" s="481"/>
    </row>
    <row r="148" spans="1:23" ht="13.5" thickBot="1">
      <c r="A148" s="445" t="s">
        <v>998</v>
      </c>
      <c r="B148" s="426" t="s">
        <v>990</v>
      </c>
      <c r="C148" s="450" t="s">
        <v>1443</v>
      </c>
      <c r="D148" s="449" t="s">
        <v>999</v>
      </c>
      <c r="E148" s="452"/>
      <c r="F148" s="452"/>
      <c r="G148" s="452"/>
      <c r="H148" s="452"/>
      <c r="I148" s="452"/>
      <c r="J148" s="452"/>
      <c r="K148" s="452"/>
      <c r="L148" s="452"/>
      <c r="M148" s="452"/>
      <c r="N148" s="452"/>
      <c r="O148" s="452"/>
      <c r="P148" s="452"/>
      <c r="Q148" s="433">
        <f t="shared" si="52"/>
        <v>0</v>
      </c>
      <c r="R148" s="452">
        <v>0</v>
      </c>
      <c r="U148" s="699">
        <f t="shared" si="51"/>
        <v>0</v>
      </c>
      <c r="W148" s="481"/>
    </row>
    <row r="149" spans="1:23" ht="13.5" thickBot="1">
      <c r="A149" s="445" t="s">
        <v>972</v>
      </c>
      <c r="B149" s="426" t="s">
        <v>992</v>
      </c>
      <c r="C149" s="450" t="s">
        <v>1444</v>
      </c>
      <c r="D149" s="449" t="s">
        <v>1000</v>
      </c>
      <c r="E149" s="452"/>
      <c r="F149" s="452"/>
      <c r="G149" s="452"/>
      <c r="H149" s="452"/>
      <c r="I149" s="452"/>
      <c r="J149" s="452"/>
      <c r="K149" s="452"/>
      <c r="L149" s="452"/>
      <c r="M149" s="452"/>
      <c r="N149" s="452"/>
      <c r="O149" s="452"/>
      <c r="P149" s="452"/>
      <c r="Q149" s="433">
        <f t="shared" si="52"/>
        <v>0</v>
      </c>
      <c r="R149" s="452">
        <v>0</v>
      </c>
      <c r="U149" s="699">
        <f t="shared" si="51"/>
        <v>0</v>
      </c>
      <c r="W149" s="481"/>
    </row>
    <row r="150" spans="1:23" ht="13.5" thickBot="1">
      <c r="A150" s="445" t="s">
        <v>1001</v>
      </c>
      <c r="B150" s="426" t="s">
        <v>994</v>
      </c>
      <c r="C150" s="450" t="s">
        <v>1448</v>
      </c>
      <c r="D150" s="449" t="s">
        <v>1002</v>
      </c>
      <c r="E150" s="452"/>
      <c r="F150" s="452"/>
      <c r="G150" s="452"/>
      <c r="H150" s="452"/>
      <c r="I150" s="452"/>
      <c r="J150" s="452"/>
      <c r="K150" s="452"/>
      <c r="L150" s="452"/>
      <c r="M150" s="452"/>
      <c r="N150" s="452"/>
      <c r="O150" s="452"/>
      <c r="P150" s="452"/>
      <c r="Q150" s="433">
        <f t="shared" si="52"/>
        <v>0</v>
      </c>
      <c r="R150" s="452">
        <v>0</v>
      </c>
      <c r="U150" s="699">
        <f t="shared" si="51"/>
        <v>0</v>
      </c>
      <c r="W150" s="481"/>
    </row>
    <row r="151" spans="1:23" ht="13.5" thickBot="1">
      <c r="A151" s="426"/>
      <c r="B151" s="426" t="s">
        <v>996</v>
      </c>
      <c r="C151" s="450" t="s">
        <v>1449</v>
      </c>
      <c r="D151" s="449" t="s">
        <v>1003</v>
      </c>
      <c r="E151" s="452"/>
      <c r="F151" s="452"/>
      <c r="G151" s="452"/>
      <c r="H151" s="452"/>
      <c r="I151" s="452"/>
      <c r="J151" s="452"/>
      <c r="K151" s="452"/>
      <c r="L151" s="452"/>
      <c r="M151" s="452"/>
      <c r="N151" s="452"/>
      <c r="O151" s="452"/>
      <c r="P151" s="452"/>
      <c r="Q151" s="433">
        <f t="shared" si="52"/>
        <v>0</v>
      </c>
      <c r="R151" s="452">
        <v>0</v>
      </c>
      <c r="U151" s="699">
        <f t="shared" si="51"/>
        <v>0</v>
      </c>
      <c r="W151" s="481"/>
    </row>
    <row r="152" spans="1:23" ht="15.75" thickBot="1">
      <c r="A152" s="430"/>
      <c r="B152" s="426" t="s">
        <v>998</v>
      </c>
      <c r="C152" s="446" t="s">
        <v>1450</v>
      </c>
      <c r="D152" s="449" t="s">
        <v>1004</v>
      </c>
      <c r="E152" s="452"/>
      <c r="F152" s="452"/>
      <c r="G152" s="452"/>
      <c r="H152" s="452"/>
      <c r="I152" s="452"/>
      <c r="J152" s="452"/>
      <c r="K152" s="452"/>
      <c r="L152" s="452"/>
      <c r="M152" s="452"/>
      <c r="N152" s="452"/>
      <c r="O152" s="452"/>
      <c r="P152" s="452"/>
      <c r="Q152" s="433">
        <f t="shared" si="52"/>
        <v>0</v>
      </c>
      <c r="R152" s="452">
        <v>0</v>
      </c>
      <c r="U152" s="699">
        <f t="shared" si="51"/>
        <v>0</v>
      </c>
      <c r="W152" s="481"/>
    </row>
    <row r="153" spans="1:23" ht="13.5" thickBot="1">
      <c r="A153" s="426" t="s">
        <v>787</v>
      </c>
      <c r="B153" s="466" t="s">
        <v>1001</v>
      </c>
      <c r="C153" s="446" t="s">
        <v>1451</v>
      </c>
      <c r="D153" s="467" t="s">
        <v>3467</v>
      </c>
      <c r="E153" s="452">
        <f>+'DGCI '!C67</f>
        <v>2634.386</v>
      </c>
      <c r="F153" s="878">
        <f>+'DGCI '!D67</f>
        <v>2021.3999999999999</v>
      </c>
      <c r="G153" s="452">
        <f>+'DGCI '!E67</f>
        <v>1456.35</v>
      </c>
      <c r="H153" s="452">
        <f>+'DGCI '!F67</f>
        <v>1814.9</v>
      </c>
      <c r="I153" s="452">
        <f>+'DGCI '!G67</f>
        <v>116521.368</v>
      </c>
      <c r="J153" s="452">
        <f>+'DGCI '!H67</f>
        <v>726.41100000000006</v>
      </c>
      <c r="K153" s="452">
        <f>+'DGCI '!J67</f>
        <v>409.29599999999999</v>
      </c>
      <c r="L153" s="452">
        <f>+'DGCI '!K67</f>
        <v>335.21499999999997</v>
      </c>
      <c r="M153" s="452">
        <f>+'DGCI '!L67</f>
        <v>918.20299999999997</v>
      </c>
      <c r="N153" s="452">
        <f>+'DGCI '!M67</f>
        <v>263.49700000000001</v>
      </c>
      <c r="O153" s="452">
        <f>+'DGCI '!N67</f>
        <v>799.02700000000004</v>
      </c>
      <c r="P153" s="452">
        <f>+'DGCI '!O67</f>
        <v>164.03100000000001</v>
      </c>
      <c r="Q153" s="433">
        <f t="shared" si="52"/>
        <v>128064.084</v>
      </c>
      <c r="R153" s="452">
        <v>0</v>
      </c>
      <c r="U153" s="699">
        <v>0</v>
      </c>
      <c r="W153" s="481"/>
    </row>
    <row r="154" spans="1:23" ht="14.25" customHeight="1" thickBot="1">
      <c r="A154" s="426"/>
      <c r="B154" s="426"/>
      <c r="C154" s="434"/>
      <c r="D154" s="435"/>
      <c r="E154" s="444"/>
      <c r="F154" s="444"/>
      <c r="G154" s="444"/>
      <c r="H154" s="444"/>
      <c r="I154" s="444"/>
      <c r="J154" s="444"/>
      <c r="K154" s="444"/>
      <c r="L154" s="444"/>
      <c r="M154" s="444"/>
      <c r="N154" s="444"/>
      <c r="O154" s="444"/>
      <c r="P154" s="444"/>
      <c r="Q154" s="433">
        <f t="shared" si="52"/>
        <v>0</v>
      </c>
      <c r="R154" s="444"/>
      <c r="U154" s="699">
        <f>SUM(I154:Q154)</f>
        <v>0</v>
      </c>
      <c r="W154" s="481"/>
    </row>
    <row r="155" spans="1:23" ht="13.5" thickBot="1">
      <c r="A155" s="426"/>
      <c r="B155" s="426"/>
      <c r="C155" s="468" t="s">
        <v>1005</v>
      </c>
      <c r="D155" s="469" t="s">
        <v>1006</v>
      </c>
      <c r="E155" s="470">
        <f t="shared" ref="E155:J155" si="53">+E156+E157+E158</f>
        <v>3663.337</v>
      </c>
      <c r="F155" s="470">
        <f t="shared" si="53"/>
        <v>77067.451000000001</v>
      </c>
      <c r="G155" s="470">
        <f t="shared" si="53"/>
        <v>1484</v>
      </c>
      <c r="H155" s="470">
        <f t="shared" si="53"/>
        <v>7468.2060000000001</v>
      </c>
      <c r="I155" s="470">
        <f t="shared" si="53"/>
        <v>192305.641</v>
      </c>
      <c r="J155" s="470">
        <f t="shared" si="53"/>
        <v>132272.75</v>
      </c>
      <c r="K155" s="470">
        <f t="shared" ref="K155:P155" si="54">+K156+K157+K158</f>
        <v>8074.4699999999993</v>
      </c>
      <c r="L155" s="470">
        <f>+L156+L157+L158</f>
        <v>125938.041</v>
      </c>
      <c r="M155" s="470">
        <f t="shared" si="54"/>
        <v>2841.8780000000002</v>
      </c>
      <c r="N155" s="470">
        <f t="shared" si="54"/>
        <v>6180.8490000000002</v>
      </c>
      <c r="O155" s="470">
        <f t="shared" si="54"/>
        <v>2637.1509999999998</v>
      </c>
      <c r="P155" s="470">
        <f t="shared" si="54"/>
        <v>5720.42</v>
      </c>
      <c r="Q155" s="433">
        <f t="shared" si="52"/>
        <v>565654.19400000002</v>
      </c>
      <c r="R155" s="470"/>
      <c r="U155" s="699">
        <v>1107000</v>
      </c>
      <c r="W155" s="481"/>
    </row>
    <row r="156" spans="1:23" ht="13.5" thickBot="1">
      <c r="A156" s="445" t="s">
        <v>1007</v>
      </c>
      <c r="B156" s="466" t="s">
        <v>1008</v>
      </c>
      <c r="C156" s="465" t="s">
        <v>1009</v>
      </c>
      <c r="D156" s="435" t="s">
        <v>1010</v>
      </c>
      <c r="E156" s="444">
        <f>'LICENCA PESCA'!D15/1000+'LICENCA PESCA'!D16/1000+'LICENCA PESCA'!D17/1000+'LICENCA PESCA'!D19/1000+'LICENCA PESCA'!D20/1000</f>
        <v>0</v>
      </c>
      <c r="F156" s="444">
        <f>'LICENCA PESCA'!E14/1000+'LICENCA PESCA'!E16/1000+'LICENCA PESCA'!E17/1000+'LICENCA PESCA'!E19/1000+'LICENCA PESCA'!E20/1000</f>
        <v>70000</v>
      </c>
      <c r="G156" s="444">
        <f>'LICENCA PESCA'!F14/1000+'LICENCA PESCA'!F16/1000+'LICENCA PESCA'!F17/1000+'LICENCA PESCA'!F19/1000+'LICENCA PESCA'!F20/1000</f>
        <v>0</v>
      </c>
      <c r="H156" s="444">
        <f>'LICENCA PESCA'!G14/1000+'LICENCA PESCA'!G16/1000+'LICENCA PESCA'!G17/1000+'LICENCA PESCA'!G19/1000+'LICENCA PESCA'!G20/1000</f>
        <v>0</v>
      </c>
      <c r="I156" s="444">
        <f>'LICENCA PESCA'!H14/1000+'LICENCA PESCA'!H16/1000+'LICENCA PESCA'!H17/1000+'LICENCA PESCA'!H19/1000+'LICENCA PESCA'!H20/1000</f>
        <v>95000</v>
      </c>
      <c r="J156" s="444">
        <f>'LICENCA PESCA'!I14/1000+'LICENCA PESCA'!I16/1000+'LICENCA PESCA'!I17/1000+'LICENCA PESCA'!I19/1000+'LICENCA PESCA'!I20/1000</f>
        <v>125000</v>
      </c>
      <c r="K156" s="444">
        <f>'LICENCA PESCA'!J14/1000+'LICENCA PESCA'!J16/1000+'LICENCA PESCA'!J17/1000+'LICENCA PESCA'!J19/1000+'LICENCA PESCA'!J20/1000</f>
        <v>0</v>
      </c>
      <c r="L156" s="444">
        <f>'LICENCA PESCA'!K14/1000+'LICENCA PESCA'!K16/1000+'LICENCA PESCA'!K17/1000+'LICENCA PESCA'!K19/1000+'LICENCA PESCA'!K20/1000</f>
        <v>120000</v>
      </c>
      <c r="M156" s="444">
        <f>'LICENCA PESCA'!L14/1000+'LICENCA PESCA'!L16/1000+'LICENCA PESCA'!L17/1000+'LICENCA PESCA'!L19/1000+'LICENCA PESCA'!L20/1000</f>
        <v>0</v>
      </c>
      <c r="N156" s="444">
        <f>'LICENCA PESCA'!M14/1000+'LICENCA PESCA'!M16/1000+'LICENCA PESCA'!M17/1000+'LICENCA PESCA'!M19/1000+'LICENCA PESCA'!M20/1000</f>
        <v>0</v>
      </c>
      <c r="O156" s="444">
        <f>'LICENCA PESCA'!N14/1000+'LICENCA PESCA'!N16/1000+'LICENCA PESCA'!N17/1000+'LICENCA PESCA'!N19/1000+'LICENCA PESCA'!N20/1000</f>
        <v>0</v>
      </c>
      <c r="P156" s="444">
        <f>'LICENCA PESCA'!O14/1000+'LICENCA PESCA'!O16/1000+'LICENCA PESCA'!O17/1000+'LICENCA PESCA'!O19/1000+'LICENCA PESCA'!O20/1000</f>
        <v>0</v>
      </c>
      <c r="Q156" s="433">
        <f t="shared" si="52"/>
        <v>410000</v>
      </c>
      <c r="R156" s="444"/>
      <c r="U156" s="699">
        <v>1000000</v>
      </c>
      <c r="W156" s="481"/>
    </row>
    <row r="157" spans="1:23" ht="13.5" thickBot="1">
      <c r="A157" s="445" t="s">
        <v>1011</v>
      </c>
      <c r="B157" s="426"/>
      <c r="C157" s="443" t="s">
        <v>1012</v>
      </c>
      <c r="D157" s="435" t="s">
        <v>1013</v>
      </c>
      <c r="E157" s="444">
        <f>+'DGCI '!C83</f>
        <v>0</v>
      </c>
      <c r="F157" s="444">
        <f>+'DGCI '!D83</f>
        <v>0</v>
      </c>
      <c r="G157" s="444">
        <f>+'DGCI '!E83</f>
        <v>0</v>
      </c>
      <c r="H157" s="444">
        <f>+'DGCI '!F83</f>
        <v>0</v>
      </c>
      <c r="I157" s="444">
        <f>+'DGCI '!G83</f>
        <v>0</v>
      </c>
      <c r="J157" s="444">
        <f>+'DGCI '!H83</f>
        <v>0</v>
      </c>
      <c r="K157" s="444">
        <f>+'DGCI '!J83</f>
        <v>726</v>
      </c>
      <c r="L157" s="444">
        <f>+'DGCI '!K83</f>
        <v>0</v>
      </c>
      <c r="M157" s="444">
        <f>+'DGCI '!L83</f>
        <v>0</v>
      </c>
      <c r="N157" s="444">
        <f>+'DGCI '!M83</f>
        <v>0</v>
      </c>
      <c r="O157" s="444">
        <f>+'DGCI '!N83</f>
        <v>0</v>
      </c>
      <c r="P157" s="444">
        <f>+'DGCI '!O83</f>
        <v>0</v>
      </c>
      <c r="Q157" s="433">
        <f t="shared" si="52"/>
        <v>726</v>
      </c>
      <c r="R157" s="444"/>
      <c r="U157" s="699">
        <v>0</v>
      </c>
      <c r="W157" s="481"/>
    </row>
    <row r="158" spans="1:23" ht="13.5" thickBot="1">
      <c r="A158" s="445" t="s">
        <v>1014</v>
      </c>
      <c r="B158" s="426"/>
      <c r="C158" s="434" t="s">
        <v>1015</v>
      </c>
      <c r="D158" s="435" t="s">
        <v>1016</v>
      </c>
      <c r="E158" s="444">
        <f t="shared" ref="E158:J158" si="55">SUMIF(E159:E162,"&lt;&gt;0")</f>
        <v>3663.337</v>
      </c>
      <c r="F158" s="444">
        <f t="shared" si="55"/>
        <v>7067.4510000000009</v>
      </c>
      <c r="G158" s="444">
        <f t="shared" si="55"/>
        <v>1484</v>
      </c>
      <c r="H158" s="444">
        <f t="shared" si="55"/>
        <v>7468.2060000000001</v>
      </c>
      <c r="I158" s="444">
        <f t="shared" si="55"/>
        <v>97305.641000000003</v>
      </c>
      <c r="J158" s="444">
        <f t="shared" si="55"/>
        <v>7272.75</v>
      </c>
      <c r="K158" s="444">
        <f t="shared" ref="K158:P158" si="56">SUMIF(K159:K162,"&lt;&gt;0")</f>
        <v>7348.4699999999993</v>
      </c>
      <c r="L158" s="444">
        <f t="shared" si="56"/>
        <v>5938.0410000000002</v>
      </c>
      <c r="M158" s="444">
        <f t="shared" si="56"/>
        <v>2841.8780000000002</v>
      </c>
      <c r="N158" s="444">
        <f t="shared" si="56"/>
        <v>6180.8490000000002</v>
      </c>
      <c r="O158" s="444">
        <f t="shared" si="56"/>
        <v>2637.1509999999998</v>
      </c>
      <c r="P158" s="444">
        <f t="shared" si="56"/>
        <v>5720.42</v>
      </c>
      <c r="Q158" s="433">
        <f t="shared" si="52"/>
        <v>154928.19400000002</v>
      </c>
      <c r="R158" s="444"/>
      <c r="U158" s="699">
        <v>107000</v>
      </c>
      <c r="W158" s="481"/>
    </row>
    <row r="159" spans="1:23" ht="13.5" thickBot="1">
      <c r="A159" s="445" t="s">
        <v>1017</v>
      </c>
      <c r="B159" s="426" t="s">
        <v>1007</v>
      </c>
      <c r="C159" s="446" t="s">
        <v>1452</v>
      </c>
      <c r="D159" s="449" t="s">
        <v>1018</v>
      </c>
      <c r="E159" s="452">
        <f>+'DGCI '!C79</f>
        <v>0</v>
      </c>
      <c r="F159" s="452">
        <f>+'DGCI '!D79</f>
        <v>0</v>
      </c>
      <c r="G159" s="452">
        <f>+'DGCI '!E79</f>
        <v>1484</v>
      </c>
      <c r="H159" s="452">
        <f>+'DGCI '!F79</f>
        <v>705</v>
      </c>
      <c r="I159" s="452">
        <f>+'DGCI '!G79</f>
        <v>0</v>
      </c>
      <c r="J159" s="452">
        <f>+'DGCI '!H79</f>
        <v>0</v>
      </c>
      <c r="K159" s="452">
        <f>+'DGCI '!J79</f>
        <v>0</v>
      </c>
      <c r="L159" s="452">
        <f>+'DGCI '!K79</f>
        <v>0</v>
      </c>
      <c r="M159" s="452">
        <f>+'DGCI '!L79</f>
        <v>0</v>
      </c>
      <c r="N159" s="452">
        <f>+'DGCI '!M79</f>
        <v>0</v>
      </c>
      <c r="O159" s="452">
        <f>+'DGCI '!N79</f>
        <v>197.46299999999999</v>
      </c>
      <c r="P159" s="452">
        <f>+'DGCI '!O79</f>
        <v>42.225000000000001</v>
      </c>
      <c r="Q159" s="433">
        <f t="shared" si="52"/>
        <v>2428.6880000000001</v>
      </c>
      <c r="R159" s="452">
        <v>0</v>
      </c>
      <c r="U159" s="699">
        <v>0</v>
      </c>
      <c r="W159" s="481"/>
    </row>
    <row r="160" spans="1:23" ht="13.5" thickBot="1">
      <c r="A160" s="426"/>
      <c r="B160" s="426" t="s">
        <v>1011</v>
      </c>
      <c r="C160" s="446" t="s">
        <v>1454</v>
      </c>
      <c r="D160" s="449" t="s">
        <v>1019</v>
      </c>
      <c r="E160" s="452">
        <f>+'DGCI '!C85</f>
        <v>0</v>
      </c>
      <c r="F160" s="452">
        <f>+'DGCI '!D85</f>
        <v>0</v>
      </c>
      <c r="G160" s="452">
        <f>+'DGCI '!E85</f>
        <v>0</v>
      </c>
      <c r="H160" s="452">
        <f>+'DGCI '!F85</f>
        <v>0</v>
      </c>
      <c r="I160" s="452">
        <f>+'DGCI '!G85</f>
        <v>0</v>
      </c>
      <c r="J160" s="452">
        <f>+'DGCI '!H85</f>
        <v>0</v>
      </c>
      <c r="K160" s="452">
        <f>+'DGCI '!J85</f>
        <v>0</v>
      </c>
      <c r="L160" s="452">
        <f>+'DGCI '!K85</f>
        <v>0</v>
      </c>
      <c r="M160" s="452">
        <f>+'DGCI '!L85</f>
        <v>0</v>
      </c>
      <c r="N160" s="452">
        <f>+'DGCI '!M85</f>
        <v>641.303</v>
      </c>
      <c r="O160" s="452">
        <f>+'DGCI '!N85</f>
        <v>98.837999999999994</v>
      </c>
      <c r="P160" s="452">
        <f>+'DGCI '!O85</f>
        <v>1114.518</v>
      </c>
      <c r="Q160" s="433">
        <f t="shared" si="52"/>
        <v>1854.6590000000001</v>
      </c>
      <c r="R160" s="452">
        <v>0</v>
      </c>
      <c r="U160" s="699">
        <v>0</v>
      </c>
      <c r="W160" s="481"/>
    </row>
    <row r="161" spans="1:23" ht="15.75" thickBot="1">
      <c r="A161" s="436"/>
      <c r="B161" s="426" t="s">
        <v>1014</v>
      </c>
      <c r="C161" s="450" t="s">
        <v>1455</v>
      </c>
      <c r="D161" s="449" t="s">
        <v>1020</v>
      </c>
      <c r="E161" s="452">
        <f>+'DGCI '!C84</f>
        <v>0</v>
      </c>
      <c r="F161" s="452">
        <f>+'DGCI '!D84</f>
        <v>0</v>
      </c>
      <c r="G161" s="452">
        <f>+'DGCI '!E84</f>
        <v>0</v>
      </c>
      <c r="H161" s="452">
        <f>+'DGCI '!F84</f>
        <v>0</v>
      </c>
      <c r="I161" s="452">
        <f>+'DGCI '!G84</f>
        <v>0</v>
      </c>
      <c r="J161" s="452">
        <f>+'DGCI '!H84</f>
        <v>0</v>
      </c>
      <c r="K161" s="452">
        <f>+'DGCI '!J84</f>
        <v>0</v>
      </c>
      <c r="L161" s="452">
        <f>+'DGCI '!K84</f>
        <v>0</v>
      </c>
      <c r="M161" s="452">
        <f>+'DGCI '!L84</f>
        <v>0</v>
      </c>
      <c r="N161" s="452">
        <f>+'DGCI '!M84+DGA!L33/1000</f>
        <v>0</v>
      </c>
      <c r="O161" s="452">
        <f>+DGA!M33/1000+'DGCI '!N84</f>
        <v>0</v>
      </c>
      <c r="P161" s="452">
        <f>+'DGCI '!O84</f>
        <v>0</v>
      </c>
      <c r="Q161" s="433">
        <f t="shared" si="52"/>
        <v>0</v>
      </c>
      <c r="R161" s="452">
        <v>0</v>
      </c>
      <c r="U161" s="699">
        <f>SUM(I161:Q161)</f>
        <v>0</v>
      </c>
      <c r="W161" s="481"/>
    </row>
    <row r="162" spans="1:23" ht="13.5" thickBot="1">
      <c r="A162" s="426"/>
      <c r="B162" s="426" t="s">
        <v>1017</v>
      </c>
      <c r="C162" s="453" t="s">
        <v>1456</v>
      </c>
      <c r="D162" s="471" t="s">
        <v>1021</v>
      </c>
      <c r="E162" s="452">
        <f>+(DGA!C28+DGA!C31)/1000+'DGCI '!C78+'DGCI '!C80+'DGCI '!C81+'DGCI '!C82</f>
        <v>3663.337</v>
      </c>
      <c r="F162" s="452">
        <f>+(DGA!D28+DGA!D31)/1000+'DGCI '!D78+'DGCI '!D80+'DGCI '!D81+'DGCI '!D82</f>
        <v>7067.4510000000009</v>
      </c>
      <c r="G162" s="452">
        <f>+(DGA!E28+DGA!E31)/1000+'DGCI '!E78+'DGCI '!E80+'DGCI '!E81+'DGCI '!E82</f>
        <v>0</v>
      </c>
      <c r="H162" s="452">
        <f>+(DGA!F28+DGA!F31)/1000+'DGCI '!F78+'DGCI '!F80+'DGCI '!F81+'DGCI '!F82</f>
        <v>6763.2060000000001</v>
      </c>
      <c r="I162" s="452">
        <f>+(DGA!G28+DGA!G31)/1000+'DGCI '!G78+'DGCI '!G80+'DGCI '!G81+'DGCI '!G82</f>
        <v>97305.641000000003</v>
      </c>
      <c r="J162" s="452">
        <f>+(DGA!H28+DGA!H31)/1000+'DGCI '!H78+'DGCI '!H80+'DGCI '!H81+'DGCI '!H82</f>
        <v>7272.75</v>
      </c>
      <c r="K162" s="452">
        <f>+(DGA!I28+DGA!I31)/1000+'DGCI '!J78+'DGCI '!J80+'DGCI '!J81+'DGCI '!J82</f>
        <v>7348.4699999999993</v>
      </c>
      <c r="L162" s="452">
        <f>+(DGA!J28+DGA!J31)/1000+'DGCI '!K78+'DGCI '!K80+'DGCI '!K81+'DGCI '!K82</f>
        <v>5938.0410000000002</v>
      </c>
      <c r="M162" s="452">
        <f>+(DGA!K28+DGA!K31)/1000+'DGCI '!L78+'DGCI '!L80+'DGCI '!L81+'DGCI '!L82</f>
        <v>2841.8780000000002</v>
      </c>
      <c r="N162" s="452">
        <f>+(DGA!L28+DGA!L31)/1000+'DGCI '!M78+'DGCI '!M80+'DGCI '!M81+'DGCI '!M82</f>
        <v>5539.5460000000003</v>
      </c>
      <c r="O162" s="452">
        <f>+(DGA!M28+DGA!M31)/1000+'DGCI '!N78+'DGCI '!N80+'DGCI '!N81+'DGCI '!N82</f>
        <v>2340.85</v>
      </c>
      <c r="P162" s="452">
        <f>+(DGA!N28+DGA!N31)/1000+'DGCI '!O78+'DGCI '!O80+'DGCI '!O81+'DGCI '!O82</f>
        <v>4563.6769999999997</v>
      </c>
      <c r="Q162" s="433">
        <f t="shared" si="52"/>
        <v>150644.84700000001</v>
      </c>
      <c r="R162" s="452"/>
      <c r="U162" s="699">
        <v>0</v>
      </c>
      <c r="W162" s="481"/>
    </row>
    <row r="163" spans="1:23" ht="14.25" customHeight="1" thickBot="1">
      <c r="A163" s="430"/>
      <c r="B163" s="426"/>
      <c r="C163" s="434"/>
      <c r="D163" s="435"/>
      <c r="E163" s="444"/>
      <c r="F163" s="444"/>
      <c r="G163" s="444"/>
      <c r="H163" s="444"/>
      <c r="I163" s="444"/>
      <c r="J163" s="444"/>
      <c r="K163" s="444"/>
      <c r="L163" s="444"/>
      <c r="M163" s="444"/>
      <c r="N163" s="444"/>
      <c r="O163" s="444"/>
      <c r="P163" s="444"/>
      <c r="Q163" s="433">
        <f t="shared" si="52"/>
        <v>0</v>
      </c>
      <c r="R163" s="444"/>
      <c r="U163" s="699">
        <f>SUM(I163:Q163)</f>
        <v>0</v>
      </c>
      <c r="W163" s="481"/>
    </row>
    <row r="164" spans="1:23" ht="15.75" thickBot="1">
      <c r="A164" s="430"/>
      <c r="B164" s="426"/>
      <c r="C164" s="437" t="s">
        <v>14</v>
      </c>
      <c r="D164" s="438" t="s">
        <v>1022</v>
      </c>
      <c r="E164" s="439">
        <f>+E166+E169+E173+E176+E180+E187+E196</f>
        <v>0</v>
      </c>
      <c r="F164" s="439">
        <f>+F166+F169+F173+F176+F180+F196</f>
        <v>0</v>
      </c>
      <c r="G164" s="439">
        <f>+G166+G169+G173+G176+G180+G196</f>
        <v>5639113.0300000003</v>
      </c>
      <c r="H164" s="439">
        <f>+H166+H169+H173+H176+H180+H196</f>
        <v>0</v>
      </c>
      <c r="I164" s="439">
        <f>+I166+I169+I173+I176+I180+I196</f>
        <v>0</v>
      </c>
      <c r="J164" s="439">
        <f>+J166+J169+J173+J176+J180+J196</f>
        <v>0</v>
      </c>
      <c r="K164" s="439">
        <f t="shared" ref="K164:P164" si="57">+K166+K169+K173+K176+K180+K196</f>
        <v>0</v>
      </c>
      <c r="L164" s="439">
        <f t="shared" si="57"/>
        <v>0</v>
      </c>
      <c r="M164" s="439">
        <f t="shared" si="57"/>
        <v>0</v>
      </c>
      <c r="N164" s="439">
        <f t="shared" si="57"/>
        <v>0</v>
      </c>
      <c r="O164" s="439">
        <f t="shared" si="57"/>
        <v>0</v>
      </c>
      <c r="P164" s="439">
        <f t="shared" si="57"/>
        <v>0</v>
      </c>
      <c r="Q164" s="433">
        <f t="shared" si="52"/>
        <v>5639113.0300000003</v>
      </c>
      <c r="R164" s="439"/>
      <c r="U164" s="699">
        <v>1000000</v>
      </c>
      <c r="W164" s="481"/>
    </row>
    <row r="165" spans="1:23" ht="5.0999999999999996" customHeight="1" thickBot="1">
      <c r="A165" s="426" t="s">
        <v>1023</v>
      </c>
      <c r="B165" s="426"/>
      <c r="C165" s="434"/>
      <c r="D165" s="435"/>
      <c r="E165" s="444"/>
      <c r="F165" s="444"/>
      <c r="G165" s="444"/>
      <c r="H165" s="444"/>
      <c r="I165" s="444"/>
      <c r="J165" s="444"/>
      <c r="K165" s="444"/>
      <c r="L165" s="444"/>
      <c r="M165" s="444"/>
      <c r="N165" s="444"/>
      <c r="O165" s="444"/>
      <c r="P165" s="444"/>
      <c r="Q165" s="433">
        <f t="shared" si="52"/>
        <v>0</v>
      </c>
      <c r="R165" s="444">
        <v>0</v>
      </c>
      <c r="U165" s="699">
        <f t="shared" ref="U165:U175" si="58">SUM(I165:Q165)</f>
        <v>0</v>
      </c>
      <c r="W165" s="481"/>
    </row>
    <row r="166" spans="1:23" ht="26.25" thickBot="1">
      <c r="A166" s="430"/>
      <c r="B166" s="426"/>
      <c r="C166" s="472" t="s">
        <v>1024</v>
      </c>
      <c r="D166" s="473" t="s">
        <v>1025</v>
      </c>
      <c r="E166" s="474">
        <f t="shared" ref="E166:P166" si="59">+E167</f>
        <v>0</v>
      </c>
      <c r="F166" s="474">
        <f t="shared" si="59"/>
        <v>0</v>
      </c>
      <c r="G166" s="474">
        <f t="shared" si="59"/>
        <v>0</v>
      </c>
      <c r="H166" s="474">
        <f t="shared" si="59"/>
        <v>0</v>
      </c>
      <c r="I166" s="474">
        <f t="shared" si="59"/>
        <v>0</v>
      </c>
      <c r="J166" s="474">
        <f t="shared" si="59"/>
        <v>0</v>
      </c>
      <c r="K166" s="474">
        <f t="shared" si="59"/>
        <v>0</v>
      </c>
      <c r="L166" s="474">
        <f t="shared" si="59"/>
        <v>0</v>
      </c>
      <c r="M166" s="474">
        <f t="shared" si="59"/>
        <v>0</v>
      </c>
      <c r="N166" s="474">
        <f t="shared" si="59"/>
        <v>0</v>
      </c>
      <c r="O166" s="474">
        <f t="shared" si="59"/>
        <v>0</v>
      </c>
      <c r="P166" s="474">
        <f t="shared" si="59"/>
        <v>0</v>
      </c>
      <c r="Q166" s="433">
        <f t="shared" si="52"/>
        <v>0</v>
      </c>
      <c r="R166" s="474">
        <v>0</v>
      </c>
      <c r="U166" s="699">
        <f t="shared" si="58"/>
        <v>0</v>
      </c>
      <c r="W166" s="481"/>
    </row>
    <row r="167" spans="1:23" ht="15.75" thickBot="1">
      <c r="A167" s="430"/>
      <c r="B167" s="426" t="s">
        <v>1023</v>
      </c>
      <c r="C167" s="475" t="s">
        <v>18</v>
      </c>
      <c r="D167" s="435" t="s">
        <v>1026</v>
      </c>
      <c r="E167" s="444">
        <f t="shared" ref="E167:P167" si="60">SUMIF(E168,"&lt;&gt;0")</f>
        <v>0</v>
      </c>
      <c r="F167" s="444">
        <f t="shared" si="60"/>
        <v>0</v>
      </c>
      <c r="G167" s="444">
        <f t="shared" si="60"/>
        <v>0</v>
      </c>
      <c r="H167" s="444">
        <f t="shared" si="60"/>
        <v>0</v>
      </c>
      <c r="I167" s="444">
        <f t="shared" si="60"/>
        <v>0</v>
      </c>
      <c r="J167" s="444">
        <f t="shared" si="60"/>
        <v>0</v>
      </c>
      <c r="K167" s="444">
        <f t="shared" si="60"/>
        <v>0</v>
      </c>
      <c r="L167" s="444">
        <f t="shared" si="60"/>
        <v>0</v>
      </c>
      <c r="M167" s="444">
        <f t="shared" si="60"/>
        <v>0</v>
      </c>
      <c r="N167" s="444">
        <f t="shared" si="60"/>
        <v>0</v>
      </c>
      <c r="O167" s="444">
        <f t="shared" si="60"/>
        <v>0</v>
      </c>
      <c r="P167" s="444">
        <f t="shared" si="60"/>
        <v>0</v>
      </c>
      <c r="Q167" s="433">
        <f t="shared" si="52"/>
        <v>0</v>
      </c>
      <c r="R167" s="444">
        <v>0</v>
      </c>
      <c r="U167" s="699">
        <f t="shared" si="58"/>
        <v>0</v>
      </c>
      <c r="W167" s="481"/>
    </row>
    <row r="168" spans="1:23" ht="12.75" customHeight="1" thickBot="1">
      <c r="A168" s="426" t="s">
        <v>1027</v>
      </c>
      <c r="B168" s="426"/>
      <c r="C168" s="434"/>
      <c r="D168" s="547" t="s">
        <v>576</v>
      </c>
      <c r="E168" s="444">
        <f>+'DGCI '!C90</f>
        <v>0</v>
      </c>
      <c r="F168" s="444"/>
      <c r="G168" s="444"/>
      <c r="H168" s="444"/>
      <c r="I168" s="444"/>
      <c r="J168" s="444"/>
      <c r="K168" s="444"/>
      <c r="L168" s="444"/>
      <c r="M168" s="444"/>
      <c r="N168" s="444"/>
      <c r="O168" s="444"/>
      <c r="P168" s="444"/>
      <c r="Q168" s="433">
        <f t="shared" si="52"/>
        <v>0</v>
      </c>
      <c r="R168" s="444">
        <v>0</v>
      </c>
      <c r="U168" s="699">
        <f t="shared" si="58"/>
        <v>0</v>
      </c>
      <c r="W168" s="481"/>
    </row>
    <row r="169" spans="1:23" ht="13.5" thickBot="1">
      <c r="A169" s="426"/>
      <c r="B169" s="426"/>
      <c r="C169" s="472" t="s">
        <v>1028</v>
      </c>
      <c r="D169" s="473" t="s">
        <v>1029</v>
      </c>
      <c r="E169" s="474">
        <f>+E170+E171+E172</f>
        <v>0</v>
      </c>
      <c r="F169" s="474">
        <f>+F170+F171</f>
        <v>0</v>
      </c>
      <c r="G169" s="474">
        <f>+G170+G171</f>
        <v>5000000</v>
      </c>
      <c r="H169" s="474">
        <f>+H170+H171</f>
        <v>0</v>
      </c>
      <c r="I169" s="474">
        <f>+I170+I171</f>
        <v>0</v>
      </c>
      <c r="J169" s="474">
        <f>+J170+J171</f>
        <v>0</v>
      </c>
      <c r="K169" s="474">
        <f t="shared" ref="K169:P169" si="61">+K170+K171</f>
        <v>0</v>
      </c>
      <c r="L169" s="474">
        <f t="shared" si="61"/>
        <v>0</v>
      </c>
      <c r="M169" s="474">
        <f t="shared" si="61"/>
        <v>0</v>
      </c>
      <c r="N169" s="474">
        <f t="shared" si="61"/>
        <v>0</v>
      </c>
      <c r="O169" s="474">
        <f t="shared" si="61"/>
        <v>0</v>
      </c>
      <c r="P169" s="474">
        <f t="shared" si="61"/>
        <v>0</v>
      </c>
      <c r="Q169" s="433">
        <f t="shared" si="52"/>
        <v>5000000</v>
      </c>
      <c r="R169" s="474">
        <v>0</v>
      </c>
      <c r="U169" s="699">
        <f t="shared" si="58"/>
        <v>5000000</v>
      </c>
      <c r="W169" s="481"/>
    </row>
    <row r="170" spans="1:23" ht="15.75" thickBot="1">
      <c r="A170" s="430"/>
      <c r="B170" s="426" t="s">
        <v>1027</v>
      </c>
      <c r="C170" s="475" t="s">
        <v>1030</v>
      </c>
      <c r="D170" s="1462" t="s">
        <v>285</v>
      </c>
      <c r="E170" s="1492">
        <f>+Dividendos!C6/1000</f>
        <v>0</v>
      </c>
      <c r="F170" s="1492">
        <f>+Dividendos!D6/1000</f>
        <v>0</v>
      </c>
      <c r="G170" s="1492">
        <f>+Dividendos!E6/1000</f>
        <v>5000000</v>
      </c>
      <c r="H170" s="1492">
        <f>+Dividendos!F6/1000</f>
        <v>0</v>
      </c>
      <c r="I170" s="1492">
        <f>+Dividendos!G6/1000</f>
        <v>0</v>
      </c>
      <c r="J170" s="1492">
        <f>+Dividendos!H6/1000</f>
        <v>0</v>
      </c>
      <c r="K170" s="1492">
        <f>+Dividendos!I6/1000</f>
        <v>0</v>
      </c>
      <c r="L170" s="1492">
        <f>+Dividendos!J6/1000</f>
        <v>0</v>
      </c>
      <c r="M170" s="1492">
        <f>+Dividendos!K6/1000</f>
        <v>0</v>
      </c>
      <c r="N170" s="1492">
        <f>+Dividendos!L6/1000</f>
        <v>0</v>
      </c>
      <c r="O170" s="1492">
        <f>+Dividendos!M6/1000</f>
        <v>0</v>
      </c>
      <c r="P170" s="1492">
        <f>+Dividendos!N6/1000</f>
        <v>0</v>
      </c>
      <c r="Q170" s="433">
        <f t="shared" si="52"/>
        <v>5000000</v>
      </c>
      <c r="R170" s="444">
        <v>0</v>
      </c>
      <c r="U170" s="699">
        <f t="shared" si="58"/>
        <v>5000000</v>
      </c>
      <c r="W170" s="481"/>
    </row>
    <row r="171" spans="1:23" ht="15.75" thickBot="1">
      <c r="A171" s="430"/>
      <c r="B171" s="426"/>
      <c r="C171" s="475" t="s">
        <v>1031</v>
      </c>
      <c r="D171" s="435" t="s">
        <v>1032</v>
      </c>
      <c r="E171" s="444"/>
      <c r="F171" s="444">
        <f>SUMIF(F172:F173,"&lt;&gt;0")</f>
        <v>0</v>
      </c>
      <c r="G171" s="444">
        <f>SUMIF(G172:G173,"&lt;&gt;0")</f>
        <v>0</v>
      </c>
      <c r="H171" s="444">
        <f>SUMIF(H172:H173,"&lt;&gt;0")</f>
        <v>0</v>
      </c>
      <c r="I171" s="444">
        <f>SUMIF(I172:I173,"&lt;&gt;0")</f>
        <v>0</v>
      </c>
      <c r="J171" s="444">
        <f>SUMIF(J172:J173,"&lt;&gt;0")</f>
        <v>0</v>
      </c>
      <c r="K171" s="444">
        <f t="shared" ref="K171:P171" si="62">SUMIF(K172:K173,"&lt;&gt;0")</f>
        <v>0</v>
      </c>
      <c r="L171" s="444">
        <f t="shared" si="62"/>
        <v>0</v>
      </c>
      <c r="M171" s="444">
        <f t="shared" si="62"/>
        <v>0</v>
      </c>
      <c r="N171" s="444">
        <f t="shared" si="62"/>
        <v>0</v>
      </c>
      <c r="O171" s="444">
        <f t="shared" si="62"/>
        <v>0</v>
      </c>
      <c r="P171" s="444">
        <f t="shared" si="62"/>
        <v>0</v>
      </c>
      <c r="Q171" s="433">
        <f t="shared" si="52"/>
        <v>0</v>
      </c>
      <c r="R171" s="444">
        <v>0</v>
      </c>
      <c r="U171" s="699">
        <f t="shared" si="58"/>
        <v>0</v>
      </c>
      <c r="W171" s="481"/>
    </row>
    <row r="172" spans="1:23" ht="13.5" customHeight="1" thickBot="1">
      <c r="A172" s="466" t="s">
        <v>1033</v>
      </c>
      <c r="B172" s="426"/>
      <c r="C172" s="434"/>
      <c r="D172" s="435"/>
      <c r="E172" s="444"/>
      <c r="F172" s="444"/>
      <c r="G172" s="444"/>
      <c r="H172" s="444"/>
      <c r="I172" s="444"/>
      <c r="J172" s="444"/>
      <c r="K172" s="444"/>
      <c r="L172" s="444"/>
      <c r="M172" s="444"/>
      <c r="N172" s="444"/>
      <c r="O172" s="444"/>
      <c r="P172" s="444"/>
      <c r="Q172" s="433">
        <f t="shared" si="52"/>
        <v>0</v>
      </c>
      <c r="R172" s="444">
        <v>0</v>
      </c>
      <c r="U172" s="699">
        <f t="shared" si="58"/>
        <v>0</v>
      </c>
      <c r="W172" s="481"/>
    </row>
    <row r="173" spans="1:23" ht="26.25" thickBot="1">
      <c r="A173" s="430"/>
      <c r="B173" s="426"/>
      <c r="C173" s="476" t="s">
        <v>1034</v>
      </c>
      <c r="D173" s="473" t="s">
        <v>1035</v>
      </c>
      <c r="E173" s="474">
        <f>+E174</f>
        <v>0</v>
      </c>
      <c r="F173" s="474">
        <v>0</v>
      </c>
      <c r="G173" s="474">
        <v>0</v>
      </c>
      <c r="H173" s="474">
        <v>0</v>
      </c>
      <c r="I173" s="474">
        <v>0</v>
      </c>
      <c r="J173" s="474">
        <v>0</v>
      </c>
      <c r="K173" s="474">
        <v>0</v>
      </c>
      <c r="L173" s="474">
        <v>0</v>
      </c>
      <c r="M173" s="474">
        <v>0</v>
      </c>
      <c r="N173" s="474">
        <v>0</v>
      </c>
      <c r="O173" s="474">
        <v>0</v>
      </c>
      <c r="P173" s="474">
        <v>0</v>
      </c>
      <c r="Q173" s="433">
        <f t="shared" si="52"/>
        <v>0</v>
      </c>
      <c r="R173" s="474">
        <v>0</v>
      </c>
      <c r="U173" s="699">
        <f t="shared" si="58"/>
        <v>0</v>
      </c>
      <c r="W173" s="481"/>
    </row>
    <row r="174" spans="1:23" ht="13.5" thickBot="1">
      <c r="A174" s="426" t="s">
        <v>1036</v>
      </c>
      <c r="B174" s="466" t="s">
        <v>1033</v>
      </c>
      <c r="C174" s="475" t="s">
        <v>1037</v>
      </c>
      <c r="D174" s="435" t="s">
        <v>1038</v>
      </c>
      <c r="E174" s="444"/>
      <c r="F174" s="444"/>
      <c r="G174" s="444"/>
      <c r="H174" s="444"/>
      <c r="I174" s="444"/>
      <c r="J174" s="444"/>
      <c r="K174" s="444"/>
      <c r="L174" s="444"/>
      <c r="M174" s="444"/>
      <c r="N174" s="444"/>
      <c r="O174" s="444"/>
      <c r="P174" s="444"/>
      <c r="Q174" s="433">
        <f t="shared" si="52"/>
        <v>0</v>
      </c>
      <c r="R174" s="444">
        <v>0</v>
      </c>
      <c r="U174" s="699">
        <f t="shared" si="58"/>
        <v>0</v>
      </c>
      <c r="W174" s="481"/>
    </row>
    <row r="175" spans="1:23" ht="9.75" customHeight="1" thickBot="1">
      <c r="A175" s="426" t="s">
        <v>1039</v>
      </c>
      <c r="B175" s="426"/>
      <c r="C175" s="434"/>
      <c r="D175" s="435"/>
      <c r="E175" s="444"/>
      <c r="F175" s="444"/>
      <c r="G175" s="444"/>
      <c r="H175" s="444"/>
      <c r="I175" s="444"/>
      <c r="J175" s="444"/>
      <c r="K175" s="444"/>
      <c r="L175" s="444"/>
      <c r="M175" s="444"/>
      <c r="N175" s="444"/>
      <c r="O175" s="444"/>
      <c r="P175" s="444"/>
      <c r="Q175" s="433">
        <f t="shared" si="52"/>
        <v>0</v>
      </c>
      <c r="R175" s="444">
        <v>0</v>
      </c>
      <c r="U175" s="699">
        <f t="shared" si="58"/>
        <v>0</v>
      </c>
      <c r="W175" s="481"/>
    </row>
    <row r="176" spans="1:23" ht="13.5" thickBot="1">
      <c r="A176" s="426"/>
      <c r="B176" s="426"/>
      <c r="C176" s="477" t="s">
        <v>1040</v>
      </c>
      <c r="D176" s="441" t="s">
        <v>1041</v>
      </c>
      <c r="E176" s="451">
        <f t="shared" ref="E176:P176" si="63">SUMIF(E177,"&lt;&gt;0")</f>
        <v>0</v>
      </c>
      <c r="F176" s="451">
        <f>F177+F178</f>
        <v>0</v>
      </c>
      <c r="G176" s="451">
        <f t="shared" si="63"/>
        <v>639113.03</v>
      </c>
      <c r="H176" s="451">
        <f t="shared" si="63"/>
        <v>0</v>
      </c>
      <c r="I176" s="451">
        <f t="shared" si="63"/>
        <v>0</v>
      </c>
      <c r="J176" s="451">
        <f t="shared" si="63"/>
        <v>0</v>
      </c>
      <c r="K176" s="451">
        <f t="shared" si="63"/>
        <v>0</v>
      </c>
      <c r="L176" s="451">
        <f t="shared" si="63"/>
        <v>0</v>
      </c>
      <c r="M176" s="451">
        <f t="shared" si="63"/>
        <v>0</v>
      </c>
      <c r="N176" s="451">
        <f t="shared" si="63"/>
        <v>0</v>
      </c>
      <c r="O176" s="451">
        <f t="shared" si="63"/>
        <v>0</v>
      </c>
      <c r="P176" s="451">
        <f t="shared" si="63"/>
        <v>0</v>
      </c>
      <c r="Q176" s="433">
        <f t="shared" si="52"/>
        <v>639113.03</v>
      </c>
      <c r="R176" s="451"/>
      <c r="U176" s="699">
        <v>0</v>
      </c>
      <c r="W176" s="481"/>
    </row>
    <row r="177" spans="1:23" ht="15.75" thickBot="1">
      <c r="A177" s="430"/>
      <c r="B177" s="426" t="s">
        <v>1036</v>
      </c>
      <c r="C177" s="465" t="s">
        <v>1042</v>
      </c>
      <c r="D177" s="435" t="s">
        <v>1043</v>
      </c>
      <c r="E177" s="444">
        <f>+'Rend Diversos -Juros S P BCEAO'!C5/1000</f>
        <v>0</v>
      </c>
      <c r="F177" s="444">
        <f>+'Rend Diversos -Juros S P BCEAO'!D5/1000</f>
        <v>0</v>
      </c>
      <c r="G177" s="1492">
        <f>+'Rend Diversos -Juros S P BCEAO'!E5/1000</f>
        <v>639113.03</v>
      </c>
      <c r="H177" s="444">
        <f>+'Rend Diversos -Juros S P BCEAO'!F5/1000</f>
        <v>0</v>
      </c>
      <c r="I177" s="444">
        <f>+'Rend Diversos -Juros S P BCEAO'!G5/1000</f>
        <v>0</v>
      </c>
      <c r="J177" s="444">
        <f>+'Rend Diversos -Juros S P BCEAO'!H5/1000</f>
        <v>0</v>
      </c>
      <c r="K177" s="444">
        <f>+'Rend Diversos -Juros S P BCEAO'!I5/1000</f>
        <v>0</v>
      </c>
      <c r="L177" s="444">
        <f>+'Rend Diversos -Juros S P BCEAO'!J5/1000</f>
        <v>0</v>
      </c>
      <c r="M177" s="444">
        <f>+'Rend Diversos -Juros S P BCEAO'!K5/1000</f>
        <v>0</v>
      </c>
      <c r="N177" s="444">
        <f>+'Rend Diversos -Juros S P BCEAO'!L5/1000</f>
        <v>0</v>
      </c>
      <c r="O177" s="444">
        <f>+'Rend Diversos -Juros S P BCEAO'!M5/1000</f>
        <v>0</v>
      </c>
      <c r="P177" s="444">
        <f>+'Rend Diversos -Juros S P BCEAO'!N5/1000</f>
        <v>0</v>
      </c>
      <c r="Q177" s="433">
        <f t="shared" si="52"/>
        <v>639113.03</v>
      </c>
      <c r="R177" s="444"/>
      <c r="U177" s="699">
        <v>0</v>
      </c>
      <c r="W177" s="481"/>
    </row>
    <row r="178" spans="1:23" ht="13.5" thickBot="1">
      <c r="A178" s="426"/>
      <c r="B178" s="426" t="s">
        <v>1039</v>
      </c>
      <c r="C178" s="434" t="s">
        <v>1044</v>
      </c>
      <c r="D178" s="435" t="s">
        <v>1045</v>
      </c>
      <c r="E178" s="444"/>
      <c r="F178" s="444"/>
      <c r="G178" s="444"/>
      <c r="H178" s="444"/>
      <c r="I178" s="444"/>
      <c r="J178" s="444"/>
      <c r="K178" s="444"/>
      <c r="L178" s="444"/>
      <c r="M178" s="444"/>
      <c r="N178" s="444"/>
      <c r="O178" s="444"/>
      <c r="P178" s="444"/>
      <c r="Q178" s="433">
        <f t="shared" si="52"/>
        <v>0</v>
      </c>
      <c r="R178" s="444">
        <v>0</v>
      </c>
      <c r="U178" s="699">
        <f>SUM(I178:Q178)</f>
        <v>0</v>
      </c>
      <c r="W178" s="481"/>
    </row>
    <row r="179" spans="1:23" ht="14.45" customHeight="1" thickBot="1">
      <c r="A179" s="426" t="s">
        <v>1046</v>
      </c>
      <c r="B179" s="426"/>
      <c r="C179" s="434"/>
      <c r="D179" s="435"/>
      <c r="E179" s="444">
        <f t="shared" ref="E179:J179" si="64">SUMIF(E180:E181,"&lt;&gt;0")</f>
        <v>0</v>
      </c>
      <c r="F179" s="444">
        <f t="shared" si="64"/>
        <v>0</v>
      </c>
      <c r="G179" s="444">
        <f t="shared" si="64"/>
        <v>0</v>
      </c>
      <c r="H179" s="444">
        <f t="shared" si="64"/>
        <v>0</v>
      </c>
      <c r="I179" s="444">
        <f t="shared" si="64"/>
        <v>0</v>
      </c>
      <c r="J179" s="444">
        <f t="shared" si="64"/>
        <v>0</v>
      </c>
      <c r="K179" s="444">
        <f t="shared" ref="K179:P179" si="65">SUMIF(K180:K181,"&lt;&gt;0")</f>
        <v>0</v>
      </c>
      <c r="L179" s="444">
        <f t="shared" si="65"/>
        <v>0</v>
      </c>
      <c r="M179" s="444">
        <f t="shared" si="65"/>
        <v>0</v>
      </c>
      <c r="N179" s="444">
        <f t="shared" si="65"/>
        <v>0</v>
      </c>
      <c r="O179" s="444">
        <f t="shared" si="65"/>
        <v>0</v>
      </c>
      <c r="P179" s="444">
        <f t="shared" si="65"/>
        <v>0</v>
      </c>
      <c r="Q179" s="433">
        <f t="shared" si="52"/>
        <v>0</v>
      </c>
      <c r="R179" s="444"/>
      <c r="U179" s="699">
        <f>SUM(I179:Q179)</f>
        <v>0</v>
      </c>
      <c r="W179" s="481"/>
    </row>
    <row r="180" spans="1:23" ht="13.5" thickBot="1">
      <c r="A180" s="426"/>
      <c r="B180" s="426"/>
      <c r="C180" s="477" t="s">
        <v>1047</v>
      </c>
      <c r="D180" s="441" t="s">
        <v>1050</v>
      </c>
      <c r="E180" s="451"/>
      <c r="F180" s="451"/>
      <c r="G180" s="451"/>
      <c r="H180" s="451"/>
      <c r="I180" s="451"/>
      <c r="J180" s="451"/>
      <c r="K180" s="451"/>
      <c r="L180" s="451"/>
      <c r="M180" s="451"/>
      <c r="N180" s="451"/>
      <c r="O180" s="451"/>
      <c r="P180" s="451"/>
      <c r="Q180" s="433">
        <f t="shared" si="52"/>
        <v>0</v>
      </c>
      <c r="R180" s="451">
        <v>0</v>
      </c>
      <c r="U180" s="699"/>
      <c r="W180" s="481"/>
    </row>
    <row r="181" spans="1:23" ht="13.5" thickBot="1">
      <c r="A181" s="426"/>
      <c r="B181" s="426"/>
      <c r="C181" s="475" t="s">
        <v>1051</v>
      </c>
      <c r="D181" s="435" t="s">
        <v>1052</v>
      </c>
      <c r="E181" s="444">
        <v>0</v>
      </c>
      <c r="F181" s="444">
        <v>0</v>
      </c>
      <c r="G181" s="444">
        <v>0</v>
      </c>
      <c r="H181" s="444">
        <v>0</v>
      </c>
      <c r="I181" s="444">
        <v>0</v>
      </c>
      <c r="J181" s="444">
        <v>0</v>
      </c>
      <c r="K181" s="444">
        <v>0</v>
      </c>
      <c r="L181" s="444">
        <v>0</v>
      </c>
      <c r="M181" s="444">
        <v>0</v>
      </c>
      <c r="N181" s="444">
        <v>0</v>
      </c>
      <c r="O181" s="444">
        <v>0</v>
      </c>
      <c r="P181" s="444">
        <v>0</v>
      </c>
      <c r="Q181" s="433">
        <f t="shared" si="52"/>
        <v>0</v>
      </c>
      <c r="R181" s="444">
        <v>0</v>
      </c>
      <c r="U181" s="699">
        <f>SUM(I181:Q181)</f>
        <v>0</v>
      </c>
      <c r="W181" s="481"/>
    </row>
    <row r="182" spans="1:23" ht="13.5" thickBot="1">
      <c r="A182" s="426"/>
      <c r="B182" s="426" t="s">
        <v>1046</v>
      </c>
      <c r="C182" s="475" t="s">
        <v>1053</v>
      </c>
      <c r="D182" s="435" t="s">
        <v>1055</v>
      </c>
      <c r="E182" s="444"/>
      <c r="F182" s="444"/>
      <c r="G182" s="444"/>
      <c r="H182" s="444"/>
      <c r="I182" s="444"/>
      <c r="J182" s="444"/>
      <c r="K182" s="444"/>
      <c r="L182" s="444"/>
      <c r="M182" s="444"/>
      <c r="N182" s="444"/>
      <c r="O182" s="444"/>
      <c r="P182" s="444"/>
      <c r="Q182" s="433">
        <f t="shared" si="52"/>
        <v>0</v>
      </c>
      <c r="R182" s="444">
        <v>0</v>
      </c>
      <c r="U182" s="699">
        <f>SUM(I182:Q182)</f>
        <v>0</v>
      </c>
      <c r="W182" s="481"/>
    </row>
    <row r="183" spans="1:23" ht="13.5" thickBot="1">
      <c r="A183" s="426"/>
      <c r="B183" s="426"/>
      <c r="C183" s="475" t="s">
        <v>1056</v>
      </c>
      <c r="D183" s="435" t="s">
        <v>1057</v>
      </c>
      <c r="E183" s="444">
        <f t="shared" ref="E183:J183" si="66">SUMIF(E184:E188,"&lt;&gt;0")</f>
        <v>0</v>
      </c>
      <c r="F183" s="444">
        <f t="shared" si="66"/>
        <v>0</v>
      </c>
      <c r="G183" s="444">
        <f t="shared" si="66"/>
        <v>0</v>
      </c>
      <c r="H183" s="444">
        <f t="shared" si="66"/>
        <v>0</v>
      </c>
      <c r="I183" s="444">
        <f t="shared" si="66"/>
        <v>0</v>
      </c>
      <c r="J183" s="444">
        <f t="shared" si="66"/>
        <v>0</v>
      </c>
      <c r="K183" s="444">
        <f t="shared" ref="K183:P183" si="67">SUMIF(K184:K188,"&lt;&gt;0")</f>
        <v>0</v>
      </c>
      <c r="L183" s="444">
        <f t="shared" si="67"/>
        <v>0</v>
      </c>
      <c r="M183" s="444">
        <f t="shared" si="67"/>
        <v>0</v>
      </c>
      <c r="N183" s="444">
        <f t="shared" si="67"/>
        <v>0</v>
      </c>
      <c r="O183" s="444">
        <f t="shared" si="67"/>
        <v>0</v>
      </c>
      <c r="P183" s="444">
        <f t="shared" si="67"/>
        <v>0</v>
      </c>
      <c r="Q183" s="433">
        <f t="shared" si="52"/>
        <v>0</v>
      </c>
      <c r="R183" s="444">
        <v>0</v>
      </c>
      <c r="U183" s="699">
        <f>SUM(I183:Q183)</f>
        <v>0</v>
      </c>
      <c r="W183" s="481"/>
    </row>
    <row r="184" spans="1:23" ht="15.75" thickBot="1">
      <c r="A184" s="430"/>
      <c r="B184" s="426"/>
      <c r="C184" s="475" t="s">
        <v>1058</v>
      </c>
      <c r="D184" s="435" t="s">
        <v>289</v>
      </c>
      <c r="E184" s="444">
        <v>0</v>
      </c>
      <c r="F184" s="444">
        <v>0</v>
      </c>
      <c r="G184" s="444">
        <v>0</v>
      </c>
      <c r="H184" s="444">
        <v>0</v>
      </c>
      <c r="I184" s="444">
        <v>0</v>
      </c>
      <c r="J184" s="444">
        <v>0</v>
      </c>
      <c r="K184" s="444">
        <v>0</v>
      </c>
      <c r="L184" s="444">
        <v>0</v>
      </c>
      <c r="M184" s="444">
        <v>0</v>
      </c>
      <c r="N184" s="444">
        <v>0</v>
      </c>
      <c r="O184" s="444">
        <v>0</v>
      </c>
      <c r="P184" s="444">
        <v>0</v>
      </c>
      <c r="Q184" s="433">
        <f t="shared" si="52"/>
        <v>0</v>
      </c>
      <c r="R184" s="444">
        <v>0</v>
      </c>
      <c r="U184" s="699">
        <f>SUM(I184:Q184)</f>
        <v>0</v>
      </c>
      <c r="W184" s="481"/>
    </row>
    <row r="185" spans="1:23" ht="13.5" thickBot="1">
      <c r="A185" s="426" t="s">
        <v>1059</v>
      </c>
      <c r="B185" s="426"/>
      <c r="C185" s="475" t="s">
        <v>1060</v>
      </c>
      <c r="D185" s="435" t="s">
        <v>275</v>
      </c>
      <c r="E185" s="444">
        <v>0</v>
      </c>
      <c r="F185" s="444">
        <v>0</v>
      </c>
      <c r="G185" s="444">
        <v>0</v>
      </c>
      <c r="H185" s="444">
        <v>0</v>
      </c>
      <c r="I185" s="444">
        <v>0</v>
      </c>
      <c r="J185" s="444">
        <v>0</v>
      </c>
      <c r="K185" s="444">
        <v>0</v>
      </c>
      <c r="L185" s="444">
        <v>0</v>
      </c>
      <c r="M185" s="444">
        <v>0</v>
      </c>
      <c r="N185" s="444">
        <v>0</v>
      </c>
      <c r="O185" s="444">
        <v>0</v>
      </c>
      <c r="P185" s="444">
        <v>0</v>
      </c>
      <c r="Q185" s="433">
        <f t="shared" si="52"/>
        <v>0</v>
      </c>
      <c r="R185" s="444">
        <v>0</v>
      </c>
      <c r="U185" s="699"/>
      <c r="W185" s="481"/>
    </row>
    <row r="186" spans="1:23" ht="15.75" customHeight="1" thickBot="1">
      <c r="A186" s="426" t="s">
        <v>1061</v>
      </c>
      <c r="B186" s="426"/>
      <c r="C186" s="434"/>
      <c r="D186" s="435"/>
      <c r="E186" s="444">
        <v>0</v>
      </c>
      <c r="F186" s="444">
        <v>0</v>
      </c>
      <c r="G186" s="444">
        <v>0</v>
      </c>
      <c r="H186" s="444">
        <v>0</v>
      </c>
      <c r="I186" s="444">
        <v>0</v>
      </c>
      <c r="J186" s="444">
        <v>0</v>
      </c>
      <c r="K186" s="444">
        <v>0</v>
      </c>
      <c r="L186" s="444">
        <v>0</v>
      </c>
      <c r="M186" s="444">
        <v>0</v>
      </c>
      <c r="N186" s="444">
        <v>0</v>
      </c>
      <c r="O186" s="444">
        <v>0</v>
      </c>
      <c r="P186" s="444">
        <v>0</v>
      </c>
      <c r="Q186" s="433">
        <f t="shared" si="52"/>
        <v>0</v>
      </c>
      <c r="R186" s="444"/>
      <c r="U186" s="699">
        <f t="shared" ref="U186:U195" si="68">SUM(I186:Q186)</f>
        <v>0</v>
      </c>
      <c r="W186" s="481"/>
    </row>
    <row r="187" spans="1:23" ht="13.5" thickBot="1">
      <c r="A187" s="426"/>
      <c r="B187" s="426"/>
      <c r="C187" s="477" t="s">
        <v>1062</v>
      </c>
      <c r="D187" s="441" t="s">
        <v>1063</v>
      </c>
      <c r="E187" s="451">
        <v>0</v>
      </c>
      <c r="F187" s="451">
        <v>0</v>
      </c>
      <c r="G187" s="451">
        <v>0</v>
      </c>
      <c r="H187" s="451">
        <v>0</v>
      </c>
      <c r="I187" s="451">
        <v>0</v>
      </c>
      <c r="J187" s="451">
        <v>0</v>
      </c>
      <c r="K187" s="451">
        <v>0</v>
      </c>
      <c r="L187" s="451">
        <v>0</v>
      </c>
      <c r="M187" s="451">
        <v>0</v>
      </c>
      <c r="N187" s="451">
        <v>0</v>
      </c>
      <c r="O187" s="451">
        <v>0</v>
      </c>
      <c r="P187" s="451">
        <v>0</v>
      </c>
      <c r="Q187" s="433">
        <f t="shared" si="52"/>
        <v>0</v>
      </c>
      <c r="R187" s="451">
        <v>0</v>
      </c>
      <c r="U187" s="699">
        <f t="shared" si="68"/>
        <v>0</v>
      </c>
      <c r="W187" s="481"/>
    </row>
    <row r="188" spans="1:23" ht="13.5" thickBot="1">
      <c r="A188" s="445"/>
      <c r="B188" s="426" t="s">
        <v>1059</v>
      </c>
      <c r="C188" s="475" t="s">
        <v>1064</v>
      </c>
      <c r="D188" s="435" t="s">
        <v>1065</v>
      </c>
      <c r="E188" s="444">
        <v>0</v>
      </c>
      <c r="F188" s="444">
        <v>0</v>
      </c>
      <c r="G188" s="444">
        <v>0</v>
      </c>
      <c r="H188" s="444">
        <v>0</v>
      </c>
      <c r="I188" s="444">
        <v>0</v>
      </c>
      <c r="J188" s="444">
        <v>0</v>
      </c>
      <c r="K188" s="444">
        <v>0</v>
      </c>
      <c r="L188" s="444">
        <v>0</v>
      </c>
      <c r="M188" s="444">
        <v>0</v>
      </c>
      <c r="N188" s="444">
        <v>0</v>
      </c>
      <c r="O188" s="444">
        <v>0</v>
      </c>
      <c r="P188" s="444">
        <v>0</v>
      </c>
      <c r="Q188" s="433">
        <f t="shared" si="52"/>
        <v>0</v>
      </c>
      <c r="R188" s="444">
        <v>0</v>
      </c>
      <c r="U188" s="699">
        <f t="shared" si="68"/>
        <v>0</v>
      </c>
      <c r="W188" s="481"/>
    </row>
    <row r="189" spans="1:23" ht="13.5" thickBot="1">
      <c r="A189" s="445"/>
      <c r="B189" s="426" t="s">
        <v>1061</v>
      </c>
      <c r="C189" s="475" t="s">
        <v>1066</v>
      </c>
      <c r="D189" s="435" t="s">
        <v>1067</v>
      </c>
      <c r="E189" s="444">
        <v>0</v>
      </c>
      <c r="F189" s="444">
        <v>0</v>
      </c>
      <c r="G189" s="444">
        <v>0</v>
      </c>
      <c r="H189" s="444">
        <v>0</v>
      </c>
      <c r="I189" s="444">
        <v>0</v>
      </c>
      <c r="J189" s="444">
        <v>0</v>
      </c>
      <c r="K189" s="444">
        <v>0</v>
      </c>
      <c r="L189" s="444">
        <v>0</v>
      </c>
      <c r="M189" s="444">
        <v>0</v>
      </c>
      <c r="N189" s="444">
        <v>0</v>
      </c>
      <c r="O189" s="444">
        <v>0</v>
      </c>
      <c r="P189" s="444">
        <v>0</v>
      </c>
      <c r="Q189" s="433">
        <f t="shared" si="52"/>
        <v>0</v>
      </c>
      <c r="R189" s="444">
        <v>0</v>
      </c>
      <c r="U189" s="699">
        <f t="shared" si="68"/>
        <v>0</v>
      </c>
      <c r="W189" s="481"/>
    </row>
    <row r="190" spans="1:23" ht="13.5" thickBot="1">
      <c r="A190" s="445"/>
      <c r="B190" s="426"/>
      <c r="C190" s="475" t="s">
        <v>1068</v>
      </c>
      <c r="D190" s="435" t="s">
        <v>275</v>
      </c>
      <c r="E190" s="444">
        <f>SUM(E191:E194)</f>
        <v>0</v>
      </c>
      <c r="F190" s="444">
        <f t="shared" ref="F190:O190" si="69">SUMIF(F191:F193,"&lt;&gt;0")</f>
        <v>0</v>
      </c>
      <c r="G190" s="444">
        <f t="shared" si="69"/>
        <v>0</v>
      </c>
      <c r="H190" s="444">
        <f t="shared" si="69"/>
        <v>0</v>
      </c>
      <c r="I190" s="444">
        <f t="shared" si="69"/>
        <v>0</v>
      </c>
      <c r="J190" s="444">
        <f t="shared" si="69"/>
        <v>0</v>
      </c>
      <c r="K190" s="444">
        <f t="shared" si="69"/>
        <v>0</v>
      </c>
      <c r="L190" s="444">
        <f t="shared" si="69"/>
        <v>0</v>
      </c>
      <c r="M190" s="444">
        <f t="shared" si="69"/>
        <v>0</v>
      </c>
      <c r="N190" s="444">
        <f t="shared" si="69"/>
        <v>0</v>
      </c>
      <c r="O190" s="444">
        <f t="shared" si="69"/>
        <v>0</v>
      </c>
      <c r="P190" s="444">
        <f>+P191+P192+P193</f>
        <v>0</v>
      </c>
      <c r="Q190" s="433">
        <f t="shared" si="52"/>
        <v>0</v>
      </c>
      <c r="R190" s="444">
        <v>0</v>
      </c>
      <c r="U190" s="699">
        <f t="shared" si="68"/>
        <v>0</v>
      </c>
      <c r="W190" s="481"/>
    </row>
    <row r="191" spans="1:23" ht="13.5" thickBot="1">
      <c r="A191" s="445"/>
      <c r="B191" s="426"/>
      <c r="C191" s="478" t="s">
        <v>1457</v>
      </c>
      <c r="D191" s="449" t="s">
        <v>1069</v>
      </c>
      <c r="E191" s="452">
        <v>0</v>
      </c>
      <c r="F191" s="452">
        <v>0</v>
      </c>
      <c r="G191" s="452">
        <v>0</v>
      </c>
      <c r="H191" s="452">
        <v>0</v>
      </c>
      <c r="I191" s="452">
        <v>0</v>
      </c>
      <c r="J191" s="452">
        <v>0</v>
      </c>
      <c r="K191" s="452">
        <v>0</v>
      </c>
      <c r="L191" s="452">
        <v>0</v>
      </c>
      <c r="M191" s="452">
        <v>0</v>
      </c>
      <c r="N191" s="452">
        <v>0</v>
      </c>
      <c r="O191" s="452">
        <v>0</v>
      </c>
      <c r="P191" s="452">
        <v>0</v>
      </c>
      <c r="Q191" s="433">
        <f t="shared" si="52"/>
        <v>0</v>
      </c>
      <c r="R191" s="452">
        <v>0</v>
      </c>
      <c r="U191" s="699">
        <f t="shared" si="68"/>
        <v>0</v>
      </c>
      <c r="W191" s="481"/>
    </row>
    <row r="192" spans="1:23" ht="13.5" thickBot="1">
      <c r="A192" s="426"/>
      <c r="B192" s="426"/>
      <c r="C192" s="478" t="s">
        <v>1458</v>
      </c>
      <c r="D192" s="449" t="s">
        <v>1070</v>
      </c>
      <c r="E192" s="452">
        <v>0</v>
      </c>
      <c r="F192" s="452">
        <v>0</v>
      </c>
      <c r="G192" s="452">
        <v>0</v>
      </c>
      <c r="H192" s="452">
        <v>0</v>
      </c>
      <c r="I192" s="452">
        <v>0</v>
      </c>
      <c r="J192" s="452">
        <v>0</v>
      </c>
      <c r="K192" s="452">
        <v>0</v>
      </c>
      <c r="L192" s="452">
        <v>0</v>
      </c>
      <c r="M192" s="452">
        <v>0</v>
      </c>
      <c r="N192" s="452">
        <v>0</v>
      </c>
      <c r="O192" s="452">
        <v>0</v>
      </c>
      <c r="P192" s="452">
        <v>0</v>
      </c>
      <c r="Q192" s="433">
        <f t="shared" si="52"/>
        <v>0</v>
      </c>
      <c r="R192" s="452">
        <v>0</v>
      </c>
      <c r="U192" s="699">
        <f t="shared" si="68"/>
        <v>0</v>
      </c>
      <c r="W192" s="481"/>
    </row>
    <row r="193" spans="1:23" ht="15.75" thickBot="1">
      <c r="A193" s="430"/>
      <c r="B193" s="426"/>
      <c r="C193" s="478" t="s">
        <v>1459</v>
      </c>
      <c r="D193" s="449" t="s">
        <v>1071</v>
      </c>
      <c r="E193" s="452">
        <v>0</v>
      </c>
      <c r="F193" s="452">
        <v>0</v>
      </c>
      <c r="G193" s="452">
        <f>SUMIF(G194:G197,"&lt;&gt;0")</f>
        <v>0</v>
      </c>
      <c r="H193" s="452">
        <f>SUMIF(H194:H197,"&lt;&gt;0")</f>
        <v>0</v>
      </c>
      <c r="I193" s="452">
        <f>SUMIF(I194:I197,"&lt;&gt;0")</f>
        <v>0</v>
      </c>
      <c r="J193" s="452">
        <f>SUMIF(J194:J197,"&lt;&gt;0")</f>
        <v>0</v>
      </c>
      <c r="K193" s="452">
        <f>SUMIF(K194:K197,"&lt;&gt;0")</f>
        <v>0</v>
      </c>
      <c r="L193" s="452">
        <v>0</v>
      </c>
      <c r="M193" s="452">
        <v>0</v>
      </c>
      <c r="N193" s="452">
        <v>0</v>
      </c>
      <c r="O193" s="452">
        <f>SUMIF(O194:O197,"&lt;&gt;0")</f>
        <v>0</v>
      </c>
      <c r="P193" s="452"/>
      <c r="Q193" s="433">
        <f t="shared" si="52"/>
        <v>0</v>
      </c>
      <c r="R193" s="452">
        <v>0</v>
      </c>
      <c r="U193" s="699">
        <f t="shared" si="68"/>
        <v>0</v>
      </c>
      <c r="W193" s="481"/>
    </row>
    <row r="194" spans="1:23" ht="13.5" thickBot="1">
      <c r="A194" s="426"/>
      <c r="B194" s="426"/>
      <c r="C194" s="478" t="s">
        <v>1460</v>
      </c>
      <c r="D194" s="449" t="s">
        <v>1072</v>
      </c>
      <c r="E194" s="452">
        <v>0</v>
      </c>
      <c r="F194" s="452">
        <v>0</v>
      </c>
      <c r="G194" s="452">
        <v>0</v>
      </c>
      <c r="H194" s="452">
        <v>0</v>
      </c>
      <c r="I194" s="452">
        <v>0</v>
      </c>
      <c r="J194" s="452">
        <v>0</v>
      </c>
      <c r="K194" s="452">
        <v>0</v>
      </c>
      <c r="L194" s="452">
        <v>0</v>
      </c>
      <c r="M194" s="452">
        <v>0</v>
      </c>
      <c r="N194" s="452">
        <v>0</v>
      </c>
      <c r="O194" s="452">
        <v>0</v>
      </c>
      <c r="P194" s="452">
        <v>0</v>
      </c>
      <c r="Q194" s="433">
        <f t="shared" si="52"/>
        <v>0</v>
      </c>
      <c r="R194" s="452">
        <v>0</v>
      </c>
      <c r="U194" s="699">
        <f t="shared" si="68"/>
        <v>0</v>
      </c>
      <c r="W194" s="481"/>
    </row>
    <row r="195" spans="1:23" ht="12" customHeight="1" thickBot="1">
      <c r="A195" s="426"/>
      <c r="B195" s="426"/>
      <c r="C195" s="434"/>
      <c r="D195" s="435"/>
      <c r="E195" s="444">
        <v>0</v>
      </c>
      <c r="F195" s="444">
        <v>0</v>
      </c>
      <c r="G195" s="444">
        <v>0</v>
      </c>
      <c r="H195" s="444">
        <v>0</v>
      </c>
      <c r="I195" s="444">
        <v>0</v>
      </c>
      <c r="J195" s="444">
        <v>0</v>
      </c>
      <c r="K195" s="444">
        <v>0</v>
      </c>
      <c r="L195" s="444">
        <v>0</v>
      </c>
      <c r="M195" s="444">
        <v>0</v>
      </c>
      <c r="N195" s="444">
        <v>0</v>
      </c>
      <c r="O195" s="444">
        <v>0</v>
      </c>
      <c r="P195" s="444">
        <v>0</v>
      </c>
      <c r="Q195" s="433">
        <f t="shared" si="52"/>
        <v>0</v>
      </c>
      <c r="R195" s="444"/>
      <c r="U195" s="699">
        <f t="shared" si="68"/>
        <v>0</v>
      </c>
      <c r="W195" s="481"/>
    </row>
    <row r="196" spans="1:23" ht="13.5" thickBot="1">
      <c r="A196" s="426"/>
      <c r="B196" s="426"/>
      <c r="C196" s="477" t="s">
        <v>1073</v>
      </c>
      <c r="D196" s="441" t="s">
        <v>1074</v>
      </c>
      <c r="E196" s="451">
        <f t="shared" ref="E196:P196" si="70">SUM(E197:E198)</f>
        <v>0</v>
      </c>
      <c r="F196" s="451">
        <f t="shared" si="70"/>
        <v>0</v>
      </c>
      <c r="G196" s="451">
        <f t="shared" si="70"/>
        <v>0</v>
      </c>
      <c r="H196" s="451">
        <f t="shared" si="70"/>
        <v>0</v>
      </c>
      <c r="I196" s="451">
        <f t="shared" si="70"/>
        <v>0</v>
      </c>
      <c r="J196" s="451">
        <f t="shared" si="70"/>
        <v>0</v>
      </c>
      <c r="K196" s="451">
        <f t="shared" si="70"/>
        <v>0</v>
      </c>
      <c r="L196" s="451">
        <f t="shared" si="70"/>
        <v>0</v>
      </c>
      <c r="M196" s="451">
        <f t="shared" si="70"/>
        <v>0</v>
      </c>
      <c r="N196" s="451">
        <f t="shared" si="70"/>
        <v>0</v>
      </c>
      <c r="O196" s="451">
        <f t="shared" si="70"/>
        <v>0</v>
      </c>
      <c r="P196" s="451">
        <f t="shared" si="70"/>
        <v>0</v>
      </c>
      <c r="Q196" s="433">
        <f t="shared" si="52"/>
        <v>0</v>
      </c>
      <c r="R196" s="451"/>
      <c r="U196" s="699">
        <v>1000000</v>
      </c>
      <c r="W196" s="481"/>
    </row>
    <row r="197" spans="1:23" ht="15.75" thickBot="1">
      <c r="A197" s="436"/>
      <c r="B197" s="426"/>
      <c r="C197" s="475" t="s">
        <v>1075</v>
      </c>
      <c r="D197" s="435" t="s">
        <v>1076</v>
      </c>
      <c r="E197" s="444">
        <v>0</v>
      </c>
      <c r="F197" s="444">
        <v>0</v>
      </c>
      <c r="G197" s="444">
        <v>0</v>
      </c>
      <c r="H197" s="444">
        <v>0</v>
      </c>
      <c r="I197" s="444">
        <v>0</v>
      </c>
      <c r="J197" s="444">
        <v>0</v>
      </c>
      <c r="K197" s="444">
        <v>0</v>
      </c>
      <c r="L197" s="444">
        <v>0</v>
      </c>
      <c r="M197" s="444">
        <v>0</v>
      </c>
      <c r="N197" s="444">
        <v>0</v>
      </c>
      <c r="O197" s="444">
        <v>0</v>
      </c>
      <c r="P197" s="444">
        <v>0</v>
      </c>
      <c r="Q197" s="433">
        <f t="shared" si="52"/>
        <v>0</v>
      </c>
      <c r="R197" s="444"/>
      <c r="U197" s="699">
        <f>SUM(I197:Q197)</f>
        <v>0</v>
      </c>
      <c r="W197" s="481"/>
    </row>
    <row r="198" spans="1:23" ht="13.5" thickBot="1">
      <c r="A198" s="426"/>
      <c r="B198" s="426"/>
      <c r="C198" s="475" t="s">
        <v>1077</v>
      </c>
      <c r="D198" s="435" t="s">
        <v>275</v>
      </c>
      <c r="E198" s="444">
        <f>+'LICENCAS TELEM. e OUTRAS '!C8</f>
        <v>0</v>
      </c>
      <c r="F198" s="444">
        <f>+'LICENCAS TELEM. e OUTRAS '!D10</f>
        <v>0</v>
      </c>
      <c r="G198" s="444">
        <v>0</v>
      </c>
      <c r="H198" s="444">
        <v>0</v>
      </c>
      <c r="I198" s="444">
        <v>0</v>
      </c>
      <c r="J198" s="444">
        <v>0</v>
      </c>
      <c r="K198" s="570"/>
      <c r="L198" s="444">
        <f>+'LICENCAS TELEM. e OUTRAS '!J10</f>
        <v>0</v>
      </c>
      <c r="M198" s="444">
        <f>'LICENCAS TELEM. e OUTRAS '!K10</f>
        <v>0</v>
      </c>
      <c r="N198" s="444">
        <f>+'LICENCAS TELEM. e OUTRAS '!L6+'LICENCAS TELEM. e OUTRAS '!L7</f>
        <v>0</v>
      </c>
      <c r="O198" s="444">
        <f>+'LICENCAS TELEM. e OUTRAS '!M6+'LICENCAS TELEM. e OUTRAS '!M7</f>
        <v>0</v>
      </c>
      <c r="P198" s="444"/>
      <c r="Q198" s="433">
        <f t="shared" si="52"/>
        <v>0</v>
      </c>
      <c r="R198" s="444"/>
      <c r="U198" s="699">
        <v>1000000</v>
      </c>
      <c r="W198" s="481"/>
    </row>
    <row r="199" spans="1:23" ht="5.0999999999999996" customHeight="1" thickBot="1">
      <c r="A199" s="430"/>
      <c r="B199" s="426"/>
      <c r="C199" s="434"/>
      <c r="D199" s="435"/>
      <c r="E199" s="444"/>
      <c r="F199" s="444"/>
      <c r="G199" s="444"/>
      <c r="H199" s="444"/>
      <c r="I199" s="444"/>
      <c r="J199" s="444"/>
      <c r="K199" s="444"/>
      <c r="L199" s="444"/>
      <c r="M199" s="444"/>
      <c r="N199" s="444"/>
      <c r="O199" s="444"/>
      <c r="P199" s="444"/>
      <c r="Q199" s="433">
        <f t="shared" si="52"/>
        <v>0</v>
      </c>
      <c r="R199" s="444"/>
      <c r="U199" s="699">
        <f>SUM(I199:Q199)</f>
        <v>0</v>
      </c>
      <c r="W199" s="481"/>
    </row>
    <row r="200" spans="1:23" ht="13.5" thickBot="1">
      <c r="A200" s="426"/>
      <c r="B200" s="426"/>
      <c r="C200" s="437" t="s">
        <v>1078</v>
      </c>
      <c r="D200" s="438" t="s">
        <v>1079</v>
      </c>
      <c r="E200" s="439">
        <f t="shared" ref="E200:J200" si="71">+E202+E205+E220+E223+E227+E230+E233</f>
        <v>133849.89499999999</v>
      </c>
      <c r="F200" s="439">
        <f>+F202+F205+F220+F223+F227+F230+F233</f>
        <v>270965.929</v>
      </c>
      <c r="G200" s="439">
        <f t="shared" si="71"/>
        <v>120221.42700000001</v>
      </c>
      <c r="H200" s="439">
        <f t="shared" si="71"/>
        <v>140832.15099999998</v>
      </c>
      <c r="I200" s="439">
        <f t="shared" si="71"/>
        <v>115878.861</v>
      </c>
      <c r="J200" s="439">
        <f t="shared" si="71"/>
        <v>166755.94799999997</v>
      </c>
      <c r="K200" s="439">
        <f>+K202+K205+K220+K223+K227+K230+K233</f>
        <v>221472.44200000001</v>
      </c>
      <c r="L200" s="439">
        <f>+L202+L205+L220+L223+L227+L230+L233</f>
        <v>142206.76500000001</v>
      </c>
      <c r="M200" s="439">
        <f>+M202+M205+M220+M223+M227+M230+M233</f>
        <v>133562.93599999999</v>
      </c>
      <c r="N200" s="439">
        <f>+(N202+N205+N220+N223+N227+N230+N233)</f>
        <v>7772202.0779999997</v>
      </c>
      <c r="O200" s="439">
        <f>+O202+O205+O220+O223+O227+O230+O233</f>
        <v>1442256.4110000001</v>
      </c>
      <c r="P200" s="439">
        <f>+P202+P205+P220+P223+P227+P230+P233</f>
        <v>161256.266</v>
      </c>
      <c r="Q200" s="433">
        <f t="shared" si="52"/>
        <v>10821461.109000001</v>
      </c>
      <c r="R200" s="439"/>
      <c r="U200" s="699">
        <v>10954850</v>
      </c>
      <c r="W200" s="481"/>
    </row>
    <row r="201" spans="1:23" ht="13.5" customHeight="1" thickBot="1">
      <c r="A201" s="426"/>
      <c r="B201" s="426"/>
      <c r="C201" s="434"/>
      <c r="D201" s="435"/>
      <c r="E201" s="444">
        <v>0</v>
      </c>
      <c r="F201" s="444">
        <v>0</v>
      </c>
      <c r="G201" s="444">
        <v>0</v>
      </c>
      <c r="H201" s="444">
        <v>0</v>
      </c>
      <c r="I201" s="444">
        <v>0</v>
      </c>
      <c r="J201" s="444">
        <v>0</v>
      </c>
      <c r="K201" s="444">
        <v>0</v>
      </c>
      <c r="L201" s="444">
        <v>0</v>
      </c>
      <c r="M201" s="444">
        <v>0</v>
      </c>
      <c r="N201" s="444">
        <v>0</v>
      </c>
      <c r="O201" s="444">
        <v>0</v>
      </c>
      <c r="P201" s="444">
        <v>0</v>
      </c>
      <c r="Q201" s="433">
        <f t="shared" si="52"/>
        <v>0</v>
      </c>
      <c r="R201" s="444"/>
      <c r="U201" s="699">
        <f>SUM(I201:Q201)</f>
        <v>0</v>
      </c>
      <c r="W201" s="481"/>
    </row>
    <row r="202" spans="1:23" ht="15.75" thickBot="1">
      <c r="A202" s="430"/>
      <c r="B202" s="426"/>
      <c r="C202" s="477" t="s">
        <v>1081</v>
      </c>
      <c r="D202" s="441" t="s">
        <v>1082</v>
      </c>
      <c r="E202" s="451">
        <f t="shared" ref="E202:P202" si="72">+E203</f>
        <v>0</v>
      </c>
      <c r="F202" s="451">
        <f t="shared" si="72"/>
        <v>0</v>
      </c>
      <c r="G202" s="451">
        <f t="shared" si="72"/>
        <v>0</v>
      </c>
      <c r="H202" s="451">
        <f t="shared" si="72"/>
        <v>0</v>
      </c>
      <c r="I202" s="451">
        <f t="shared" si="72"/>
        <v>0</v>
      </c>
      <c r="J202" s="451">
        <f t="shared" si="72"/>
        <v>0</v>
      </c>
      <c r="K202" s="451">
        <f t="shared" si="72"/>
        <v>0</v>
      </c>
      <c r="L202" s="451">
        <f t="shared" si="72"/>
        <v>0</v>
      </c>
      <c r="M202" s="451">
        <f t="shared" si="72"/>
        <v>0</v>
      </c>
      <c r="N202" s="451">
        <f t="shared" si="72"/>
        <v>0</v>
      </c>
      <c r="O202" s="451">
        <f t="shared" si="72"/>
        <v>0</v>
      </c>
      <c r="P202" s="451">
        <f t="shared" si="72"/>
        <v>0</v>
      </c>
      <c r="Q202" s="433">
        <f t="shared" si="52"/>
        <v>0</v>
      </c>
      <c r="R202" s="451">
        <v>0</v>
      </c>
      <c r="U202" s="699"/>
      <c r="W202" s="481"/>
    </row>
    <row r="203" spans="1:23" ht="13.5" thickBot="1">
      <c r="A203" s="426"/>
      <c r="B203" s="426"/>
      <c r="C203" s="475" t="s">
        <v>1083</v>
      </c>
      <c r="D203" s="435" t="s">
        <v>1084</v>
      </c>
      <c r="E203" s="444"/>
      <c r="F203" s="444"/>
      <c r="G203" s="444"/>
      <c r="H203" s="444"/>
      <c r="I203" s="444"/>
      <c r="J203" s="444"/>
      <c r="K203" s="444"/>
      <c r="L203" s="444"/>
      <c r="M203" s="444"/>
      <c r="N203" s="444"/>
      <c r="O203" s="444"/>
      <c r="P203" s="444"/>
      <c r="Q203" s="433">
        <f t="shared" si="52"/>
        <v>0</v>
      </c>
      <c r="R203" s="444">
        <v>0</v>
      </c>
      <c r="U203" s="699">
        <f>SUM(I203:Q203)</f>
        <v>0</v>
      </c>
      <c r="W203" s="481"/>
    </row>
    <row r="204" spans="1:23" ht="13.5" customHeight="1" thickBot="1">
      <c r="A204" s="445"/>
      <c r="B204" s="426"/>
      <c r="C204" s="475"/>
      <c r="D204" s="435"/>
      <c r="E204" s="444"/>
      <c r="F204" s="444"/>
      <c r="G204" s="444"/>
      <c r="H204" s="444"/>
      <c r="I204" s="444"/>
      <c r="J204" s="444"/>
      <c r="K204" s="444"/>
      <c r="L204" s="444"/>
      <c r="M204" s="444"/>
      <c r="N204" s="444"/>
      <c r="O204" s="444"/>
      <c r="P204" s="444"/>
      <c r="Q204" s="433">
        <f t="shared" si="52"/>
        <v>0</v>
      </c>
      <c r="R204" s="444"/>
      <c r="U204" s="699"/>
      <c r="W204" s="481"/>
    </row>
    <row r="205" spans="1:23" ht="13.5" thickBot="1">
      <c r="A205" s="445"/>
      <c r="B205" s="426"/>
      <c r="C205" s="477" t="s">
        <v>1085</v>
      </c>
      <c r="D205" s="441" t="s">
        <v>1055</v>
      </c>
      <c r="E205" s="451">
        <f t="shared" ref="E205:J205" si="73">+E206+E210+E211+E212</f>
        <v>133849.89499999999</v>
      </c>
      <c r="F205" s="451">
        <f t="shared" si="73"/>
        <v>270965.929</v>
      </c>
      <c r="G205" s="451">
        <f t="shared" si="73"/>
        <v>120221.42700000001</v>
      </c>
      <c r="H205" s="451">
        <f t="shared" si="73"/>
        <v>140832.15099999998</v>
      </c>
      <c r="I205" s="451">
        <f t="shared" si="73"/>
        <v>115878.861</v>
      </c>
      <c r="J205" s="451">
        <f t="shared" si="73"/>
        <v>166755.94799999997</v>
      </c>
      <c r="K205" s="451">
        <f t="shared" ref="K205:P205" si="74">+K206+K210+K211+K212</f>
        <v>221472.44200000001</v>
      </c>
      <c r="L205" s="451">
        <f t="shared" si="74"/>
        <v>142206.76500000001</v>
      </c>
      <c r="M205" s="451">
        <f t="shared" si="74"/>
        <v>133562.93599999999</v>
      </c>
      <c r="N205" s="451">
        <f t="shared" si="74"/>
        <v>163100.878</v>
      </c>
      <c r="O205" s="451">
        <f>+O206+O210+O211+O212</f>
        <v>130342.41100000001</v>
      </c>
      <c r="P205" s="451">
        <f t="shared" si="74"/>
        <v>161256.266</v>
      </c>
      <c r="Q205" s="433">
        <f t="shared" si="52"/>
        <v>1900445.9090000002</v>
      </c>
      <c r="R205" s="451"/>
      <c r="U205" s="699">
        <v>1115000</v>
      </c>
      <c r="W205" s="481"/>
    </row>
    <row r="206" spans="1:23" ht="13.5" thickBot="1">
      <c r="A206" s="445"/>
      <c r="B206" s="426"/>
      <c r="C206" s="475" t="s">
        <v>1086</v>
      </c>
      <c r="D206" s="435" t="s">
        <v>288</v>
      </c>
      <c r="E206" s="444">
        <f t="shared" ref="E206:J206" si="75">SUM(E207:E209)</f>
        <v>18706.599999999999</v>
      </c>
      <c r="F206" s="444">
        <f t="shared" si="75"/>
        <v>113931.261</v>
      </c>
      <c r="G206" s="444">
        <f t="shared" si="75"/>
        <v>7559.65</v>
      </c>
      <c r="H206" s="444">
        <f t="shared" si="75"/>
        <v>5399.4000000000005</v>
      </c>
      <c r="I206" s="444">
        <f t="shared" si="75"/>
        <v>2504.973</v>
      </c>
      <c r="J206" s="444">
        <f t="shared" si="75"/>
        <v>1482.0900000000001</v>
      </c>
      <c r="K206" s="444">
        <f t="shared" ref="K206:P206" si="76">SUM(K207:K209)</f>
        <v>100810.5</v>
      </c>
      <c r="L206" s="444">
        <f t="shared" si="76"/>
        <v>762.66499999999996</v>
      </c>
      <c r="M206" s="444">
        <f t="shared" si="76"/>
        <v>2994.9520000000002</v>
      </c>
      <c r="N206" s="444">
        <f t="shared" si="76"/>
        <v>4643.5470000000005</v>
      </c>
      <c r="O206" s="444">
        <f t="shared" si="76"/>
        <v>1329.2179999999998</v>
      </c>
      <c r="P206" s="444">
        <f t="shared" si="76"/>
        <v>4428.3999999999996</v>
      </c>
      <c r="Q206" s="433">
        <f t="shared" si="52"/>
        <v>264553.25599999999</v>
      </c>
      <c r="R206" s="444"/>
      <c r="U206" s="699">
        <v>307000</v>
      </c>
      <c r="W206" s="481"/>
    </row>
    <row r="207" spans="1:23" ht="13.5" thickBot="1">
      <c r="A207" s="426"/>
      <c r="B207" s="426"/>
      <c r="C207" s="479" t="s">
        <v>1461</v>
      </c>
      <c r="D207" s="480" t="s">
        <v>1087</v>
      </c>
      <c r="E207" s="452">
        <f>+'DGCI '!C98</f>
        <v>530</v>
      </c>
      <c r="F207" s="452">
        <f>+'DGCI '!D98</f>
        <v>271.815</v>
      </c>
      <c r="G207" s="452">
        <f>+'DGCI '!E98</f>
        <v>205.5</v>
      </c>
      <c r="H207" s="452">
        <f>+'DGCI '!F98</f>
        <v>650</v>
      </c>
      <c r="I207" s="452">
        <f>+'DGCI '!G98</f>
        <v>150</v>
      </c>
      <c r="J207" s="452">
        <f>+'DGCI '!H98</f>
        <v>135</v>
      </c>
      <c r="K207" s="452">
        <f>+'DGCI '!J98</f>
        <v>209</v>
      </c>
      <c r="L207" s="452">
        <f>+'DGCI '!K98</f>
        <v>19.625</v>
      </c>
      <c r="M207" s="452">
        <f>+'DGCI '!L98</f>
        <v>1287.75</v>
      </c>
      <c r="N207" s="452">
        <f>+'DGCI '!M98</f>
        <v>3766.75</v>
      </c>
      <c r="O207" s="452">
        <f>+'DGCI '!N98</f>
        <v>0</v>
      </c>
      <c r="P207" s="452">
        <f>+'DGCI '!O98</f>
        <v>0</v>
      </c>
      <c r="Q207" s="433">
        <f t="shared" si="52"/>
        <v>7225.4400000000005</v>
      </c>
      <c r="R207" s="452"/>
      <c r="U207" s="699">
        <v>10000</v>
      </c>
      <c r="W207" s="481"/>
    </row>
    <row r="208" spans="1:23" ht="13.5" thickBot="1">
      <c r="A208" s="426"/>
      <c r="B208" s="426"/>
      <c r="C208" s="479" t="s">
        <v>1462</v>
      </c>
      <c r="D208" s="480" t="s">
        <v>1088</v>
      </c>
      <c r="E208" s="452">
        <f>+'DGCI '!C99</f>
        <v>18176.599999999999</v>
      </c>
      <c r="F208" s="452">
        <f>+'DGCI '!D99</f>
        <v>113659.446</v>
      </c>
      <c r="G208" s="452">
        <f>+'DGCI '!E99</f>
        <v>7354.15</v>
      </c>
      <c r="H208" s="452">
        <f>+'DGCI '!F99</f>
        <v>4749.4000000000005</v>
      </c>
      <c r="I208" s="452">
        <f>+'DGCI '!G99</f>
        <v>2354.973</v>
      </c>
      <c r="J208" s="452">
        <f>+'DGCI '!H99</f>
        <v>1347.0900000000001</v>
      </c>
      <c r="K208" s="452">
        <f>+'DGCI '!J99</f>
        <v>100601.5</v>
      </c>
      <c r="L208" s="452">
        <f>+'DGCI '!K99</f>
        <v>743.04</v>
      </c>
      <c r="M208" s="452">
        <f>+'DGCI '!L99</f>
        <v>1707.202</v>
      </c>
      <c r="N208" s="452">
        <f>+'DGCI '!M99</f>
        <v>876.79700000000003</v>
      </c>
      <c r="O208" s="452">
        <f>+'DGCI '!N99</f>
        <v>1329.2179999999998</v>
      </c>
      <c r="P208" s="452">
        <f>+'DGCI '!O99</f>
        <v>4428.3999999999996</v>
      </c>
      <c r="Q208" s="433">
        <f t="shared" si="52"/>
        <v>257327.81599999996</v>
      </c>
      <c r="R208" s="452"/>
      <c r="U208" s="699">
        <f>SUM(I208:Q208)</f>
        <v>370716.03599999996</v>
      </c>
      <c r="W208" s="481"/>
    </row>
    <row r="209" spans="1:23" ht="13.5" thickBot="1">
      <c r="A209" s="426"/>
      <c r="B209" s="426"/>
      <c r="C209" s="479" t="s">
        <v>1463</v>
      </c>
      <c r="D209" s="480" t="s">
        <v>1089</v>
      </c>
      <c r="E209" s="452">
        <f>+'DGCI '!C97+'DGCI '!C93</f>
        <v>0</v>
      </c>
      <c r="F209" s="452">
        <f>+'DGCI '!D97+'DGCI '!D93</f>
        <v>0</v>
      </c>
      <c r="G209" s="452">
        <f>+'DGCI '!E97+'DGCI '!E93</f>
        <v>0</v>
      </c>
      <c r="H209" s="452">
        <f>+'DGCI '!F97+'DGCI '!F93</f>
        <v>0</v>
      </c>
      <c r="I209" s="452">
        <f>+'DGCI '!G97+'DGCI '!G93</f>
        <v>0</v>
      </c>
      <c r="J209" s="452">
        <f>+'DGCI '!H97+'DGCI '!H93</f>
        <v>0</v>
      </c>
      <c r="K209" s="452">
        <f>+'DGCI '!J97+'DGCI '!J93</f>
        <v>0</v>
      </c>
      <c r="L209" s="452">
        <f>+'DGCI '!K97+'DGCI '!K93</f>
        <v>0</v>
      </c>
      <c r="M209" s="452">
        <f>+'DGCI '!L97+'DGCI '!L93</f>
        <v>0</v>
      </c>
      <c r="N209" s="452">
        <f>+'DGCI '!M93+'DGCI '!M97</f>
        <v>0</v>
      </c>
      <c r="O209" s="452">
        <f>+'DGCI '!N93+'DGCI '!N97</f>
        <v>0</v>
      </c>
      <c r="P209" s="452">
        <f>+'DGCI '!O93+'DGCI '!O97</f>
        <v>0</v>
      </c>
      <c r="Q209" s="433">
        <f t="shared" si="52"/>
        <v>0</v>
      </c>
      <c r="R209" s="452"/>
      <c r="U209" s="699">
        <v>10000</v>
      </c>
      <c r="W209" s="481"/>
    </row>
    <row r="210" spans="1:23" ht="13.5" thickBot="1">
      <c r="A210" s="445" t="s">
        <v>1090</v>
      </c>
      <c r="B210" s="426"/>
      <c r="C210" s="475" t="s">
        <v>25</v>
      </c>
      <c r="D210" s="435" t="s">
        <v>1092</v>
      </c>
      <c r="E210" s="444">
        <f>+'DGCI '!C103</f>
        <v>922.98700000000008</v>
      </c>
      <c r="F210" s="444">
        <f>+'DGCI '!D103</f>
        <v>1563.201</v>
      </c>
      <c r="G210" s="444">
        <f>+'DGCI '!E103</f>
        <v>274.2</v>
      </c>
      <c r="H210" s="444">
        <f>+'DGCI '!F103</f>
        <v>735.72499999999991</v>
      </c>
      <c r="I210" s="444">
        <f>+'DGCI '!G103</f>
        <v>0</v>
      </c>
      <c r="J210" s="444">
        <f>+'DGCI '!H103</f>
        <v>0</v>
      </c>
      <c r="K210" s="444">
        <f>+'DGCI '!J103</f>
        <v>54</v>
      </c>
      <c r="L210" s="444">
        <f>+'DGCI '!K103</f>
        <v>0</v>
      </c>
      <c r="M210" s="444">
        <f>+'DGCI '!L103</f>
        <v>0</v>
      </c>
      <c r="N210" s="444">
        <f>+'DGCI '!M103</f>
        <v>120.401</v>
      </c>
      <c r="O210" s="444">
        <f>+'DGCI '!N103</f>
        <v>3165.2400000000002</v>
      </c>
      <c r="P210" s="444">
        <f>+'DGCI '!O103</f>
        <v>615.39499999999998</v>
      </c>
      <c r="Q210" s="433">
        <f t="shared" ref="Q210:Q273" si="77">SUM(E210:P210)</f>
        <v>7451.1489999999994</v>
      </c>
      <c r="R210" s="444"/>
      <c r="U210" s="699">
        <f>SUM(I210:Q210)</f>
        <v>11406.184999999999</v>
      </c>
      <c r="W210" s="481"/>
    </row>
    <row r="211" spans="1:23" ht="13.5" thickBot="1">
      <c r="A211" s="445" t="s">
        <v>1093</v>
      </c>
      <c r="B211" s="426"/>
      <c r="C211" s="475" t="s">
        <v>1094</v>
      </c>
      <c r="D211" s="435" t="s">
        <v>1095</v>
      </c>
      <c r="E211" s="444">
        <v>0</v>
      </c>
      <c r="F211" s="444">
        <v>0</v>
      </c>
      <c r="G211" s="444">
        <v>0</v>
      </c>
      <c r="H211" s="444">
        <v>0</v>
      </c>
      <c r="I211" s="444">
        <v>0</v>
      </c>
      <c r="J211" s="444">
        <v>0</v>
      </c>
      <c r="K211" s="444">
        <v>0</v>
      </c>
      <c r="L211" s="444">
        <v>0</v>
      </c>
      <c r="M211" s="444">
        <v>0</v>
      </c>
      <c r="N211" s="444">
        <v>0</v>
      </c>
      <c r="O211" s="444">
        <v>0</v>
      </c>
      <c r="P211" s="444">
        <v>0</v>
      </c>
      <c r="Q211" s="433">
        <f t="shared" si="77"/>
        <v>0</v>
      </c>
      <c r="R211" s="444"/>
      <c r="U211" s="699">
        <f>SUM(I211:Q211)</f>
        <v>0</v>
      </c>
      <c r="W211" s="481"/>
    </row>
    <row r="212" spans="1:23" ht="13.5" thickBot="1">
      <c r="A212" s="445" t="s">
        <v>1096</v>
      </c>
      <c r="B212" s="426"/>
      <c r="C212" s="475" t="s">
        <v>1097</v>
      </c>
      <c r="D212" s="435" t="s">
        <v>1098</v>
      </c>
      <c r="E212" s="444">
        <f t="shared" ref="E212:J212" si="78">SUM(E213:E218)</f>
        <v>114220.30799999999</v>
      </c>
      <c r="F212" s="444">
        <f t="shared" si="78"/>
        <v>155471.467</v>
      </c>
      <c r="G212" s="444">
        <f t="shared" si="78"/>
        <v>112387.577</v>
      </c>
      <c r="H212" s="444">
        <f t="shared" si="78"/>
        <v>134697.02599999998</v>
      </c>
      <c r="I212" s="444">
        <f t="shared" si="78"/>
        <v>113373.88800000001</v>
      </c>
      <c r="J212" s="444">
        <f t="shared" si="78"/>
        <v>165273.85799999998</v>
      </c>
      <c r="K212" s="444">
        <f t="shared" ref="K212:P212" si="79">SUM(K213:K218)</f>
        <v>120607.94200000001</v>
      </c>
      <c r="L212" s="444">
        <f t="shared" si="79"/>
        <v>141444.1</v>
      </c>
      <c r="M212" s="444">
        <f t="shared" si="79"/>
        <v>130567.984</v>
      </c>
      <c r="N212" s="444">
        <f t="shared" si="79"/>
        <v>158336.93</v>
      </c>
      <c r="O212" s="444">
        <f t="shared" si="79"/>
        <v>125847.95300000001</v>
      </c>
      <c r="P212" s="444">
        <f t="shared" si="79"/>
        <v>156212.47099999999</v>
      </c>
      <c r="Q212" s="433">
        <f t="shared" si="77"/>
        <v>1628441.504</v>
      </c>
      <c r="R212" s="444"/>
      <c r="U212" s="699">
        <v>808000</v>
      </c>
      <c r="W212" s="481"/>
    </row>
    <row r="213" spans="1:23" ht="15" thickBot="1">
      <c r="A213" s="445" t="s">
        <v>1099</v>
      </c>
      <c r="B213" s="426" t="s">
        <v>1090</v>
      </c>
      <c r="C213" s="446" t="s">
        <v>1464</v>
      </c>
      <c r="D213" s="449" t="s">
        <v>1100</v>
      </c>
      <c r="E213" s="452">
        <f>+'DGCI '!C92</f>
        <v>104696.4</v>
      </c>
      <c r="F213" s="452">
        <f>+'DGCI '!D92</f>
        <v>145750.41500000001</v>
      </c>
      <c r="G213" s="452">
        <f>+'DGCI '!E92</f>
        <v>102748.247</v>
      </c>
      <c r="H213" s="452">
        <f>+'DGCI '!F92</f>
        <v>125038.52099999999</v>
      </c>
      <c r="I213" s="452">
        <f>+'DGCI '!G92</f>
        <v>103868.00600000001</v>
      </c>
      <c r="J213" s="452">
        <f>+'DGCI '!H92</f>
        <v>155064.83299999998</v>
      </c>
      <c r="K213" s="452">
        <f>+'DGCI '!J92</f>
        <v>111093.486</v>
      </c>
      <c r="L213" s="452">
        <f>+'DGCI '!K92</f>
        <v>131175.99799999999</v>
      </c>
      <c r="M213" s="622">
        <f>+'DGCI '!L92</f>
        <v>120323.485</v>
      </c>
      <c r="N213" s="452">
        <f>+'DGCI '!M92</f>
        <v>148361.94699999999</v>
      </c>
      <c r="O213" s="452">
        <f>+'DGCI '!N92</f>
        <v>116020.10500000001</v>
      </c>
      <c r="P213" s="452">
        <f>+'DGCI '!O92</f>
        <v>145930.13099999999</v>
      </c>
      <c r="Q213" s="433">
        <f t="shared" si="77"/>
        <v>1510071.574</v>
      </c>
      <c r="R213" s="452"/>
      <c r="U213" s="699">
        <v>808000</v>
      </c>
      <c r="W213" s="481"/>
    </row>
    <row r="214" spans="1:23" ht="13.5" thickBot="1">
      <c r="A214" s="445" t="s">
        <v>1101</v>
      </c>
      <c r="B214" s="426" t="s">
        <v>1093</v>
      </c>
      <c r="C214" s="450" t="s">
        <v>1465</v>
      </c>
      <c r="D214" s="449" t="s">
        <v>1102</v>
      </c>
      <c r="E214" s="452">
        <v>0</v>
      </c>
      <c r="F214" s="452">
        <v>0</v>
      </c>
      <c r="G214" s="452">
        <v>0</v>
      </c>
      <c r="H214" s="452">
        <v>0</v>
      </c>
      <c r="I214" s="452">
        <v>0</v>
      </c>
      <c r="J214" s="452">
        <v>0</v>
      </c>
      <c r="K214" s="452">
        <v>0</v>
      </c>
      <c r="L214" s="452">
        <v>0</v>
      </c>
      <c r="M214" s="452">
        <v>0</v>
      </c>
      <c r="N214" s="452">
        <v>0</v>
      </c>
      <c r="O214" s="452">
        <v>0</v>
      </c>
      <c r="P214" s="452">
        <v>0</v>
      </c>
      <c r="Q214" s="433">
        <f t="shared" si="77"/>
        <v>0</v>
      </c>
      <c r="R214" s="452"/>
      <c r="U214" s="699">
        <f>SUM(I214:Q214)</f>
        <v>0</v>
      </c>
      <c r="W214" s="481"/>
    </row>
    <row r="215" spans="1:23" ht="13.5" thickBot="1">
      <c r="A215" s="445" t="s">
        <v>1103</v>
      </c>
      <c r="B215" s="426" t="s">
        <v>1096</v>
      </c>
      <c r="C215" s="450" t="s">
        <v>1466</v>
      </c>
      <c r="D215" s="449" t="s">
        <v>1104</v>
      </c>
      <c r="E215" s="452"/>
      <c r="F215" s="452"/>
      <c r="G215" s="452"/>
      <c r="H215" s="452"/>
      <c r="I215" s="452"/>
      <c r="J215" s="878"/>
      <c r="K215" s="452"/>
      <c r="L215" s="452"/>
      <c r="M215" s="452"/>
      <c r="N215" s="452"/>
      <c r="O215" s="452"/>
      <c r="P215" s="452"/>
      <c r="Q215" s="433">
        <f t="shared" si="77"/>
        <v>0</v>
      </c>
      <c r="R215" s="452">
        <v>0</v>
      </c>
      <c r="U215" s="699">
        <f>SUM(I215:Q215)</f>
        <v>0</v>
      </c>
      <c r="W215" s="481"/>
    </row>
    <row r="216" spans="1:23" ht="13.5" thickBot="1">
      <c r="A216" s="426"/>
      <c r="B216" s="426" t="s">
        <v>1099</v>
      </c>
      <c r="C216" s="450" t="s">
        <v>1467</v>
      </c>
      <c r="D216" s="449" t="s">
        <v>1105</v>
      </c>
      <c r="E216" s="452"/>
      <c r="F216" s="452"/>
      <c r="G216" s="452"/>
      <c r="H216" s="452"/>
      <c r="I216" s="452"/>
      <c r="J216" s="452"/>
      <c r="K216" s="594"/>
      <c r="L216" s="452"/>
      <c r="M216" s="452"/>
      <c r="N216" s="452"/>
      <c r="O216" s="452"/>
      <c r="P216" s="452"/>
      <c r="Q216" s="433">
        <f t="shared" si="77"/>
        <v>0</v>
      </c>
      <c r="R216" s="452">
        <v>0</v>
      </c>
      <c r="U216" s="699">
        <f>SUM(I216:Q216)</f>
        <v>0</v>
      </c>
      <c r="W216" s="481"/>
    </row>
    <row r="217" spans="1:23" ht="15.75" thickBot="1">
      <c r="A217" s="430"/>
      <c r="B217" s="426" t="s">
        <v>1101</v>
      </c>
      <c r="C217" s="450" t="s">
        <v>1468</v>
      </c>
      <c r="D217" s="449" t="s">
        <v>1106</v>
      </c>
      <c r="E217" s="452"/>
      <c r="F217" s="452"/>
      <c r="G217" s="452"/>
      <c r="H217" s="452"/>
      <c r="I217" s="452"/>
      <c r="J217" s="452"/>
      <c r="K217" s="452"/>
      <c r="L217" s="452"/>
      <c r="M217" s="622"/>
      <c r="N217" s="452"/>
      <c r="O217" s="452"/>
      <c r="P217" s="452"/>
      <c r="Q217" s="433">
        <f t="shared" si="77"/>
        <v>0</v>
      </c>
      <c r="R217" s="452">
        <v>0</v>
      </c>
      <c r="U217" s="699">
        <v>0</v>
      </c>
      <c r="W217" s="481"/>
    </row>
    <row r="218" spans="1:23" ht="15" thickBot="1">
      <c r="A218" s="426"/>
      <c r="B218" s="426" t="s">
        <v>1103</v>
      </c>
      <c r="C218" s="446" t="s">
        <v>1469</v>
      </c>
      <c r="D218" s="449" t="s">
        <v>1107</v>
      </c>
      <c r="E218" s="452">
        <f>+'DGCI '!C89</f>
        <v>9523.9079999999994</v>
      </c>
      <c r="F218" s="452">
        <f>+'DGCI '!D89</f>
        <v>9721.0519999999997</v>
      </c>
      <c r="G218" s="452">
        <f>+'DGCI '!E89</f>
        <v>9639.33</v>
      </c>
      <c r="H218" s="452">
        <f>+'DGCI '!F89</f>
        <v>9658.5049999999992</v>
      </c>
      <c r="I218" s="452">
        <f>+'DGCI '!G89</f>
        <v>9505.8819999999996</v>
      </c>
      <c r="J218" s="452">
        <f>+'DGCI '!H89</f>
        <v>10209.025</v>
      </c>
      <c r="K218" s="452">
        <f>+'DGCI '!J89</f>
        <v>9514.4560000000001</v>
      </c>
      <c r="L218" s="452">
        <f>+'DGCI '!K89</f>
        <v>10268.102000000001</v>
      </c>
      <c r="M218" s="622">
        <f>+'DGCI '!L89</f>
        <v>10244.499</v>
      </c>
      <c r="N218" s="452">
        <f>+'DGCI '!M89</f>
        <v>9974.9830000000002</v>
      </c>
      <c r="O218" s="452">
        <f>+'DGCI '!N89</f>
        <v>9827.848</v>
      </c>
      <c r="P218" s="452">
        <f>+'DGCI '!O89</f>
        <v>10282.34</v>
      </c>
      <c r="Q218" s="433">
        <f t="shared" si="77"/>
        <v>118369.93</v>
      </c>
      <c r="R218" s="452">
        <v>0</v>
      </c>
      <c r="U218" s="699">
        <v>0</v>
      </c>
      <c r="W218" s="481"/>
    </row>
    <row r="219" spans="1:23" ht="16.5" customHeight="1" thickBot="1">
      <c r="A219" s="426"/>
      <c r="B219" s="426"/>
      <c r="C219" s="434"/>
      <c r="D219" s="435"/>
      <c r="E219" s="444">
        <v>0</v>
      </c>
      <c r="F219" s="444">
        <v>0</v>
      </c>
      <c r="G219" s="444">
        <v>0</v>
      </c>
      <c r="H219" s="444">
        <v>0</v>
      </c>
      <c r="I219" s="444">
        <v>0</v>
      </c>
      <c r="J219" s="444">
        <v>0</v>
      </c>
      <c r="K219" s="444">
        <v>0</v>
      </c>
      <c r="L219" s="444">
        <v>0</v>
      </c>
      <c r="M219" s="444">
        <v>0</v>
      </c>
      <c r="N219" s="444">
        <v>0</v>
      </c>
      <c r="O219" s="444">
        <v>0</v>
      </c>
      <c r="P219" s="444">
        <v>0</v>
      </c>
      <c r="Q219" s="433">
        <f t="shared" si="77"/>
        <v>0</v>
      </c>
      <c r="R219" s="444"/>
      <c r="U219" s="699">
        <f t="shared" ref="U219:U232" si="80">SUM(I219:Q219)</f>
        <v>0</v>
      </c>
      <c r="W219" s="481"/>
    </row>
    <row r="220" spans="1:23" ht="15.75" thickBot="1">
      <c r="A220" s="430"/>
      <c r="B220" s="426"/>
      <c r="C220" s="477" t="s">
        <v>1108</v>
      </c>
      <c r="D220" s="441" t="s">
        <v>1057</v>
      </c>
      <c r="E220" s="451">
        <f t="shared" ref="E220:N220" si="81">E221</f>
        <v>0</v>
      </c>
      <c r="F220" s="451">
        <f t="shared" si="81"/>
        <v>0</v>
      </c>
      <c r="G220" s="451">
        <f t="shared" si="81"/>
        <v>0</v>
      </c>
      <c r="H220" s="451">
        <f t="shared" si="81"/>
        <v>0</v>
      </c>
      <c r="I220" s="451">
        <f t="shared" si="81"/>
        <v>0</v>
      </c>
      <c r="J220" s="451">
        <f t="shared" si="81"/>
        <v>0</v>
      </c>
      <c r="K220" s="451">
        <f t="shared" si="81"/>
        <v>0</v>
      </c>
      <c r="L220" s="451">
        <f t="shared" si="81"/>
        <v>0</v>
      </c>
      <c r="M220" s="451">
        <f t="shared" si="81"/>
        <v>0</v>
      </c>
      <c r="N220" s="451">
        <f t="shared" si="81"/>
        <v>0</v>
      </c>
      <c r="O220" s="451">
        <f>O221</f>
        <v>0</v>
      </c>
      <c r="P220" s="451">
        <f>P221</f>
        <v>0</v>
      </c>
      <c r="Q220" s="433">
        <f t="shared" si="77"/>
        <v>0</v>
      </c>
      <c r="R220" s="451">
        <v>0</v>
      </c>
      <c r="U220" s="699">
        <f t="shared" si="80"/>
        <v>0</v>
      </c>
      <c r="W220" s="481"/>
    </row>
    <row r="221" spans="1:23" ht="13.5" thickBot="1">
      <c r="A221" s="426"/>
      <c r="B221" s="426"/>
      <c r="C221" s="475" t="s">
        <v>1109</v>
      </c>
      <c r="D221" s="435" t="s">
        <v>1111</v>
      </c>
      <c r="E221" s="444"/>
      <c r="F221" s="444">
        <f>+'DGCI '!D87+'DGCI '!D90</f>
        <v>0</v>
      </c>
      <c r="G221" s="444">
        <f>+'DGCI '!E87+'DGCI '!E90</f>
        <v>0</v>
      </c>
      <c r="H221" s="444">
        <f>+'DGCI '!F87+'DGCI '!F90</f>
        <v>0</v>
      </c>
      <c r="I221" s="444">
        <f>+'DGCI '!G87+'DGCI '!G90</f>
        <v>0</v>
      </c>
      <c r="J221" s="444">
        <f>+'DGCI '!H87+'DGCI '!H90</f>
        <v>0</v>
      </c>
      <c r="K221" s="444">
        <f>+'DGCI '!J87+'DGCI '!J90</f>
        <v>0</v>
      </c>
      <c r="L221" s="444">
        <f>+'DGCI '!K87+'DGCI '!K90</f>
        <v>0</v>
      </c>
      <c r="M221" s="444">
        <f>+'DGCI '!L87+'DGCI '!L90</f>
        <v>0</v>
      </c>
      <c r="N221" s="444">
        <f>+'DGCI '!M87+'DGCI '!M90</f>
        <v>0</v>
      </c>
      <c r="O221" s="444">
        <f>+'DGCI '!N87+'DGCI '!N90</f>
        <v>0</v>
      </c>
      <c r="P221" s="444">
        <f>+'DGCI '!O87+'DGCI '!O90</f>
        <v>0</v>
      </c>
      <c r="Q221" s="433">
        <f t="shared" si="77"/>
        <v>0</v>
      </c>
      <c r="R221" s="444">
        <v>0</v>
      </c>
      <c r="U221" s="699">
        <f t="shared" si="80"/>
        <v>0</v>
      </c>
      <c r="W221" s="481"/>
    </row>
    <row r="222" spans="1:23" ht="15.75" customHeight="1" thickBot="1">
      <c r="A222" s="426"/>
      <c r="B222" s="426"/>
      <c r="C222" s="475"/>
      <c r="D222" s="435"/>
      <c r="E222" s="444"/>
      <c r="F222" s="444"/>
      <c r="G222" s="444"/>
      <c r="H222" s="444"/>
      <c r="I222" s="444"/>
      <c r="J222" s="444"/>
      <c r="K222" s="444"/>
      <c r="L222" s="444"/>
      <c r="M222" s="444"/>
      <c r="N222" s="444"/>
      <c r="O222" s="444"/>
      <c r="P222" s="444"/>
      <c r="Q222" s="433">
        <f t="shared" si="77"/>
        <v>0</v>
      </c>
      <c r="R222" s="444"/>
      <c r="U222" s="699">
        <f t="shared" si="80"/>
        <v>0</v>
      </c>
      <c r="W222" s="481"/>
    </row>
    <row r="223" spans="1:23" ht="13.5" thickBot="1">
      <c r="A223" s="426"/>
      <c r="B223" s="426"/>
      <c r="C223" s="477" t="s">
        <v>1112</v>
      </c>
      <c r="D223" s="441" t="s">
        <v>1113</v>
      </c>
      <c r="E223" s="451">
        <f t="shared" ref="E223:P223" si="82">SUMIF(E224,"&lt;&gt;0")</f>
        <v>0</v>
      </c>
      <c r="F223" s="451">
        <f t="shared" si="82"/>
        <v>0</v>
      </c>
      <c r="G223" s="451">
        <f t="shared" si="82"/>
        <v>0</v>
      </c>
      <c r="H223" s="451">
        <f t="shared" si="82"/>
        <v>0</v>
      </c>
      <c r="I223" s="451">
        <f t="shared" si="82"/>
        <v>0</v>
      </c>
      <c r="J223" s="451">
        <f t="shared" si="82"/>
        <v>0</v>
      </c>
      <c r="K223" s="451">
        <f t="shared" si="82"/>
        <v>0</v>
      </c>
      <c r="L223" s="451">
        <f t="shared" si="82"/>
        <v>0</v>
      </c>
      <c r="M223" s="451">
        <f t="shared" si="82"/>
        <v>0</v>
      </c>
      <c r="N223" s="451">
        <f t="shared" si="82"/>
        <v>0</v>
      </c>
      <c r="O223" s="451">
        <f t="shared" si="82"/>
        <v>0</v>
      </c>
      <c r="P223" s="451">
        <f t="shared" si="82"/>
        <v>0</v>
      </c>
      <c r="Q223" s="433">
        <f t="shared" si="77"/>
        <v>0</v>
      </c>
      <c r="R223" s="451">
        <v>0</v>
      </c>
      <c r="U223" s="699">
        <f t="shared" si="80"/>
        <v>0</v>
      </c>
      <c r="W223" s="481"/>
    </row>
    <row r="224" spans="1:23" ht="15.75" thickBot="1">
      <c r="A224" s="430"/>
      <c r="B224" s="426"/>
      <c r="C224" s="475" t="s">
        <v>1114</v>
      </c>
      <c r="D224" s="435" t="s">
        <v>1115</v>
      </c>
      <c r="E224" s="444">
        <v>0</v>
      </c>
      <c r="F224" s="444">
        <v>0</v>
      </c>
      <c r="G224" s="444">
        <v>0</v>
      </c>
      <c r="H224" s="444">
        <v>0</v>
      </c>
      <c r="I224" s="444">
        <v>0</v>
      </c>
      <c r="J224" s="444">
        <v>0</v>
      </c>
      <c r="K224" s="444">
        <v>0</v>
      </c>
      <c r="L224" s="444">
        <v>0</v>
      </c>
      <c r="M224" s="444">
        <v>0</v>
      </c>
      <c r="N224" s="444">
        <v>0</v>
      </c>
      <c r="O224" s="444">
        <v>0</v>
      </c>
      <c r="P224" s="444">
        <v>0</v>
      </c>
      <c r="Q224" s="433">
        <f t="shared" si="77"/>
        <v>0</v>
      </c>
      <c r="R224" s="444">
        <v>0</v>
      </c>
      <c r="U224" s="699">
        <f t="shared" si="80"/>
        <v>0</v>
      </c>
      <c r="W224" s="481"/>
    </row>
    <row r="225" spans="1:23" ht="13.5" thickBot="1">
      <c r="A225" s="426"/>
      <c r="B225" s="426"/>
      <c r="C225" s="475" t="s">
        <v>1116</v>
      </c>
      <c r="D225" s="435" t="s">
        <v>1117</v>
      </c>
      <c r="E225" s="444"/>
      <c r="F225" s="444"/>
      <c r="G225" s="444"/>
      <c r="H225" s="444"/>
      <c r="I225" s="444"/>
      <c r="J225" s="444"/>
      <c r="K225" s="444"/>
      <c r="L225" s="444"/>
      <c r="M225" s="444"/>
      <c r="N225" s="444"/>
      <c r="O225" s="444"/>
      <c r="P225" s="444"/>
      <c r="Q225" s="433">
        <f t="shared" si="77"/>
        <v>0</v>
      </c>
      <c r="R225" s="444">
        <v>0</v>
      </c>
      <c r="U225" s="699">
        <f t="shared" si="80"/>
        <v>0</v>
      </c>
      <c r="W225" s="481"/>
    </row>
    <row r="226" spans="1:23" ht="15" customHeight="1" thickBot="1">
      <c r="A226" s="426"/>
      <c r="B226" s="426"/>
      <c r="C226" s="434"/>
      <c r="D226" s="435"/>
      <c r="E226" s="444">
        <f t="shared" ref="E226:J226" si="83">SUMIF(E227:E228,"&lt;&gt;0")</f>
        <v>0</v>
      </c>
      <c r="F226" s="444">
        <f t="shared" si="83"/>
        <v>0</v>
      </c>
      <c r="G226" s="444">
        <f t="shared" si="83"/>
        <v>0</v>
      </c>
      <c r="H226" s="444">
        <f t="shared" si="83"/>
        <v>0</v>
      </c>
      <c r="I226" s="444">
        <f t="shared" si="83"/>
        <v>0</v>
      </c>
      <c r="J226" s="444">
        <f t="shared" si="83"/>
        <v>0</v>
      </c>
      <c r="K226" s="444">
        <f t="shared" ref="K226:P226" si="84">SUMIF(K227:K228,"&lt;&gt;0")</f>
        <v>0</v>
      </c>
      <c r="L226" s="444">
        <f t="shared" si="84"/>
        <v>0</v>
      </c>
      <c r="M226" s="444">
        <f t="shared" si="84"/>
        <v>0</v>
      </c>
      <c r="N226" s="444">
        <f t="shared" si="84"/>
        <v>0</v>
      </c>
      <c r="O226" s="444">
        <f t="shared" si="84"/>
        <v>0</v>
      </c>
      <c r="P226" s="444">
        <f t="shared" si="84"/>
        <v>0</v>
      </c>
      <c r="Q226" s="433">
        <f t="shared" si="77"/>
        <v>0</v>
      </c>
      <c r="R226" s="444"/>
      <c r="U226" s="699">
        <f t="shared" si="80"/>
        <v>0</v>
      </c>
      <c r="W226" s="481"/>
    </row>
    <row r="227" spans="1:23" ht="15.75" thickBot="1">
      <c r="A227" s="430"/>
      <c r="B227" s="426"/>
      <c r="C227" s="482" t="s">
        <v>1118</v>
      </c>
      <c r="D227" s="483" t="s">
        <v>1119</v>
      </c>
      <c r="E227" s="484">
        <v>0</v>
      </c>
      <c r="F227" s="484">
        <v>0</v>
      </c>
      <c r="G227" s="484">
        <v>0</v>
      </c>
      <c r="H227" s="484">
        <v>0</v>
      </c>
      <c r="I227" s="484">
        <v>0</v>
      </c>
      <c r="J227" s="484">
        <v>0</v>
      </c>
      <c r="K227" s="484">
        <v>0</v>
      </c>
      <c r="L227" s="484">
        <v>0</v>
      </c>
      <c r="M227" s="484">
        <v>0</v>
      </c>
      <c r="N227" s="484">
        <v>0</v>
      </c>
      <c r="O227" s="484">
        <v>0</v>
      </c>
      <c r="P227" s="484">
        <v>0</v>
      </c>
      <c r="Q227" s="433">
        <f t="shared" si="77"/>
        <v>0</v>
      </c>
      <c r="R227" s="484">
        <v>0</v>
      </c>
      <c r="U227" s="699">
        <f t="shared" si="80"/>
        <v>0</v>
      </c>
      <c r="W227" s="481"/>
    </row>
    <row r="228" spans="1:23" ht="17.25" customHeight="1" thickBot="1">
      <c r="A228" s="426"/>
      <c r="B228" s="426"/>
      <c r="C228" s="485" t="s">
        <v>1120</v>
      </c>
      <c r="D228" s="486" t="s">
        <v>1121</v>
      </c>
      <c r="E228" s="487">
        <v>0</v>
      </c>
      <c r="F228" s="487">
        <v>0</v>
      </c>
      <c r="G228" s="487">
        <v>0</v>
      </c>
      <c r="H228" s="487">
        <v>0</v>
      </c>
      <c r="I228" s="487">
        <v>0</v>
      </c>
      <c r="J228" s="487">
        <v>0</v>
      </c>
      <c r="K228" s="487">
        <v>0</v>
      </c>
      <c r="L228" s="487">
        <v>0</v>
      </c>
      <c r="M228" s="487">
        <v>0</v>
      </c>
      <c r="N228" s="487">
        <v>0</v>
      </c>
      <c r="O228" s="487">
        <v>0</v>
      </c>
      <c r="P228" s="487">
        <v>0</v>
      </c>
      <c r="Q228" s="433">
        <f t="shared" si="77"/>
        <v>0</v>
      </c>
      <c r="R228" s="487">
        <v>0</v>
      </c>
      <c r="U228" s="699">
        <f t="shared" si="80"/>
        <v>0</v>
      </c>
      <c r="W228" s="481"/>
    </row>
    <row r="229" spans="1:23" ht="12" customHeight="1" thickBot="1">
      <c r="A229" s="426"/>
      <c r="B229" s="426"/>
      <c r="C229" s="475"/>
      <c r="D229" s="435"/>
      <c r="E229" s="444"/>
      <c r="F229" s="444"/>
      <c r="G229" s="444"/>
      <c r="H229" s="444"/>
      <c r="I229" s="444"/>
      <c r="J229" s="444"/>
      <c r="K229" s="444"/>
      <c r="L229" s="444"/>
      <c r="M229" s="444"/>
      <c r="N229" s="444"/>
      <c r="O229" s="444"/>
      <c r="P229" s="444"/>
      <c r="Q229" s="433">
        <f t="shared" si="77"/>
        <v>0</v>
      </c>
      <c r="R229" s="444"/>
      <c r="U229" s="699">
        <f t="shared" si="80"/>
        <v>0</v>
      </c>
      <c r="W229" s="481"/>
    </row>
    <row r="230" spans="1:23" ht="15.75" thickBot="1">
      <c r="A230" s="430"/>
      <c r="B230" s="426"/>
      <c r="C230" s="477" t="s">
        <v>1122</v>
      </c>
      <c r="D230" s="441" t="s">
        <v>1123</v>
      </c>
      <c r="E230" s="451">
        <f t="shared" ref="E230:P230" si="85">SUMIF(E231,"&lt;&gt;0")</f>
        <v>0</v>
      </c>
      <c r="F230" s="451">
        <f t="shared" si="85"/>
        <v>0</v>
      </c>
      <c r="G230" s="451">
        <f t="shared" si="85"/>
        <v>0</v>
      </c>
      <c r="H230" s="451">
        <f t="shared" si="85"/>
        <v>0</v>
      </c>
      <c r="I230" s="451">
        <f t="shared" si="85"/>
        <v>0</v>
      </c>
      <c r="J230" s="451">
        <f t="shared" si="85"/>
        <v>0</v>
      </c>
      <c r="K230" s="451">
        <f t="shared" si="85"/>
        <v>0</v>
      </c>
      <c r="L230" s="451">
        <f t="shared" si="85"/>
        <v>0</v>
      </c>
      <c r="M230" s="451">
        <f t="shared" si="85"/>
        <v>0</v>
      </c>
      <c r="N230" s="451">
        <f t="shared" si="85"/>
        <v>0</v>
      </c>
      <c r="O230" s="451">
        <f t="shared" si="85"/>
        <v>0</v>
      </c>
      <c r="P230" s="451">
        <f t="shared" si="85"/>
        <v>0</v>
      </c>
      <c r="Q230" s="433">
        <f t="shared" si="77"/>
        <v>0</v>
      </c>
      <c r="R230" s="451">
        <v>0</v>
      </c>
      <c r="U230" s="699">
        <f t="shared" si="80"/>
        <v>0</v>
      </c>
      <c r="W230" s="481"/>
    </row>
    <row r="231" spans="1:23" ht="13.5" thickBot="1">
      <c r="A231" s="426" t="s">
        <v>1124</v>
      </c>
      <c r="B231" s="426"/>
      <c r="C231" s="475" t="s">
        <v>1125</v>
      </c>
      <c r="D231" s="435" t="s">
        <v>1126</v>
      </c>
      <c r="E231" s="444">
        <v>0</v>
      </c>
      <c r="F231" s="444">
        <v>0</v>
      </c>
      <c r="G231" s="444">
        <v>0</v>
      </c>
      <c r="H231" s="444">
        <v>0</v>
      </c>
      <c r="I231" s="444">
        <v>0</v>
      </c>
      <c r="J231" s="444">
        <v>0</v>
      </c>
      <c r="K231" s="444">
        <v>0</v>
      </c>
      <c r="L231" s="444">
        <v>0</v>
      </c>
      <c r="M231" s="444">
        <v>0</v>
      </c>
      <c r="N231" s="444">
        <v>0</v>
      </c>
      <c r="O231" s="444">
        <v>0</v>
      </c>
      <c r="P231" s="444">
        <v>0</v>
      </c>
      <c r="Q231" s="433">
        <f t="shared" si="77"/>
        <v>0</v>
      </c>
      <c r="R231" s="444">
        <v>0</v>
      </c>
      <c r="U231" s="699">
        <f t="shared" si="80"/>
        <v>0</v>
      </c>
      <c r="W231" s="481"/>
    </row>
    <row r="232" spans="1:23" ht="13.5" customHeight="1" thickBot="1">
      <c r="A232" s="426" t="s">
        <v>1127</v>
      </c>
      <c r="B232" s="426"/>
      <c r="C232" s="475"/>
      <c r="D232" s="435"/>
      <c r="E232" s="444"/>
      <c r="F232" s="444"/>
      <c r="G232" s="444"/>
      <c r="H232" s="444"/>
      <c r="I232" s="444"/>
      <c r="J232" s="444"/>
      <c r="K232" s="444"/>
      <c r="L232" s="444"/>
      <c r="M232" s="444"/>
      <c r="N232" s="444"/>
      <c r="O232" s="444"/>
      <c r="P232" s="444"/>
      <c r="Q232" s="433">
        <f t="shared" si="77"/>
        <v>0</v>
      </c>
      <c r="R232" s="444"/>
      <c r="U232" s="699">
        <f t="shared" si="80"/>
        <v>0</v>
      </c>
      <c r="W232" s="481"/>
    </row>
    <row r="233" spans="1:23" ht="13.5" thickBot="1">
      <c r="A233" s="426"/>
      <c r="B233" s="426"/>
      <c r="C233" s="477" t="s">
        <v>1128</v>
      </c>
      <c r="D233" s="441" t="s">
        <v>289</v>
      </c>
      <c r="E233" s="451">
        <f t="shared" ref="E233:J233" si="86">SUMIF(E234:E236,"&lt;&gt;0")+E239</f>
        <v>0</v>
      </c>
      <c r="F233" s="451">
        <f t="shared" si="86"/>
        <v>0</v>
      </c>
      <c r="G233" s="451">
        <f t="shared" si="86"/>
        <v>0</v>
      </c>
      <c r="H233" s="451">
        <f t="shared" si="86"/>
        <v>0</v>
      </c>
      <c r="I233" s="451">
        <f t="shared" si="86"/>
        <v>0</v>
      </c>
      <c r="J233" s="451">
        <f t="shared" si="86"/>
        <v>0</v>
      </c>
      <c r="K233" s="451">
        <f t="shared" ref="K233:P233" si="87">SUMIF(K234:K236,"&lt;&gt;0")+K239</f>
        <v>0</v>
      </c>
      <c r="L233" s="451">
        <f t="shared" si="87"/>
        <v>0</v>
      </c>
      <c r="M233" s="451">
        <f t="shared" si="87"/>
        <v>0</v>
      </c>
      <c r="N233" s="451">
        <f t="shared" si="87"/>
        <v>7609101.2000000002</v>
      </c>
      <c r="O233" s="451">
        <f t="shared" si="87"/>
        <v>1311914</v>
      </c>
      <c r="P233" s="451">
        <f t="shared" si="87"/>
        <v>0</v>
      </c>
      <c r="Q233" s="433">
        <f t="shared" si="77"/>
        <v>8921015.1999999993</v>
      </c>
      <c r="R233" s="451"/>
      <c r="U233" s="699">
        <f>+U237+U238</f>
        <v>9839850</v>
      </c>
      <c r="W233" s="481"/>
    </row>
    <row r="234" spans="1:23" ht="13.5" thickBot="1">
      <c r="A234" s="445" t="s">
        <v>1129</v>
      </c>
      <c r="B234" s="426" t="s">
        <v>1124</v>
      </c>
      <c r="C234" s="434" t="s">
        <v>1130</v>
      </c>
      <c r="D234" s="435" t="s">
        <v>1131</v>
      </c>
      <c r="E234" s="444">
        <v>0</v>
      </c>
      <c r="F234" s="444">
        <v>0</v>
      </c>
      <c r="G234" s="444">
        <v>0</v>
      </c>
      <c r="H234" s="444">
        <v>0</v>
      </c>
      <c r="I234" s="444">
        <v>0</v>
      </c>
      <c r="J234" s="444">
        <v>0</v>
      </c>
      <c r="K234" s="444">
        <v>0</v>
      </c>
      <c r="L234" s="444">
        <v>0</v>
      </c>
      <c r="M234" s="444">
        <v>0</v>
      </c>
      <c r="N234" s="444">
        <v>0</v>
      </c>
      <c r="O234" s="444">
        <v>0</v>
      </c>
      <c r="P234" s="444">
        <v>0</v>
      </c>
      <c r="Q234" s="433">
        <f t="shared" si="77"/>
        <v>0</v>
      </c>
      <c r="R234" s="444"/>
      <c r="U234" s="699">
        <f>SUM(I234:Q234)</f>
        <v>0</v>
      </c>
      <c r="W234" s="481"/>
    </row>
    <row r="235" spans="1:23" ht="13.5" thickBot="1">
      <c r="A235" s="445"/>
      <c r="B235" s="426" t="s">
        <v>1127</v>
      </c>
      <c r="C235" s="434" t="s">
        <v>1132</v>
      </c>
      <c r="D235" s="435" t="s">
        <v>1133</v>
      </c>
      <c r="E235" s="444"/>
      <c r="F235" s="444"/>
      <c r="G235" s="444"/>
      <c r="H235" s="444"/>
      <c r="I235" s="444"/>
      <c r="J235" s="444"/>
      <c r="K235" s="444"/>
      <c r="L235" s="444"/>
      <c r="M235" s="444"/>
      <c r="N235" s="444"/>
      <c r="O235" s="444"/>
      <c r="P235" s="444"/>
      <c r="Q235" s="433">
        <f t="shared" si="77"/>
        <v>0</v>
      </c>
      <c r="R235" s="444"/>
      <c r="U235" s="699">
        <f>SUM(I235:Q235)</f>
        <v>0</v>
      </c>
      <c r="W235" s="481"/>
    </row>
    <row r="236" spans="1:23" ht="13.5" thickBot="1">
      <c r="A236" s="445" t="s">
        <v>1134</v>
      </c>
      <c r="B236" s="426"/>
      <c r="C236" s="434" t="s">
        <v>1135</v>
      </c>
      <c r="D236" s="435" t="s">
        <v>1136</v>
      </c>
      <c r="E236" s="444">
        <f t="shared" ref="E236:J236" si="88">SUMIF(E237:E239,"&lt;&gt;0")+SUMIF(E242,"&lt;&gt;0")</f>
        <v>0</v>
      </c>
      <c r="F236" s="444">
        <f t="shared" si="88"/>
        <v>0</v>
      </c>
      <c r="G236" s="444">
        <f t="shared" si="88"/>
        <v>0</v>
      </c>
      <c r="H236" s="444">
        <f t="shared" si="88"/>
        <v>0</v>
      </c>
      <c r="I236" s="444">
        <f t="shared" si="88"/>
        <v>0</v>
      </c>
      <c r="J236" s="444">
        <f t="shared" si="88"/>
        <v>0</v>
      </c>
      <c r="K236" s="444">
        <f t="shared" ref="K236:P236" si="89">SUMIF(K237:K239,"&lt;&gt;0")+SUMIF(K242,"&lt;&gt;0")</f>
        <v>0</v>
      </c>
      <c r="L236" s="444">
        <f t="shared" si="89"/>
        <v>0</v>
      </c>
      <c r="M236" s="444">
        <f t="shared" si="89"/>
        <v>0</v>
      </c>
      <c r="N236" s="444">
        <f t="shared" si="89"/>
        <v>7609101.2000000002</v>
      </c>
      <c r="O236" s="444">
        <f t="shared" si="89"/>
        <v>1311914</v>
      </c>
      <c r="P236" s="444">
        <f t="shared" si="89"/>
        <v>0</v>
      </c>
      <c r="Q236" s="433">
        <f t="shared" si="77"/>
        <v>8921015.1999999993</v>
      </c>
      <c r="R236" s="444"/>
      <c r="U236" s="699">
        <f>+U237+U238</f>
        <v>9839850</v>
      </c>
      <c r="W236" s="481"/>
    </row>
    <row r="237" spans="1:23" ht="13.5" thickBot="1">
      <c r="A237" s="445"/>
      <c r="B237" s="426" t="s">
        <v>1129</v>
      </c>
      <c r="C237" s="488" t="s">
        <v>1470</v>
      </c>
      <c r="D237" s="489" t="s">
        <v>1137</v>
      </c>
      <c r="E237" s="448">
        <f>+('LICENCA PESCA'!D11+'LICENCA PESCA'!D12+'LICENCA PESCA'!D13)/1000</f>
        <v>0</v>
      </c>
      <c r="F237" s="448">
        <f>+('LICENCA PESCA'!E11+'LICENCA PESCA'!E12+'LICENCA PESCA'!E13)/1000</f>
        <v>0</v>
      </c>
      <c r="G237" s="448">
        <f>+('LICENCA PESCA'!F11+'LICENCA PESCA'!F12+'LICENCA PESCA'!F13)/1000</f>
        <v>0</v>
      </c>
      <c r="H237" s="448">
        <f>+('LICENCA PESCA'!G11+'LICENCA PESCA'!G12+'LICENCA PESCA'!G13)/1000</f>
        <v>0</v>
      </c>
      <c r="I237" s="448">
        <f>+('LICENCA PESCA'!H11+'LICENCA PESCA'!H12+'LICENCA PESCA'!H13)/1000</f>
        <v>0</v>
      </c>
      <c r="J237" s="448">
        <f>+('LICENCA PESCA'!I11+'LICENCA PESCA'!I12+'LICENCA PESCA'!I13)/1000</f>
        <v>0</v>
      </c>
      <c r="K237" s="448">
        <f>+('LICENCA PESCA'!J11+'LICENCA PESCA'!J12+'LICENCA PESCA'!J13)/1000</f>
        <v>0</v>
      </c>
      <c r="L237" s="448">
        <f>+('LICENCA PESCA'!K11+'LICENCA PESCA'!K12+'LICENCA PESCA'!K13)/1000</f>
        <v>0</v>
      </c>
      <c r="M237" s="448">
        <f>+('LICENCA PESCA'!L11+'LICENCA PESCA'!L12+'LICENCA PESCA'!L13)/1000</f>
        <v>0</v>
      </c>
      <c r="N237" s="448">
        <f>+('LICENCA PESCA'!M11+'LICENCA PESCA'!M12+'LICENCA PESCA'!M13)/1000</f>
        <v>7609101.2000000002</v>
      </c>
      <c r="O237" s="448">
        <f>+('LICENCA PESCA'!N11+'LICENCA PESCA'!N12+'LICENCA PESCA'!N13)/1000</f>
        <v>1311914</v>
      </c>
      <c r="P237" s="448">
        <f>+('LICENCA PESCA'!O11+'LICENCA PESCA'!O12+'LICENCA PESCA'!O13)/1000</f>
        <v>0</v>
      </c>
      <c r="Q237" s="433">
        <f t="shared" si="77"/>
        <v>8921015.1999999993</v>
      </c>
      <c r="R237" s="448"/>
      <c r="U237" s="699">
        <v>5969509</v>
      </c>
      <c r="W237" s="481"/>
    </row>
    <row r="238" spans="1:23" ht="15.75" thickBot="1">
      <c r="A238" s="436"/>
      <c r="B238" s="426"/>
      <c r="C238" s="478" t="s">
        <v>1471</v>
      </c>
      <c r="D238" s="489" t="s">
        <v>1731</v>
      </c>
      <c r="E238" s="1071">
        <f>+'LICENCA PESCA'!D13/1000</f>
        <v>0</v>
      </c>
      <c r="F238" s="1071">
        <f>+'LICENCA PESCA'!E13/1000</f>
        <v>0</v>
      </c>
      <c r="G238" s="1071">
        <f>+'LICENCA PESCA'!F13/1000</f>
        <v>0</v>
      </c>
      <c r="H238" s="1071">
        <f>+'LICENCA PESCA'!G13/1000</f>
        <v>0</v>
      </c>
      <c r="I238" s="1071">
        <f>+'LICENCA PESCA'!H13/1000</f>
        <v>0</v>
      </c>
      <c r="J238" s="1071">
        <f>+'LICENCA PESCA'!I13/1000</f>
        <v>0</v>
      </c>
      <c r="K238" s="1071">
        <f>+'LICENCA PESCA'!J13/1000</f>
        <v>0</v>
      </c>
      <c r="L238" s="1071">
        <f>+'LICENCA PESCA'!K13/1000</f>
        <v>0</v>
      </c>
      <c r="M238" s="1071">
        <f>+'LICENCA PESCA'!L13/1000</f>
        <v>0</v>
      </c>
      <c r="N238" s="1071">
        <f>+'LICENCA PESCA'!M13/1000</f>
        <v>0</v>
      </c>
      <c r="O238" s="1071">
        <f>+'LICENCA PESCA'!N13/1000</f>
        <v>0</v>
      </c>
      <c r="P238" s="1071">
        <f>+'LICENCA PESCA'!O13/1000</f>
        <v>0</v>
      </c>
      <c r="Q238" s="433">
        <f t="shared" si="77"/>
        <v>0</v>
      </c>
      <c r="R238" s="452"/>
      <c r="U238" s="699">
        <v>3870341</v>
      </c>
      <c r="W238" s="481"/>
    </row>
    <row r="239" spans="1:23" ht="13.5" thickBot="1">
      <c r="A239" s="426"/>
      <c r="B239" s="426" t="s">
        <v>1134</v>
      </c>
      <c r="C239" s="465" t="s">
        <v>1138</v>
      </c>
      <c r="D239" s="435" t="s">
        <v>1139</v>
      </c>
      <c r="E239" s="444"/>
      <c r="F239" s="444"/>
      <c r="G239" s="444"/>
      <c r="H239" s="444"/>
      <c r="I239" s="444"/>
      <c r="J239" s="444"/>
      <c r="K239" s="444"/>
      <c r="L239" s="444"/>
      <c r="M239" s="444"/>
      <c r="N239" s="444"/>
      <c r="O239" s="444"/>
      <c r="P239" s="444"/>
      <c r="Q239" s="433">
        <f t="shared" si="77"/>
        <v>0</v>
      </c>
      <c r="R239" s="444"/>
      <c r="U239" s="699">
        <f>SUM(I239:Q239)</f>
        <v>0</v>
      </c>
      <c r="W239" s="481"/>
    </row>
    <row r="240" spans="1:23" ht="5.0999999999999996" customHeight="1" thickBot="1">
      <c r="A240" s="430"/>
      <c r="B240" s="426"/>
      <c r="C240" s="478"/>
      <c r="D240" s="489"/>
      <c r="E240" s="448"/>
      <c r="F240" s="448"/>
      <c r="G240" s="448"/>
      <c r="H240" s="448"/>
      <c r="I240" s="448"/>
      <c r="J240" s="448"/>
      <c r="K240" s="448"/>
      <c r="L240" s="448"/>
      <c r="M240" s="448"/>
      <c r="N240" s="448"/>
      <c r="O240" s="448"/>
      <c r="P240" s="448"/>
      <c r="Q240" s="433">
        <f t="shared" si="77"/>
        <v>0</v>
      </c>
      <c r="R240" s="448"/>
      <c r="U240" s="699">
        <f>SUM(I240:Q240)</f>
        <v>0</v>
      </c>
      <c r="W240" s="481"/>
    </row>
    <row r="241" spans="1:23" ht="13.5" thickBot="1">
      <c r="A241" s="466" t="s">
        <v>1140</v>
      </c>
      <c r="B241" s="426"/>
      <c r="C241" s="437" t="s">
        <v>1141</v>
      </c>
      <c r="D241" s="438" t="s">
        <v>1142</v>
      </c>
      <c r="E241" s="439">
        <f t="shared" ref="E241:J241" si="90">E243+E247+E263+E292</f>
        <v>139456.443</v>
      </c>
      <c r="F241" s="439">
        <f t="shared" si="90"/>
        <v>203825.76100000003</v>
      </c>
      <c r="G241" s="439">
        <f t="shared" si="90"/>
        <v>188232.32800000001</v>
      </c>
      <c r="H241" s="439">
        <f t="shared" si="90"/>
        <v>184663.11499999999</v>
      </c>
      <c r="I241" s="439">
        <f t="shared" si="90"/>
        <v>355859.13</v>
      </c>
      <c r="J241" s="439">
        <f t="shared" si="90"/>
        <v>603162.54</v>
      </c>
      <c r="K241" s="439">
        <f t="shared" ref="K241:P241" si="91">K243+K247+K263+K292</f>
        <v>496498.39899999998</v>
      </c>
      <c r="L241" s="439">
        <f t="shared" si="91"/>
        <v>327981.26300000004</v>
      </c>
      <c r="M241" s="439">
        <f t="shared" si="91"/>
        <v>224603.21600000001</v>
      </c>
      <c r="N241" s="439">
        <f t="shared" si="91"/>
        <v>173659.01700000002</v>
      </c>
      <c r="O241" s="439">
        <f t="shared" si="91"/>
        <v>109055.25199999999</v>
      </c>
      <c r="P241" s="439">
        <f t="shared" si="91"/>
        <v>191007.60499999998</v>
      </c>
      <c r="Q241" s="433">
        <f t="shared" si="77"/>
        <v>3198004.0690000001</v>
      </c>
      <c r="R241" s="439"/>
      <c r="U241" s="699">
        <f>0+U247+U263+U292</f>
        <v>1032401</v>
      </c>
      <c r="W241" s="481"/>
    </row>
    <row r="242" spans="1:23" ht="15.75" customHeight="1" thickBot="1">
      <c r="A242" s="426"/>
      <c r="B242" s="426"/>
      <c r="C242" s="434"/>
      <c r="D242" s="435"/>
      <c r="E242" s="444"/>
      <c r="F242" s="444"/>
      <c r="G242" s="444"/>
      <c r="H242" s="444"/>
      <c r="I242" s="444"/>
      <c r="J242" s="444"/>
      <c r="K242" s="444"/>
      <c r="L242" s="444"/>
      <c r="M242" s="444"/>
      <c r="N242" s="444"/>
      <c r="O242" s="444"/>
      <c r="P242" s="444"/>
      <c r="Q242" s="433">
        <f t="shared" si="77"/>
        <v>0</v>
      </c>
      <c r="R242" s="444"/>
      <c r="U242" s="699">
        <f>SUM(I242:Q242)</f>
        <v>0</v>
      </c>
      <c r="W242" s="481"/>
    </row>
    <row r="243" spans="1:23" ht="13.5" thickBot="1">
      <c r="A243" s="426"/>
      <c r="B243" s="426"/>
      <c r="C243" s="477" t="s">
        <v>1143</v>
      </c>
      <c r="D243" s="441" t="s">
        <v>155</v>
      </c>
      <c r="E243" s="451">
        <f t="shared" ref="E243:J243" si="92">SUMIF(E244:E245,"&lt;&gt;0")</f>
        <v>0</v>
      </c>
      <c r="F243" s="451">
        <f t="shared" si="92"/>
        <v>0</v>
      </c>
      <c r="G243" s="451">
        <f t="shared" si="92"/>
        <v>0</v>
      </c>
      <c r="H243" s="451">
        <f t="shared" si="92"/>
        <v>0</v>
      </c>
      <c r="I243" s="451">
        <f t="shared" si="92"/>
        <v>0</v>
      </c>
      <c r="J243" s="451">
        <f t="shared" si="92"/>
        <v>0</v>
      </c>
      <c r="K243" s="451">
        <f t="shared" ref="K243:P243" si="93">SUMIF(K244:K245,"&lt;&gt;0")</f>
        <v>0</v>
      </c>
      <c r="L243" s="451">
        <f t="shared" si="93"/>
        <v>0</v>
      </c>
      <c r="M243" s="451">
        <f t="shared" si="93"/>
        <v>0</v>
      </c>
      <c r="N243" s="451">
        <f t="shared" si="93"/>
        <v>0</v>
      </c>
      <c r="O243" s="451">
        <f t="shared" si="93"/>
        <v>0</v>
      </c>
      <c r="P243" s="451">
        <f t="shared" si="93"/>
        <v>0</v>
      </c>
      <c r="Q243" s="433">
        <f t="shared" si="77"/>
        <v>0</v>
      </c>
      <c r="R243" s="451"/>
      <c r="U243" s="699">
        <v>0</v>
      </c>
      <c r="W243" s="481"/>
    </row>
    <row r="244" spans="1:23" ht="15.75" thickBot="1">
      <c r="A244" s="430"/>
      <c r="B244" s="466" t="s">
        <v>1140</v>
      </c>
      <c r="C244" s="475" t="s">
        <v>1143</v>
      </c>
      <c r="D244" s="435" t="s">
        <v>1055</v>
      </c>
      <c r="E244" s="444">
        <v>0</v>
      </c>
      <c r="F244" s="444">
        <v>0</v>
      </c>
      <c r="G244" s="444">
        <v>0</v>
      </c>
      <c r="H244" s="444">
        <v>0</v>
      </c>
      <c r="I244" s="444">
        <v>0</v>
      </c>
      <c r="J244" s="444">
        <v>0</v>
      </c>
      <c r="K244" s="444">
        <v>0</v>
      </c>
      <c r="L244" s="444">
        <v>0</v>
      </c>
      <c r="M244" s="444">
        <v>0</v>
      </c>
      <c r="N244" s="444">
        <v>0</v>
      </c>
      <c r="O244" s="444">
        <v>0</v>
      </c>
      <c r="P244" s="444">
        <v>0</v>
      </c>
      <c r="Q244" s="433">
        <f t="shared" si="77"/>
        <v>0</v>
      </c>
      <c r="R244" s="444"/>
      <c r="U244" s="699">
        <f>SUM(I244:Q244)</f>
        <v>0</v>
      </c>
      <c r="W244" s="481"/>
    </row>
    <row r="245" spans="1:23" ht="13.5" thickBot="1">
      <c r="A245" s="426"/>
      <c r="B245" s="426"/>
      <c r="C245" s="475" t="s">
        <v>1144</v>
      </c>
      <c r="D245" s="435" t="s">
        <v>1145</v>
      </c>
      <c r="E245" s="1492"/>
      <c r="F245" s="1492"/>
      <c r="G245" s="1492"/>
      <c r="H245" s="1492"/>
      <c r="I245" s="1492"/>
      <c r="J245" s="1492"/>
      <c r="K245" s="1492"/>
      <c r="L245" s="1492"/>
      <c r="M245" s="1492"/>
      <c r="N245" s="1492"/>
      <c r="O245" s="1492"/>
      <c r="P245" s="1492"/>
      <c r="Q245" s="433">
        <f t="shared" si="77"/>
        <v>0</v>
      </c>
      <c r="R245" s="444"/>
      <c r="U245" s="699">
        <f>SUM(I245:Q245)</f>
        <v>0</v>
      </c>
      <c r="W245" s="481"/>
    </row>
    <row r="246" spans="1:23" ht="13.5" customHeight="1" thickBot="1">
      <c r="A246" s="445"/>
      <c r="B246" s="426"/>
      <c r="C246" s="434"/>
      <c r="D246" s="435"/>
      <c r="E246" s="444"/>
      <c r="F246" s="444"/>
      <c r="G246" s="444"/>
      <c r="H246" s="444"/>
      <c r="I246" s="444"/>
      <c r="J246" s="444"/>
      <c r="K246" s="444"/>
      <c r="L246" s="444"/>
      <c r="M246" s="444"/>
      <c r="N246" s="444"/>
      <c r="O246" s="444"/>
      <c r="P246" s="444"/>
      <c r="Q246" s="433">
        <f t="shared" si="77"/>
        <v>0</v>
      </c>
      <c r="R246" s="444"/>
      <c r="U246" s="699">
        <f>SUM(I246:Q246)</f>
        <v>0</v>
      </c>
      <c r="W246" s="481"/>
    </row>
    <row r="247" spans="1:23" ht="13.5" thickBot="1">
      <c r="A247" s="445"/>
      <c r="B247" s="426"/>
      <c r="C247" s="477" t="s">
        <v>32</v>
      </c>
      <c r="D247" s="441" t="s">
        <v>555</v>
      </c>
      <c r="E247" s="451">
        <f t="shared" ref="E247:J247" si="94">SUMIF(E248,"&lt;&gt;0")+SUMIF(E261,"&lt;&gt;0")</f>
        <v>0</v>
      </c>
      <c r="F247" s="451">
        <f t="shared" si="94"/>
        <v>0</v>
      </c>
      <c r="G247" s="451">
        <f t="shared" si="94"/>
        <v>3</v>
      </c>
      <c r="H247" s="451">
        <f t="shared" si="94"/>
        <v>1</v>
      </c>
      <c r="I247" s="451">
        <f t="shared" si="94"/>
        <v>5.5</v>
      </c>
      <c r="J247" s="451">
        <f t="shared" si="94"/>
        <v>113.5</v>
      </c>
      <c r="K247" s="451">
        <f t="shared" ref="K247:P247" si="95">SUMIF(K248,"&lt;&gt;0")+SUMIF(K261,"&lt;&gt;0")</f>
        <v>0</v>
      </c>
      <c r="L247" s="451">
        <f t="shared" si="95"/>
        <v>0</v>
      </c>
      <c r="M247" s="451">
        <f t="shared" si="95"/>
        <v>0</v>
      </c>
      <c r="N247" s="451">
        <f t="shared" si="95"/>
        <v>0</v>
      </c>
      <c r="O247" s="451">
        <f t="shared" si="95"/>
        <v>0</v>
      </c>
      <c r="P247" s="451">
        <f t="shared" si="95"/>
        <v>0</v>
      </c>
      <c r="Q247" s="433">
        <f t="shared" si="77"/>
        <v>123</v>
      </c>
      <c r="R247" s="451"/>
      <c r="U247" s="699">
        <v>27809</v>
      </c>
      <c r="W247" s="481"/>
    </row>
    <row r="248" spans="1:23" ht="13.5" thickBot="1">
      <c r="A248" s="445"/>
      <c r="B248" s="426"/>
      <c r="C248" s="475" t="s">
        <v>1146</v>
      </c>
      <c r="D248" s="435" t="s">
        <v>1147</v>
      </c>
      <c r="E248" s="444">
        <f t="shared" ref="E248:J248" si="96">SUMIF(E249:E260,"&lt;&gt;0")</f>
        <v>0</v>
      </c>
      <c r="F248" s="444">
        <f t="shared" si="96"/>
        <v>0</v>
      </c>
      <c r="G248" s="444">
        <f t="shared" si="96"/>
        <v>3</v>
      </c>
      <c r="H248" s="444">
        <f t="shared" si="96"/>
        <v>1</v>
      </c>
      <c r="I248" s="444">
        <f t="shared" si="96"/>
        <v>5.5</v>
      </c>
      <c r="J248" s="444">
        <f t="shared" si="96"/>
        <v>113.5</v>
      </c>
      <c r="K248" s="444">
        <f t="shared" ref="K248:P248" si="97">SUMIF(K249:K260,"&lt;&gt;0")</f>
        <v>0</v>
      </c>
      <c r="L248" s="444">
        <f t="shared" si="97"/>
        <v>0</v>
      </c>
      <c r="M248" s="444">
        <f t="shared" si="97"/>
        <v>0</v>
      </c>
      <c r="N248" s="444">
        <f t="shared" si="97"/>
        <v>0</v>
      </c>
      <c r="O248" s="444">
        <f t="shared" si="97"/>
        <v>0</v>
      </c>
      <c r="P248" s="444">
        <f t="shared" si="97"/>
        <v>0</v>
      </c>
      <c r="Q248" s="433">
        <f t="shared" si="77"/>
        <v>123</v>
      </c>
      <c r="R248" s="444"/>
      <c r="U248" s="699">
        <v>1040</v>
      </c>
      <c r="W248" s="481"/>
    </row>
    <row r="249" spans="1:23" ht="13.5" thickBot="1">
      <c r="A249" s="445"/>
      <c r="B249" s="426"/>
      <c r="C249" s="478" t="s">
        <v>1472</v>
      </c>
      <c r="D249" s="449" t="s">
        <v>1148</v>
      </c>
      <c r="E249" s="452"/>
      <c r="F249" s="452"/>
      <c r="G249" s="452"/>
      <c r="H249" s="452"/>
      <c r="I249" s="452"/>
      <c r="J249" s="452"/>
      <c r="K249" s="452"/>
      <c r="L249" s="452"/>
      <c r="M249" s="452"/>
      <c r="N249" s="452"/>
      <c r="O249" s="452"/>
      <c r="P249" s="452"/>
      <c r="Q249" s="433">
        <f t="shared" si="77"/>
        <v>0</v>
      </c>
      <c r="R249" s="452"/>
      <c r="U249" s="699">
        <f t="shared" ref="U249:U257" si="98">SUM(I249:Q249)</f>
        <v>0</v>
      </c>
      <c r="W249" s="481"/>
    </row>
    <row r="250" spans="1:23" ht="13.5" thickBot="1">
      <c r="A250" s="445"/>
      <c r="B250" s="426"/>
      <c r="C250" s="478" t="s">
        <v>1473</v>
      </c>
      <c r="D250" s="449" t="s">
        <v>1149</v>
      </c>
      <c r="E250" s="452"/>
      <c r="F250" s="452"/>
      <c r="G250" s="452"/>
      <c r="H250" s="452"/>
      <c r="I250" s="452"/>
      <c r="J250" s="452"/>
      <c r="K250" s="452"/>
      <c r="L250" s="452"/>
      <c r="M250" s="452"/>
      <c r="N250" s="452"/>
      <c r="O250" s="452"/>
      <c r="P250" s="452"/>
      <c r="Q250" s="433">
        <f t="shared" si="77"/>
        <v>0</v>
      </c>
      <c r="R250" s="452"/>
      <c r="U250" s="699">
        <f t="shared" si="98"/>
        <v>0</v>
      </c>
      <c r="W250" s="481"/>
    </row>
    <row r="251" spans="1:23" ht="13.5" thickBot="1">
      <c r="A251" s="445"/>
      <c r="B251" s="426"/>
      <c r="C251" s="478" t="s">
        <v>1474</v>
      </c>
      <c r="D251" s="449" t="s">
        <v>1151</v>
      </c>
      <c r="E251" s="452"/>
      <c r="F251" s="452"/>
      <c r="G251" s="452"/>
      <c r="H251" s="452"/>
      <c r="I251" s="452"/>
      <c r="J251" s="452"/>
      <c r="K251" s="452"/>
      <c r="L251" s="452"/>
      <c r="M251" s="452"/>
      <c r="N251" s="452"/>
      <c r="O251" s="452"/>
      <c r="P251" s="452"/>
      <c r="Q251" s="433">
        <f t="shared" si="77"/>
        <v>0</v>
      </c>
      <c r="R251" s="452"/>
      <c r="U251" s="699">
        <f t="shared" si="98"/>
        <v>0</v>
      </c>
      <c r="W251" s="481"/>
    </row>
    <row r="252" spans="1:23" ht="13.5" thickBot="1">
      <c r="A252" s="445"/>
      <c r="B252" s="426"/>
      <c r="C252" s="478" t="s">
        <v>1475</v>
      </c>
      <c r="D252" s="449" t="s">
        <v>2926</v>
      </c>
      <c r="E252" s="878">
        <f>+'DGCI '!C100</f>
        <v>0</v>
      </c>
      <c r="F252" s="878">
        <f>+'DGCI '!D100</f>
        <v>0</v>
      </c>
      <c r="G252" s="878">
        <f>+'DGCI '!E100</f>
        <v>0</v>
      </c>
      <c r="H252" s="878">
        <f>+'DGCI '!F100</f>
        <v>0</v>
      </c>
      <c r="I252" s="878">
        <f>+'DGCI '!G100</f>
        <v>0</v>
      </c>
      <c r="J252" s="878">
        <f>+'DGCI '!H100/1000</f>
        <v>100</v>
      </c>
      <c r="K252" s="878">
        <f>+'DGCI '!J100</f>
        <v>0</v>
      </c>
      <c r="L252" s="878">
        <f>+'DGCI '!K100</f>
        <v>0</v>
      </c>
      <c r="M252" s="878">
        <f>+'DGCI '!L100</f>
        <v>0</v>
      </c>
      <c r="N252" s="878">
        <f>+'DGCI '!M100</f>
        <v>0</v>
      </c>
      <c r="O252" s="878">
        <f>+'DGCI '!N100</f>
        <v>0</v>
      </c>
      <c r="P252" s="878">
        <f>+'DGCI '!O100</f>
        <v>0</v>
      </c>
      <c r="Q252" s="433">
        <f t="shared" si="77"/>
        <v>100</v>
      </c>
      <c r="R252" s="452"/>
      <c r="U252" s="699">
        <f t="shared" si="98"/>
        <v>200</v>
      </c>
      <c r="W252" s="481"/>
    </row>
    <row r="253" spans="1:23" ht="13.5" thickBot="1">
      <c r="A253" s="445"/>
      <c r="B253" s="426"/>
      <c r="C253" s="478" t="s">
        <v>1476</v>
      </c>
      <c r="D253" s="449" t="s">
        <v>1152</v>
      </c>
      <c r="E253" s="452"/>
      <c r="F253" s="452"/>
      <c r="G253" s="452"/>
      <c r="H253" s="452"/>
      <c r="I253" s="452"/>
      <c r="J253" s="452"/>
      <c r="K253" s="452"/>
      <c r="L253" s="452"/>
      <c r="M253" s="452"/>
      <c r="N253" s="452"/>
      <c r="O253" s="452"/>
      <c r="P253" s="452"/>
      <c r="Q253" s="433">
        <f t="shared" si="77"/>
        <v>0</v>
      </c>
      <c r="R253" s="452"/>
      <c r="U253" s="699">
        <f t="shared" si="98"/>
        <v>0</v>
      </c>
      <c r="W253" s="481"/>
    </row>
    <row r="254" spans="1:23" ht="13.5" thickBot="1">
      <c r="A254" s="445"/>
      <c r="B254" s="426"/>
      <c r="C254" s="478" t="s">
        <v>1477</v>
      </c>
      <c r="D254" s="449" t="s">
        <v>1153</v>
      </c>
      <c r="E254" s="452"/>
      <c r="F254" s="452"/>
      <c r="G254" s="452"/>
      <c r="H254" s="452"/>
      <c r="I254" s="452"/>
      <c r="J254" s="452"/>
      <c r="K254" s="452"/>
      <c r="L254" s="452"/>
      <c r="M254" s="452"/>
      <c r="N254" s="452"/>
      <c r="O254" s="452"/>
      <c r="P254" s="452"/>
      <c r="Q254" s="433">
        <f t="shared" si="77"/>
        <v>0</v>
      </c>
      <c r="R254" s="452"/>
      <c r="U254" s="699">
        <f t="shared" si="98"/>
        <v>0</v>
      </c>
      <c r="W254" s="481"/>
    </row>
    <row r="255" spans="1:23" ht="13.5" thickBot="1">
      <c r="A255" s="490" t="s">
        <v>1154</v>
      </c>
      <c r="B255" s="426"/>
      <c r="C255" s="478" t="s">
        <v>1478</v>
      </c>
      <c r="D255" s="449" t="s">
        <v>1155</v>
      </c>
      <c r="E255" s="452"/>
      <c r="F255" s="452"/>
      <c r="G255" s="452"/>
      <c r="H255" s="452"/>
      <c r="I255" s="452"/>
      <c r="J255" s="452"/>
      <c r="K255" s="452"/>
      <c r="L255" s="452"/>
      <c r="M255" s="452"/>
      <c r="N255" s="452"/>
      <c r="O255" s="452"/>
      <c r="P255" s="452"/>
      <c r="Q255" s="433">
        <f t="shared" si="77"/>
        <v>0</v>
      </c>
      <c r="R255" s="452"/>
      <c r="U255" s="699">
        <f t="shared" si="98"/>
        <v>0</v>
      </c>
      <c r="W255" s="481"/>
    </row>
    <row r="256" spans="1:23" ht="13.5" thickBot="1">
      <c r="A256" s="490" t="s">
        <v>1156</v>
      </c>
      <c r="B256" s="426"/>
      <c r="C256" s="478" t="s">
        <v>1480</v>
      </c>
      <c r="D256" s="449" t="s">
        <v>1157</v>
      </c>
      <c r="E256" s="452"/>
      <c r="F256" s="452"/>
      <c r="G256" s="452"/>
      <c r="H256" s="452"/>
      <c r="I256" s="452"/>
      <c r="J256" s="452"/>
      <c r="K256" s="452"/>
      <c r="L256" s="452"/>
      <c r="M256" s="452"/>
      <c r="N256" s="452"/>
      <c r="O256" s="452"/>
      <c r="P256" s="452"/>
      <c r="Q256" s="433">
        <f t="shared" si="77"/>
        <v>0</v>
      </c>
      <c r="R256" s="452"/>
      <c r="U256" s="699">
        <f t="shared" si="98"/>
        <v>0</v>
      </c>
      <c r="W256" s="481"/>
    </row>
    <row r="257" spans="1:23" ht="13.5" thickBot="1">
      <c r="A257" s="490" t="s">
        <v>1158</v>
      </c>
      <c r="B257" s="426" t="s">
        <v>1154</v>
      </c>
      <c r="C257" s="478" t="s">
        <v>1481</v>
      </c>
      <c r="D257" s="449" t="s">
        <v>1159</v>
      </c>
      <c r="E257" s="452"/>
      <c r="F257" s="452"/>
      <c r="G257" s="452"/>
      <c r="H257" s="452"/>
      <c r="I257" s="452"/>
      <c r="J257" s="452"/>
      <c r="K257" s="452"/>
      <c r="L257" s="452"/>
      <c r="M257" s="452"/>
      <c r="N257" s="452"/>
      <c r="O257" s="452"/>
      <c r="P257" s="452"/>
      <c r="Q257" s="433">
        <f t="shared" si="77"/>
        <v>0</v>
      </c>
      <c r="R257" s="452"/>
      <c r="U257" s="699">
        <f t="shared" si="98"/>
        <v>0</v>
      </c>
      <c r="W257" s="481"/>
    </row>
    <row r="258" spans="1:23" ht="13.5" thickBot="1">
      <c r="A258" s="426" t="s">
        <v>1160</v>
      </c>
      <c r="B258" s="426" t="s">
        <v>1156</v>
      </c>
      <c r="C258" s="491" t="s">
        <v>1482</v>
      </c>
      <c r="D258" s="449" t="s">
        <v>1161</v>
      </c>
      <c r="E258" s="452">
        <f>+DGA!C29/1000</f>
        <v>0</v>
      </c>
      <c r="F258" s="452">
        <f>+DGA!D29/1000</f>
        <v>0</v>
      </c>
      <c r="G258" s="452">
        <f>+DGA!E29/1000</f>
        <v>3</v>
      </c>
      <c r="H258" s="452">
        <f>+DGA!F29/1000</f>
        <v>1</v>
      </c>
      <c r="I258" s="452">
        <f>+DGA!G29/1000</f>
        <v>5.5</v>
      </c>
      <c r="J258" s="452">
        <f>+DGA!H29/1000</f>
        <v>13.5</v>
      </c>
      <c r="K258" s="452">
        <f>+DGA!I29/1000</f>
        <v>0</v>
      </c>
      <c r="L258" s="452">
        <f>+DGA!J29/1000</f>
        <v>0</v>
      </c>
      <c r="M258" s="452">
        <f>+DGA!K29/1000</f>
        <v>0</v>
      </c>
      <c r="N258" s="452">
        <f>+DGA!L29/1000</f>
        <v>0</v>
      </c>
      <c r="O258" s="452">
        <f>+DGA!M29/1000</f>
        <v>0</v>
      </c>
      <c r="P258" s="452">
        <f>+DGA!N29/1000</f>
        <v>0</v>
      </c>
      <c r="Q258" s="433">
        <f t="shared" si="77"/>
        <v>23</v>
      </c>
      <c r="R258" s="452"/>
      <c r="U258" s="699">
        <v>1040</v>
      </c>
      <c r="W258" s="481"/>
    </row>
    <row r="259" spans="1:23" ht="13.5" thickBot="1">
      <c r="A259" s="426"/>
      <c r="B259" s="426" t="s">
        <v>1158</v>
      </c>
      <c r="C259" s="478" t="s">
        <v>1483</v>
      </c>
      <c r="D259" s="449" t="s">
        <v>1162</v>
      </c>
      <c r="E259" s="452"/>
      <c r="F259" s="452"/>
      <c r="G259" s="452"/>
      <c r="H259" s="452"/>
      <c r="I259" s="452"/>
      <c r="J259" s="452"/>
      <c r="K259" s="452"/>
      <c r="L259" s="452"/>
      <c r="M259" s="452"/>
      <c r="N259" s="452"/>
      <c r="O259" s="452"/>
      <c r="P259" s="452"/>
      <c r="Q259" s="433">
        <f t="shared" si="77"/>
        <v>0</v>
      </c>
      <c r="R259" s="452"/>
      <c r="U259" s="699">
        <f>SUM(I259:Q259)</f>
        <v>0</v>
      </c>
      <c r="W259" s="481"/>
    </row>
    <row r="260" spans="1:23" ht="15.75" thickBot="1">
      <c r="A260" s="430"/>
      <c r="B260" s="426"/>
      <c r="C260" s="478" t="s">
        <v>1484</v>
      </c>
      <c r="D260" s="449" t="s">
        <v>1163</v>
      </c>
      <c r="E260" s="452"/>
      <c r="F260" s="452"/>
      <c r="G260" s="452"/>
      <c r="H260" s="452"/>
      <c r="I260" s="452"/>
      <c r="J260" s="452"/>
      <c r="K260" s="452"/>
      <c r="L260" s="452"/>
      <c r="M260" s="452"/>
      <c r="N260" s="452"/>
      <c r="O260" s="452"/>
      <c r="P260" s="452"/>
      <c r="Q260" s="433">
        <f t="shared" si="77"/>
        <v>0</v>
      </c>
      <c r="R260" s="452"/>
      <c r="U260" s="699">
        <f>SUM(I260:Q260)</f>
        <v>0</v>
      </c>
      <c r="W260" s="481"/>
    </row>
    <row r="261" spans="1:23" ht="13.5" thickBot="1">
      <c r="A261" s="426"/>
      <c r="B261" s="426" t="s">
        <v>1160</v>
      </c>
      <c r="C261" s="434" t="s">
        <v>1164</v>
      </c>
      <c r="D261" s="435" t="s">
        <v>1165</v>
      </c>
      <c r="E261" s="444"/>
      <c r="F261" s="444"/>
      <c r="G261" s="444"/>
      <c r="H261" s="444"/>
      <c r="I261" s="444"/>
      <c r="J261" s="444"/>
      <c r="K261" s="444"/>
      <c r="L261" s="444"/>
      <c r="M261" s="444"/>
      <c r="N261" s="444"/>
      <c r="O261" s="444"/>
      <c r="P261" s="444"/>
      <c r="Q261" s="433">
        <f t="shared" si="77"/>
        <v>0</v>
      </c>
      <c r="R261" s="444"/>
      <c r="U261" s="699">
        <v>27705</v>
      </c>
      <c r="W261" s="481"/>
    </row>
    <row r="262" spans="1:23" ht="5.0999999999999996" customHeight="1" thickBot="1">
      <c r="A262" s="445" t="s">
        <v>1166</v>
      </c>
      <c r="B262" s="426"/>
      <c r="C262" s="434"/>
      <c r="D262" s="435"/>
      <c r="E262" s="444"/>
      <c r="F262" s="444"/>
      <c r="G262" s="444"/>
      <c r="H262" s="444"/>
      <c r="I262" s="444"/>
      <c r="J262" s="444"/>
      <c r="K262" s="444"/>
      <c r="L262" s="444"/>
      <c r="M262" s="444"/>
      <c r="N262" s="444"/>
      <c r="O262" s="444"/>
      <c r="P262" s="444"/>
      <c r="Q262" s="433">
        <f t="shared" si="77"/>
        <v>0</v>
      </c>
      <c r="R262" s="444"/>
      <c r="U262" s="699">
        <f>SUM(I262:Q262)</f>
        <v>0</v>
      </c>
      <c r="W262" s="481"/>
    </row>
    <row r="263" spans="1:23" ht="13.5" thickBot="1">
      <c r="A263" s="445" t="s">
        <v>1167</v>
      </c>
      <c r="B263" s="426"/>
      <c r="C263" s="477" t="s">
        <v>1168</v>
      </c>
      <c r="D263" s="441" t="s">
        <v>1169</v>
      </c>
      <c r="E263" s="451">
        <f t="shared" ref="E263:J263" si="99">E264+E270</f>
        <v>139456.443</v>
      </c>
      <c r="F263" s="451">
        <f t="shared" si="99"/>
        <v>160646.41100000002</v>
      </c>
      <c r="G263" s="451">
        <f t="shared" si="99"/>
        <v>188229.32800000001</v>
      </c>
      <c r="H263" s="451">
        <f t="shared" si="99"/>
        <v>120259.965</v>
      </c>
      <c r="I263" s="451">
        <f t="shared" si="99"/>
        <v>340851.03</v>
      </c>
      <c r="J263" s="451">
        <f t="shared" si="99"/>
        <v>603049.04</v>
      </c>
      <c r="K263" s="451">
        <f t="shared" ref="K263:P263" si="100">K264+K270</f>
        <v>496498.39899999998</v>
      </c>
      <c r="L263" s="451">
        <f t="shared" si="100"/>
        <v>288771.31300000002</v>
      </c>
      <c r="M263" s="451">
        <f t="shared" si="100"/>
        <v>224603.21600000001</v>
      </c>
      <c r="N263" s="451">
        <f t="shared" si="100"/>
        <v>173659.01700000002</v>
      </c>
      <c r="O263" s="451">
        <f t="shared" si="100"/>
        <v>109055.25199999999</v>
      </c>
      <c r="P263" s="451">
        <f t="shared" si="100"/>
        <v>152358.10499999998</v>
      </c>
      <c r="Q263" s="433">
        <f t="shared" si="77"/>
        <v>2997437.5189999999</v>
      </c>
      <c r="R263" s="451"/>
      <c r="U263" s="699">
        <v>804592</v>
      </c>
      <c r="W263" s="481"/>
    </row>
    <row r="264" spans="1:23" ht="13.5" thickBot="1">
      <c r="A264" s="445" t="s">
        <v>1170</v>
      </c>
      <c r="B264" s="426"/>
      <c r="C264" s="475" t="s">
        <v>1171</v>
      </c>
      <c r="D264" s="435" t="s">
        <v>1055</v>
      </c>
      <c r="E264" s="444">
        <f>SUM(E265:E269)</f>
        <v>139456.443</v>
      </c>
      <c r="F264" s="444">
        <f>SUMIF(F265:F269,"&lt;&gt;0")</f>
        <v>160646.41100000002</v>
      </c>
      <c r="G264" s="444">
        <f>SUMIF(G265:G269,"&lt;&gt;0")</f>
        <v>188229.32800000001</v>
      </c>
      <c r="H264" s="444">
        <f>SUMIF(H265:H269,"&lt;&gt;0")</f>
        <v>120259.965</v>
      </c>
      <c r="I264" s="444">
        <f>SUMIF(I265:I269,"&lt;&gt;0")</f>
        <v>340851.03</v>
      </c>
      <c r="J264" s="444">
        <f>SUMIF(J265:J269,"&lt;&gt;0")</f>
        <v>603049.04</v>
      </c>
      <c r="K264" s="444">
        <f t="shared" ref="K264:P264" si="101">SUMIF(K265:K269,"&lt;&gt;0")</f>
        <v>496498.39899999998</v>
      </c>
      <c r="L264" s="444">
        <f t="shared" si="101"/>
        <v>288771.31300000002</v>
      </c>
      <c r="M264" s="444">
        <f t="shared" si="101"/>
        <v>224603.21600000001</v>
      </c>
      <c r="N264" s="444">
        <f t="shared" si="101"/>
        <v>173659.01700000002</v>
      </c>
      <c r="O264" s="444">
        <f t="shared" si="101"/>
        <v>109055.25199999999</v>
      </c>
      <c r="P264" s="444">
        <f t="shared" si="101"/>
        <v>152358.10499999998</v>
      </c>
      <c r="Q264" s="433">
        <f t="shared" si="77"/>
        <v>2997437.5189999999</v>
      </c>
      <c r="R264" s="444"/>
      <c r="U264" s="699">
        <v>804592</v>
      </c>
      <c r="W264" s="481"/>
    </row>
    <row r="265" spans="1:23" ht="13.5" thickBot="1">
      <c r="A265" s="445" t="s">
        <v>1172</v>
      </c>
      <c r="B265" s="426" t="s">
        <v>1166</v>
      </c>
      <c r="C265" s="450" t="s">
        <v>1485</v>
      </c>
      <c r="D265" s="449" t="s">
        <v>1173</v>
      </c>
      <c r="E265" s="452"/>
      <c r="F265" s="452"/>
      <c r="G265" s="452"/>
      <c r="H265" s="452"/>
      <c r="I265" s="452"/>
      <c r="J265" s="452"/>
      <c r="K265" s="452"/>
      <c r="L265" s="452"/>
      <c r="M265" s="452"/>
      <c r="N265" s="452"/>
      <c r="O265" s="452"/>
      <c r="P265" s="452"/>
      <c r="Q265" s="433">
        <f t="shared" si="77"/>
        <v>0</v>
      </c>
      <c r="R265" s="452"/>
      <c r="U265" s="699">
        <v>0</v>
      </c>
      <c r="W265" s="481"/>
    </row>
    <row r="266" spans="1:23" ht="15" thickBot="1">
      <c r="A266" s="445" t="s">
        <v>1174</v>
      </c>
      <c r="B266" s="426" t="s">
        <v>1167</v>
      </c>
      <c r="C266" s="453" t="s">
        <v>1486</v>
      </c>
      <c r="D266" s="449" t="s">
        <v>1175</v>
      </c>
      <c r="E266" s="452">
        <f>+DGA!C34/1000</f>
        <v>31423.424999999999</v>
      </c>
      <c r="F266" s="452">
        <f>+DGA!D34/1000</f>
        <v>37130.091999999997</v>
      </c>
      <c r="G266" s="452">
        <f>+DGA!E34/1000</f>
        <v>43108.432000000001</v>
      </c>
      <c r="H266" s="452">
        <f>+DGA!F34/1000</f>
        <v>27926.261999999999</v>
      </c>
      <c r="I266" s="452">
        <f>+DGA!G34/1000</f>
        <v>90608.092000000004</v>
      </c>
      <c r="J266" s="452">
        <f>+DGA!H34/1000</f>
        <v>181431.93700000001</v>
      </c>
      <c r="K266" s="452">
        <f>+DGA!I34/1000</f>
        <v>147390.804</v>
      </c>
      <c r="L266" s="452">
        <f>+DGA!J34/1000</f>
        <v>81221.873999999996</v>
      </c>
      <c r="M266" s="622">
        <f>+DGA!K34/1000</f>
        <v>56465.131000000001</v>
      </c>
      <c r="N266" s="452">
        <f>+DGA!L34/1000</f>
        <v>41375.849000000002</v>
      </c>
      <c r="O266" s="452">
        <f>+DGA!M34/1000</f>
        <v>25270.702000000001</v>
      </c>
      <c r="P266" s="452">
        <f>+DGA!N34/1000</f>
        <v>35808.629999999997</v>
      </c>
      <c r="Q266" s="433">
        <f t="shared" si="77"/>
        <v>799161.2300000001</v>
      </c>
      <c r="R266" s="452"/>
      <c r="U266" s="699">
        <v>220089</v>
      </c>
      <c r="W266" s="481"/>
    </row>
    <row r="267" spans="1:23" ht="15" thickBot="1">
      <c r="A267" s="426"/>
      <c r="B267" s="426" t="s">
        <v>1170</v>
      </c>
      <c r="C267" s="450" t="s">
        <v>1487</v>
      </c>
      <c r="D267" s="449" t="s">
        <v>1176</v>
      </c>
      <c r="E267" s="452"/>
      <c r="F267" s="452"/>
      <c r="G267" s="452"/>
      <c r="H267" s="452"/>
      <c r="I267" s="452"/>
      <c r="J267" s="452"/>
      <c r="K267" s="452"/>
      <c r="L267" s="452"/>
      <c r="M267" s="622"/>
      <c r="N267" s="452"/>
      <c r="O267" s="452"/>
      <c r="P267" s="452"/>
      <c r="Q267" s="433">
        <f t="shared" si="77"/>
        <v>0</v>
      </c>
      <c r="R267" s="452"/>
      <c r="U267" s="699">
        <v>0</v>
      </c>
      <c r="W267" s="481"/>
    </row>
    <row r="268" spans="1:23" ht="13.5" thickBot="1">
      <c r="A268" s="445" t="s">
        <v>1177</v>
      </c>
      <c r="B268" s="426" t="s">
        <v>1172</v>
      </c>
      <c r="C268" s="450" t="s">
        <v>1488</v>
      </c>
      <c r="D268" s="449" t="s">
        <v>1178</v>
      </c>
      <c r="E268" s="452">
        <f>DGA!C36/1000</f>
        <v>1961.249</v>
      </c>
      <c r="F268" s="452">
        <f>DGA!D36/1000</f>
        <v>847.89300000000003</v>
      </c>
      <c r="G268" s="452">
        <f>DGA!E36/1000</f>
        <v>142.75</v>
      </c>
      <c r="H268" s="452">
        <f>DGA!F36/1000</f>
        <v>93.75</v>
      </c>
      <c r="I268" s="452">
        <f>DGA!G36/1000</f>
        <v>462</v>
      </c>
      <c r="J268" s="452">
        <f>DGA!H36/1000</f>
        <v>413.73899999999998</v>
      </c>
      <c r="K268" s="452">
        <f>DGA!I36/1000</f>
        <v>976.072</v>
      </c>
      <c r="L268" s="452">
        <f>DGA!J36/1000</f>
        <v>993.75</v>
      </c>
      <c r="M268" s="452">
        <f>DGA!K36/1000</f>
        <v>1200.1400000000001</v>
      </c>
      <c r="N268" s="452">
        <f>DGA!L36/1000</f>
        <v>1178.1769999999999</v>
      </c>
      <c r="O268" s="452">
        <f>DGA!M36/1000</f>
        <v>122.495</v>
      </c>
      <c r="P268" s="452">
        <f>DGA!N36/1000</f>
        <v>196.02</v>
      </c>
      <c r="Q268" s="433">
        <f t="shared" si="77"/>
        <v>8588.0350000000017</v>
      </c>
      <c r="R268" s="452"/>
      <c r="U268" s="699">
        <f>SUM(I268:Q268)</f>
        <v>14130.428000000002</v>
      </c>
      <c r="W268" s="481"/>
    </row>
    <row r="269" spans="1:23" ht="15" thickBot="1">
      <c r="A269" s="445" t="s">
        <v>1179</v>
      </c>
      <c r="B269" s="426" t="s">
        <v>1174</v>
      </c>
      <c r="C269" s="453" t="s">
        <v>1489</v>
      </c>
      <c r="D269" s="449" t="s">
        <v>1180</v>
      </c>
      <c r="E269" s="452">
        <f>+DGA!C35/1000</f>
        <v>106071.769</v>
      </c>
      <c r="F269" s="452">
        <f>+DGA!D35/1000</f>
        <v>122668.42600000001</v>
      </c>
      <c r="G269" s="452">
        <f>+DGA!E35/1000</f>
        <v>144978.14600000001</v>
      </c>
      <c r="H269" s="452">
        <f>+DGA!F35/1000</f>
        <v>92239.952999999994</v>
      </c>
      <c r="I269" s="452">
        <f>+DGA!G35/1000</f>
        <v>249780.93799999999</v>
      </c>
      <c r="J269" s="452">
        <f>+DGA!H35/1000</f>
        <v>421203.364</v>
      </c>
      <c r="K269" s="452">
        <f>+DGA!I35/1000</f>
        <v>348131.52299999999</v>
      </c>
      <c r="L269" s="452">
        <f>+DGA!J35/1000</f>
        <v>206555.68900000001</v>
      </c>
      <c r="M269" s="622">
        <f>+DGA!K35/1000</f>
        <v>166937.94500000001</v>
      </c>
      <c r="N269" s="452">
        <f>+DGA!L35/1000</f>
        <v>131104.99100000001</v>
      </c>
      <c r="O269" s="452">
        <f>+DGA!M35/1000</f>
        <v>83662.054999999993</v>
      </c>
      <c r="P269" s="452">
        <f>+DGA!N35/1000</f>
        <v>116353.455</v>
      </c>
      <c r="Q269" s="433">
        <f t="shared" si="77"/>
        <v>2189688.2539999997</v>
      </c>
      <c r="R269" s="452"/>
      <c r="U269" s="699">
        <v>584503</v>
      </c>
      <c r="W269" s="481"/>
    </row>
    <row r="270" spans="1:23" ht="13.5" thickBot="1">
      <c r="A270" s="445" t="s">
        <v>1181</v>
      </c>
      <c r="B270" s="426"/>
      <c r="C270" s="475" t="s">
        <v>1182</v>
      </c>
      <c r="D270" s="435" t="s">
        <v>1145</v>
      </c>
      <c r="E270" s="444">
        <f t="shared" ref="E270:J270" si="102">SUMIF(E271:E290,"&lt;&gt;0")</f>
        <v>0</v>
      </c>
      <c r="F270" s="444">
        <f t="shared" si="102"/>
        <v>0</v>
      </c>
      <c r="G270" s="444">
        <f t="shared" si="102"/>
        <v>0</v>
      </c>
      <c r="H270" s="444">
        <f t="shared" si="102"/>
        <v>0</v>
      </c>
      <c r="I270" s="444">
        <f t="shared" si="102"/>
        <v>0</v>
      </c>
      <c r="J270" s="444">
        <f t="shared" si="102"/>
        <v>0</v>
      </c>
      <c r="K270" s="444">
        <f t="shared" ref="K270:P270" si="103">SUMIF(K271:K290,"&lt;&gt;0")</f>
        <v>0</v>
      </c>
      <c r="L270" s="444">
        <f t="shared" si="103"/>
        <v>0</v>
      </c>
      <c r="M270" s="444">
        <f t="shared" si="103"/>
        <v>0</v>
      </c>
      <c r="N270" s="444">
        <f t="shared" si="103"/>
        <v>0</v>
      </c>
      <c r="O270" s="444">
        <f t="shared" si="103"/>
        <v>0</v>
      </c>
      <c r="P270" s="444">
        <f t="shared" si="103"/>
        <v>0</v>
      </c>
      <c r="Q270" s="433">
        <f t="shared" si="77"/>
        <v>0</v>
      </c>
      <c r="R270" s="444"/>
      <c r="U270" s="699">
        <f t="shared" ref="U270:U291" si="104">SUM(I270:Q270)</f>
        <v>0</v>
      </c>
      <c r="W270" s="481"/>
    </row>
    <row r="271" spans="1:23" ht="13.5" thickBot="1">
      <c r="A271" s="445" t="s">
        <v>1183</v>
      </c>
      <c r="B271" s="426" t="s">
        <v>1177</v>
      </c>
      <c r="C271" s="478" t="s">
        <v>1490</v>
      </c>
      <c r="D271" s="449" t="s">
        <v>1184</v>
      </c>
      <c r="E271" s="452"/>
      <c r="F271" s="452"/>
      <c r="G271" s="452"/>
      <c r="H271" s="452"/>
      <c r="I271" s="452"/>
      <c r="J271" s="452"/>
      <c r="K271" s="452"/>
      <c r="L271" s="452"/>
      <c r="M271" s="452"/>
      <c r="N271" s="452"/>
      <c r="O271" s="452"/>
      <c r="P271" s="452"/>
      <c r="Q271" s="433">
        <f t="shared" si="77"/>
        <v>0</v>
      </c>
      <c r="R271" s="452"/>
      <c r="U271" s="699">
        <f t="shared" si="104"/>
        <v>0</v>
      </c>
      <c r="W271" s="481"/>
    </row>
    <row r="272" spans="1:23" ht="13.5" thickBot="1">
      <c r="A272" s="445" t="s">
        <v>1185</v>
      </c>
      <c r="B272" s="426" t="s">
        <v>1179</v>
      </c>
      <c r="C272" s="478" t="s">
        <v>1491</v>
      </c>
      <c r="D272" s="449" t="s">
        <v>1186</v>
      </c>
      <c r="E272" s="452"/>
      <c r="F272" s="452"/>
      <c r="G272" s="452"/>
      <c r="H272" s="452"/>
      <c r="I272" s="452"/>
      <c r="J272" s="452"/>
      <c r="K272" s="452"/>
      <c r="L272" s="452"/>
      <c r="M272" s="452"/>
      <c r="N272" s="452"/>
      <c r="O272" s="452"/>
      <c r="P272" s="452"/>
      <c r="Q272" s="433">
        <f t="shared" si="77"/>
        <v>0</v>
      </c>
      <c r="R272" s="452"/>
      <c r="U272" s="699">
        <f t="shared" si="104"/>
        <v>0</v>
      </c>
      <c r="W272" s="481"/>
    </row>
    <row r="273" spans="1:23" ht="13.5" thickBot="1">
      <c r="A273" s="445" t="s">
        <v>1187</v>
      </c>
      <c r="B273" s="426" t="s">
        <v>1181</v>
      </c>
      <c r="C273" s="478" t="s">
        <v>1492</v>
      </c>
      <c r="D273" s="449" t="s">
        <v>1188</v>
      </c>
      <c r="E273" s="452"/>
      <c r="F273" s="452"/>
      <c r="G273" s="452"/>
      <c r="H273" s="452"/>
      <c r="I273" s="452"/>
      <c r="J273" s="452"/>
      <c r="K273" s="452"/>
      <c r="L273" s="452"/>
      <c r="M273" s="452"/>
      <c r="N273" s="452"/>
      <c r="O273" s="452"/>
      <c r="P273" s="452"/>
      <c r="Q273" s="433">
        <f t="shared" si="77"/>
        <v>0</v>
      </c>
      <c r="R273" s="452"/>
      <c r="U273" s="699">
        <f t="shared" si="104"/>
        <v>0</v>
      </c>
      <c r="W273" s="481"/>
    </row>
    <row r="274" spans="1:23" ht="13.5" thickBot="1">
      <c r="A274" s="445" t="s">
        <v>1189</v>
      </c>
      <c r="B274" s="426" t="s">
        <v>1183</v>
      </c>
      <c r="C274" s="478" t="s">
        <v>1493</v>
      </c>
      <c r="D274" s="449" t="s">
        <v>1190</v>
      </c>
      <c r="E274" s="452"/>
      <c r="F274" s="452"/>
      <c r="G274" s="452"/>
      <c r="H274" s="452"/>
      <c r="I274" s="452"/>
      <c r="J274" s="452"/>
      <c r="K274" s="452"/>
      <c r="L274" s="452"/>
      <c r="M274" s="452"/>
      <c r="N274" s="452"/>
      <c r="O274" s="452"/>
      <c r="P274" s="452"/>
      <c r="Q274" s="433">
        <f t="shared" ref="Q274:Q340" si="105">SUM(E274:P274)</f>
        <v>0</v>
      </c>
      <c r="R274" s="452">
        <v>0</v>
      </c>
      <c r="U274" s="699">
        <f t="shared" si="104"/>
        <v>0</v>
      </c>
      <c r="W274" s="481"/>
    </row>
    <row r="275" spans="1:23" ht="13.5" thickBot="1">
      <c r="A275" s="445" t="s">
        <v>1191</v>
      </c>
      <c r="B275" s="426" t="s">
        <v>1185</v>
      </c>
      <c r="C275" s="478" t="s">
        <v>1494</v>
      </c>
      <c r="D275" s="449" t="s">
        <v>1192</v>
      </c>
      <c r="E275" s="452"/>
      <c r="F275" s="452"/>
      <c r="G275" s="452"/>
      <c r="H275" s="452"/>
      <c r="I275" s="452"/>
      <c r="J275" s="452"/>
      <c r="K275" s="452"/>
      <c r="L275" s="452"/>
      <c r="M275" s="452"/>
      <c r="N275" s="452"/>
      <c r="O275" s="452"/>
      <c r="P275" s="452"/>
      <c r="Q275" s="433">
        <f t="shared" si="105"/>
        <v>0</v>
      </c>
      <c r="R275" s="452">
        <v>0</v>
      </c>
      <c r="U275" s="699">
        <f t="shared" si="104"/>
        <v>0</v>
      </c>
      <c r="W275" s="481"/>
    </row>
    <row r="276" spans="1:23" ht="13.5" thickBot="1">
      <c r="A276" s="445" t="s">
        <v>1193</v>
      </c>
      <c r="B276" s="426" t="s">
        <v>1187</v>
      </c>
      <c r="C276" s="478" t="s">
        <v>1495</v>
      </c>
      <c r="D276" s="449" t="s">
        <v>1194</v>
      </c>
      <c r="E276" s="452"/>
      <c r="F276" s="452"/>
      <c r="G276" s="452"/>
      <c r="H276" s="452"/>
      <c r="I276" s="452"/>
      <c r="J276" s="452"/>
      <c r="K276" s="452"/>
      <c r="L276" s="452"/>
      <c r="M276" s="452"/>
      <c r="N276" s="452"/>
      <c r="O276" s="452"/>
      <c r="P276" s="452"/>
      <c r="Q276" s="433">
        <f t="shared" si="105"/>
        <v>0</v>
      </c>
      <c r="R276" s="452">
        <v>0</v>
      </c>
      <c r="U276" s="699">
        <f t="shared" si="104"/>
        <v>0</v>
      </c>
      <c r="W276" s="481"/>
    </row>
    <row r="277" spans="1:23" ht="13.5" thickBot="1">
      <c r="A277" s="445" t="s">
        <v>1195</v>
      </c>
      <c r="B277" s="426" t="s">
        <v>1189</v>
      </c>
      <c r="C277" s="478" t="s">
        <v>1496</v>
      </c>
      <c r="D277" s="449" t="s">
        <v>1196</v>
      </c>
      <c r="E277" s="452"/>
      <c r="F277" s="452"/>
      <c r="G277" s="452"/>
      <c r="H277" s="452"/>
      <c r="I277" s="452"/>
      <c r="J277" s="452"/>
      <c r="K277" s="452"/>
      <c r="L277" s="452"/>
      <c r="M277" s="452"/>
      <c r="N277" s="452"/>
      <c r="O277" s="452"/>
      <c r="P277" s="452"/>
      <c r="Q277" s="433">
        <f t="shared" si="105"/>
        <v>0</v>
      </c>
      <c r="R277" s="452">
        <v>0</v>
      </c>
      <c r="U277" s="699">
        <f t="shared" si="104"/>
        <v>0</v>
      </c>
      <c r="W277" s="481"/>
    </row>
    <row r="278" spans="1:23" ht="13.5" thickBot="1">
      <c r="A278" s="445" t="s">
        <v>1197</v>
      </c>
      <c r="B278" s="426" t="s">
        <v>1191</v>
      </c>
      <c r="C278" s="478" t="s">
        <v>1497</v>
      </c>
      <c r="D278" s="449" t="s">
        <v>1198</v>
      </c>
      <c r="E278" s="452"/>
      <c r="F278" s="452"/>
      <c r="G278" s="452"/>
      <c r="H278" s="452"/>
      <c r="I278" s="452"/>
      <c r="J278" s="452"/>
      <c r="K278" s="452"/>
      <c r="L278" s="452"/>
      <c r="M278" s="452"/>
      <c r="N278" s="452"/>
      <c r="O278" s="452"/>
      <c r="P278" s="452"/>
      <c r="Q278" s="433">
        <f t="shared" si="105"/>
        <v>0</v>
      </c>
      <c r="R278" s="452">
        <v>0</v>
      </c>
      <c r="U278" s="699">
        <f t="shared" si="104"/>
        <v>0</v>
      </c>
      <c r="W278" s="481"/>
    </row>
    <row r="279" spans="1:23" ht="13.5" thickBot="1">
      <c r="A279" s="445" t="s">
        <v>1199</v>
      </c>
      <c r="B279" s="426" t="s">
        <v>1193</v>
      </c>
      <c r="C279" s="478" t="s">
        <v>1498</v>
      </c>
      <c r="D279" s="449" t="s">
        <v>1200</v>
      </c>
      <c r="E279" s="452"/>
      <c r="F279" s="452"/>
      <c r="G279" s="452"/>
      <c r="H279" s="452"/>
      <c r="I279" s="452"/>
      <c r="J279" s="452"/>
      <c r="K279" s="452"/>
      <c r="L279" s="452"/>
      <c r="M279" s="452"/>
      <c r="N279" s="452"/>
      <c r="O279" s="452"/>
      <c r="P279" s="452"/>
      <c r="Q279" s="433">
        <f t="shared" si="105"/>
        <v>0</v>
      </c>
      <c r="R279" s="452">
        <v>0</v>
      </c>
      <c r="U279" s="699">
        <f t="shared" si="104"/>
        <v>0</v>
      </c>
      <c r="W279" s="481"/>
    </row>
    <row r="280" spans="1:23" ht="13.5" thickBot="1">
      <c r="A280" s="445" t="s">
        <v>1201</v>
      </c>
      <c r="B280" s="426" t="s">
        <v>1195</v>
      </c>
      <c r="C280" s="478" t="s">
        <v>1499</v>
      </c>
      <c r="D280" s="449" t="s">
        <v>1202</v>
      </c>
      <c r="E280" s="452"/>
      <c r="F280" s="452"/>
      <c r="G280" s="452"/>
      <c r="H280" s="452"/>
      <c r="I280" s="452"/>
      <c r="J280" s="452"/>
      <c r="K280" s="452"/>
      <c r="L280" s="452"/>
      <c r="M280" s="452"/>
      <c r="N280" s="452"/>
      <c r="O280" s="452"/>
      <c r="P280" s="452"/>
      <c r="Q280" s="433">
        <f t="shared" si="105"/>
        <v>0</v>
      </c>
      <c r="R280" s="452">
        <v>0</v>
      </c>
      <c r="U280" s="699">
        <f t="shared" si="104"/>
        <v>0</v>
      </c>
      <c r="W280" s="481"/>
    </row>
    <row r="281" spans="1:23" ht="13.5" thickBot="1">
      <c r="A281" s="445" t="s">
        <v>1203</v>
      </c>
      <c r="B281" s="426" t="s">
        <v>1197</v>
      </c>
      <c r="C281" s="478" t="s">
        <v>1500</v>
      </c>
      <c r="D281" s="449" t="s">
        <v>1204</v>
      </c>
      <c r="E281" s="452"/>
      <c r="F281" s="452"/>
      <c r="G281" s="452"/>
      <c r="H281" s="452"/>
      <c r="I281" s="452"/>
      <c r="J281" s="452"/>
      <c r="K281" s="452"/>
      <c r="L281" s="452"/>
      <c r="M281" s="452"/>
      <c r="N281" s="452"/>
      <c r="O281" s="452"/>
      <c r="P281" s="452"/>
      <c r="Q281" s="433">
        <f t="shared" si="105"/>
        <v>0</v>
      </c>
      <c r="R281" s="452">
        <v>0</v>
      </c>
      <c r="U281" s="699">
        <f t="shared" si="104"/>
        <v>0</v>
      </c>
      <c r="W281" s="481"/>
    </row>
    <row r="282" spans="1:23" ht="13.5" thickBot="1">
      <c r="A282" s="445" t="s">
        <v>1205</v>
      </c>
      <c r="B282" s="426" t="s">
        <v>1199</v>
      </c>
      <c r="C282" s="478" t="s">
        <v>1501</v>
      </c>
      <c r="D282" s="449" t="s">
        <v>1206</v>
      </c>
      <c r="E282" s="452"/>
      <c r="F282" s="452"/>
      <c r="G282" s="452"/>
      <c r="H282" s="452"/>
      <c r="I282" s="452"/>
      <c r="J282" s="452"/>
      <c r="K282" s="452"/>
      <c r="L282" s="452"/>
      <c r="M282" s="452"/>
      <c r="N282" s="452"/>
      <c r="O282" s="452"/>
      <c r="P282" s="452"/>
      <c r="Q282" s="433">
        <f t="shared" si="105"/>
        <v>0</v>
      </c>
      <c r="R282" s="452">
        <v>0</v>
      </c>
      <c r="U282" s="699">
        <f t="shared" si="104"/>
        <v>0</v>
      </c>
      <c r="W282" s="481"/>
    </row>
    <row r="283" spans="1:23" ht="13.5" thickBot="1">
      <c r="A283" s="445" t="s">
        <v>1207</v>
      </c>
      <c r="B283" s="426" t="s">
        <v>1201</v>
      </c>
      <c r="C283" s="478" t="s">
        <v>1502</v>
      </c>
      <c r="D283" s="449" t="s">
        <v>1208</v>
      </c>
      <c r="E283" s="452"/>
      <c r="F283" s="452"/>
      <c r="G283" s="452"/>
      <c r="H283" s="452"/>
      <c r="I283" s="452"/>
      <c r="J283" s="452"/>
      <c r="K283" s="452"/>
      <c r="L283" s="452"/>
      <c r="M283" s="452"/>
      <c r="N283" s="452"/>
      <c r="O283" s="452"/>
      <c r="P283" s="452"/>
      <c r="Q283" s="433">
        <f t="shared" si="105"/>
        <v>0</v>
      </c>
      <c r="R283" s="452">
        <v>0</v>
      </c>
      <c r="U283" s="699">
        <f t="shared" si="104"/>
        <v>0</v>
      </c>
      <c r="W283" s="481"/>
    </row>
    <row r="284" spans="1:23" ht="13.5" thickBot="1">
      <c r="A284" s="445" t="s">
        <v>1209</v>
      </c>
      <c r="B284" s="426" t="s">
        <v>1203</v>
      </c>
      <c r="C284" s="478" t="s">
        <v>1503</v>
      </c>
      <c r="D284" s="449" t="s">
        <v>1210</v>
      </c>
      <c r="E284" s="452"/>
      <c r="F284" s="452"/>
      <c r="G284" s="452"/>
      <c r="H284" s="452"/>
      <c r="I284" s="452"/>
      <c r="J284" s="452"/>
      <c r="K284" s="452"/>
      <c r="L284" s="452"/>
      <c r="M284" s="452"/>
      <c r="N284" s="452"/>
      <c r="O284" s="452"/>
      <c r="P284" s="452"/>
      <c r="Q284" s="433">
        <f t="shared" si="105"/>
        <v>0</v>
      </c>
      <c r="R284" s="452">
        <v>0</v>
      </c>
      <c r="U284" s="699">
        <f t="shared" si="104"/>
        <v>0</v>
      </c>
      <c r="W284" s="481"/>
    </row>
    <row r="285" spans="1:23" ht="13.5" thickBot="1">
      <c r="A285" s="445" t="s">
        <v>1211</v>
      </c>
      <c r="B285" s="426" t="s">
        <v>1205</v>
      </c>
      <c r="C285" s="478" t="s">
        <v>1504</v>
      </c>
      <c r="D285" s="449" t="s">
        <v>1212</v>
      </c>
      <c r="E285" s="452"/>
      <c r="F285" s="452"/>
      <c r="G285" s="452"/>
      <c r="H285" s="452"/>
      <c r="I285" s="452"/>
      <c r="J285" s="452"/>
      <c r="K285" s="452"/>
      <c r="L285" s="452"/>
      <c r="M285" s="452"/>
      <c r="N285" s="452"/>
      <c r="O285" s="452"/>
      <c r="P285" s="452"/>
      <c r="Q285" s="433">
        <f t="shared" si="105"/>
        <v>0</v>
      </c>
      <c r="R285" s="452">
        <v>0</v>
      </c>
      <c r="U285" s="699">
        <f t="shared" si="104"/>
        <v>0</v>
      </c>
      <c r="W285" s="481"/>
    </row>
    <row r="286" spans="1:23" ht="13.5" thickBot="1">
      <c r="A286" s="445" t="s">
        <v>1213</v>
      </c>
      <c r="B286" s="426" t="s">
        <v>1207</v>
      </c>
      <c r="C286" s="478" t="s">
        <v>1505</v>
      </c>
      <c r="D286" s="449" t="s">
        <v>1214</v>
      </c>
      <c r="E286" s="452"/>
      <c r="F286" s="452"/>
      <c r="G286" s="452"/>
      <c r="H286" s="452"/>
      <c r="I286" s="452"/>
      <c r="J286" s="452"/>
      <c r="K286" s="452"/>
      <c r="L286" s="452"/>
      <c r="M286" s="452"/>
      <c r="N286" s="452"/>
      <c r="O286" s="452"/>
      <c r="P286" s="452"/>
      <c r="Q286" s="433">
        <f t="shared" si="105"/>
        <v>0</v>
      </c>
      <c r="R286" s="452">
        <v>0</v>
      </c>
      <c r="U286" s="699">
        <f t="shared" si="104"/>
        <v>0</v>
      </c>
      <c r="W286" s="481"/>
    </row>
    <row r="287" spans="1:23" ht="13.5" thickBot="1">
      <c r="A287" s="445" t="s">
        <v>1215</v>
      </c>
      <c r="B287" s="426" t="s">
        <v>1209</v>
      </c>
      <c r="C287" s="478" t="s">
        <v>1506</v>
      </c>
      <c r="D287" s="449" t="s">
        <v>1216</v>
      </c>
      <c r="E287" s="452"/>
      <c r="F287" s="452"/>
      <c r="G287" s="452"/>
      <c r="H287" s="452"/>
      <c r="I287" s="452"/>
      <c r="J287" s="452"/>
      <c r="K287" s="452"/>
      <c r="L287" s="452"/>
      <c r="M287" s="452"/>
      <c r="N287" s="452"/>
      <c r="O287" s="452"/>
      <c r="P287" s="452"/>
      <c r="Q287" s="433">
        <f t="shared" si="105"/>
        <v>0</v>
      </c>
      <c r="R287" s="452">
        <v>0</v>
      </c>
      <c r="U287" s="699">
        <f t="shared" si="104"/>
        <v>0</v>
      </c>
      <c r="W287" s="481"/>
    </row>
    <row r="288" spans="1:23" ht="13.5" thickBot="1">
      <c r="A288" s="426"/>
      <c r="B288" s="426" t="s">
        <v>1211</v>
      </c>
      <c r="C288" s="478" t="s">
        <v>1507</v>
      </c>
      <c r="D288" s="449" t="s">
        <v>1217</v>
      </c>
      <c r="E288" s="452"/>
      <c r="F288" s="452"/>
      <c r="G288" s="452"/>
      <c r="H288" s="452"/>
      <c r="I288" s="452"/>
      <c r="J288" s="452"/>
      <c r="K288" s="452"/>
      <c r="L288" s="452"/>
      <c r="M288" s="452"/>
      <c r="N288" s="452"/>
      <c r="O288" s="452"/>
      <c r="P288" s="452"/>
      <c r="Q288" s="433">
        <f t="shared" si="105"/>
        <v>0</v>
      </c>
      <c r="R288" s="452">
        <v>0</v>
      </c>
      <c r="U288" s="699">
        <f t="shared" si="104"/>
        <v>0</v>
      </c>
      <c r="W288" s="481"/>
    </row>
    <row r="289" spans="1:23" ht="15.75" thickBot="1">
      <c r="A289" s="430"/>
      <c r="B289" s="426" t="s">
        <v>1213</v>
      </c>
      <c r="C289" s="478" t="s">
        <v>1508</v>
      </c>
      <c r="D289" s="449" t="s">
        <v>1218</v>
      </c>
      <c r="E289" s="452"/>
      <c r="F289" s="452"/>
      <c r="G289" s="452"/>
      <c r="H289" s="452"/>
      <c r="I289" s="452"/>
      <c r="J289" s="452"/>
      <c r="K289" s="452"/>
      <c r="L289" s="452"/>
      <c r="M289" s="452"/>
      <c r="N289" s="452"/>
      <c r="O289" s="452"/>
      <c r="P289" s="452"/>
      <c r="Q289" s="433">
        <f t="shared" si="105"/>
        <v>0</v>
      </c>
      <c r="R289" s="452">
        <v>0</v>
      </c>
      <c r="S289" s="481"/>
      <c r="U289" s="699">
        <f t="shared" si="104"/>
        <v>0</v>
      </c>
      <c r="W289" s="481"/>
    </row>
    <row r="290" spans="1:23" ht="13.5" thickBot="1">
      <c r="A290" s="426" t="s">
        <v>1219</v>
      </c>
      <c r="B290" s="426" t="s">
        <v>1215</v>
      </c>
      <c r="C290" s="478" t="s">
        <v>1509</v>
      </c>
      <c r="D290" s="449" t="s">
        <v>1220</v>
      </c>
      <c r="E290" s="452"/>
      <c r="F290" s="452"/>
      <c r="G290" s="452"/>
      <c r="H290" s="452"/>
      <c r="I290" s="452"/>
      <c r="J290" s="452"/>
      <c r="K290" s="452"/>
      <c r="L290" s="452"/>
      <c r="M290" s="452"/>
      <c r="N290" s="452"/>
      <c r="O290" s="452"/>
      <c r="P290" s="452"/>
      <c r="Q290" s="433">
        <f t="shared" si="105"/>
        <v>0</v>
      </c>
      <c r="R290" s="452">
        <v>0</v>
      </c>
      <c r="U290" s="699">
        <f t="shared" si="104"/>
        <v>0</v>
      </c>
      <c r="W290" s="481"/>
    </row>
    <row r="291" spans="1:23" ht="5.0999999999999996" customHeight="1" thickBot="1">
      <c r="A291" s="426" t="s">
        <v>1221</v>
      </c>
      <c r="B291" s="426"/>
      <c r="C291" s="434"/>
      <c r="D291" s="435"/>
      <c r="E291" s="444"/>
      <c r="F291" s="444"/>
      <c r="G291" s="444"/>
      <c r="H291" s="444"/>
      <c r="I291" s="444"/>
      <c r="J291" s="444"/>
      <c r="K291" s="444"/>
      <c r="L291" s="444"/>
      <c r="M291" s="444"/>
      <c r="N291" s="444"/>
      <c r="O291" s="444"/>
      <c r="P291" s="444"/>
      <c r="Q291" s="433">
        <f t="shared" si="105"/>
        <v>0</v>
      </c>
      <c r="R291" s="444">
        <v>0</v>
      </c>
      <c r="U291" s="699">
        <f t="shared" si="104"/>
        <v>0</v>
      </c>
      <c r="W291" s="481"/>
    </row>
    <row r="292" spans="1:23" ht="13.5" thickBot="1">
      <c r="A292" s="426"/>
      <c r="B292" s="426"/>
      <c r="C292" s="477" t="s">
        <v>1222</v>
      </c>
      <c r="D292" s="441" t="s">
        <v>1223</v>
      </c>
      <c r="E292" s="451">
        <f t="shared" ref="E292:J292" si="106">SUMIF(E293:E294,"&lt;&gt;0")</f>
        <v>0</v>
      </c>
      <c r="F292" s="451">
        <f t="shared" si="106"/>
        <v>43179.35</v>
      </c>
      <c r="G292" s="451">
        <f t="shared" si="106"/>
        <v>0</v>
      </c>
      <c r="H292" s="451">
        <f t="shared" si="106"/>
        <v>64402.15</v>
      </c>
      <c r="I292" s="451">
        <f t="shared" si="106"/>
        <v>15002.6</v>
      </c>
      <c r="J292" s="451">
        <f t="shared" si="106"/>
        <v>0</v>
      </c>
      <c r="K292" s="451">
        <f t="shared" ref="K292:P292" si="107">SUMIF(K293:K294,"&lt;&gt;0")</f>
        <v>0</v>
      </c>
      <c r="L292" s="451">
        <f t="shared" si="107"/>
        <v>39209.949999999997</v>
      </c>
      <c r="M292" s="451">
        <f t="shared" si="107"/>
        <v>0</v>
      </c>
      <c r="N292" s="451">
        <f t="shared" si="107"/>
        <v>0</v>
      </c>
      <c r="O292" s="451">
        <f t="shared" si="107"/>
        <v>0</v>
      </c>
      <c r="P292" s="451">
        <f t="shared" si="107"/>
        <v>38649.5</v>
      </c>
      <c r="Q292" s="433">
        <f t="shared" si="105"/>
        <v>200443.55</v>
      </c>
      <c r="R292" s="451"/>
      <c r="U292" s="699">
        <v>200000</v>
      </c>
      <c r="W292" s="481"/>
    </row>
    <row r="293" spans="1:23" ht="15.75" thickBot="1">
      <c r="A293" s="436"/>
      <c r="B293" s="426" t="s">
        <v>1219</v>
      </c>
      <c r="C293" s="492" t="s">
        <v>30</v>
      </c>
      <c r="D293" s="493" t="s">
        <v>1224</v>
      </c>
      <c r="E293" s="444">
        <f>+'LICENCA PESCA'!D10/1000</f>
        <v>0</v>
      </c>
      <c r="F293" s="444">
        <f>+'LICENCA PESCA'!E10/1000</f>
        <v>43179.35</v>
      </c>
      <c r="G293" s="444">
        <f>+'LICENCA PESCA'!F10/1000</f>
        <v>0</v>
      </c>
      <c r="H293" s="444">
        <f>+'LICENCA PESCA'!G10/1000</f>
        <v>64402.15</v>
      </c>
      <c r="I293" s="444">
        <f>+'LICENCA PESCA'!H10/1000</f>
        <v>15002.6</v>
      </c>
      <c r="J293" s="444">
        <f>+'LICENCA PESCA'!I10/1000</f>
        <v>0</v>
      </c>
      <c r="K293" s="444">
        <f>+'LICENCA PESCA'!J10/1000</f>
        <v>0</v>
      </c>
      <c r="L293" s="444">
        <f>+'LICENCA PESCA'!K10/1000</f>
        <v>39209.949999999997</v>
      </c>
      <c r="M293" s="444">
        <f>+'LICENCA PESCA'!L10/1000</f>
        <v>0</v>
      </c>
      <c r="N293" s="444">
        <f>+'LICENCA PESCA'!M10/1000</f>
        <v>0</v>
      </c>
      <c r="O293" s="444">
        <f>+'LICENCA PESCA'!N10/1000</f>
        <v>0</v>
      </c>
      <c r="P293" s="444">
        <f>+'LICENCA PESCA'!O10/1000</f>
        <v>38649.5</v>
      </c>
      <c r="Q293" s="433">
        <f t="shared" si="105"/>
        <v>200443.55</v>
      </c>
      <c r="R293" s="444"/>
      <c r="U293" s="699">
        <v>200000</v>
      </c>
      <c r="W293" s="481"/>
    </row>
    <row r="294" spans="1:23" ht="13.5" thickBot="1">
      <c r="A294" s="426"/>
      <c r="B294" s="426" t="s">
        <v>1221</v>
      </c>
      <c r="C294" s="475" t="s">
        <v>1225</v>
      </c>
      <c r="D294" s="493" t="s">
        <v>1226</v>
      </c>
      <c r="E294" s="444">
        <v>0</v>
      </c>
      <c r="F294" s="444">
        <v>0</v>
      </c>
      <c r="G294" s="444">
        <v>0</v>
      </c>
      <c r="H294" s="444">
        <v>0</v>
      </c>
      <c r="I294" s="444">
        <v>0</v>
      </c>
      <c r="J294" s="444">
        <v>0</v>
      </c>
      <c r="K294" s="444">
        <v>0</v>
      </c>
      <c r="L294" s="444">
        <v>0</v>
      </c>
      <c r="M294" s="444">
        <v>0</v>
      </c>
      <c r="N294" s="444">
        <v>0</v>
      </c>
      <c r="O294" s="444">
        <v>0</v>
      </c>
      <c r="P294" s="444">
        <v>0</v>
      </c>
      <c r="Q294" s="433">
        <f t="shared" si="105"/>
        <v>0</v>
      </c>
      <c r="R294" s="444">
        <v>0</v>
      </c>
      <c r="U294" s="699">
        <f t="shared" ref="U294:U306" si="108">SUM(I294:Q294)</f>
        <v>0</v>
      </c>
      <c r="W294" s="481"/>
    </row>
    <row r="295" spans="1:23" ht="5.0999999999999996" customHeight="1" thickBot="1">
      <c r="A295" s="426" t="s">
        <v>1227</v>
      </c>
      <c r="B295" s="426"/>
      <c r="C295" s="434"/>
      <c r="D295" s="435"/>
      <c r="E295" s="444"/>
      <c r="F295" s="444"/>
      <c r="G295" s="444"/>
      <c r="H295" s="444"/>
      <c r="I295" s="444"/>
      <c r="J295" s="444"/>
      <c r="K295" s="444"/>
      <c r="L295" s="444"/>
      <c r="M295" s="444"/>
      <c r="N295" s="444"/>
      <c r="O295" s="444"/>
      <c r="P295" s="444"/>
      <c r="Q295" s="433">
        <f t="shared" si="105"/>
        <v>0</v>
      </c>
      <c r="R295" s="444">
        <v>0</v>
      </c>
      <c r="U295" s="699">
        <f t="shared" si="108"/>
        <v>0</v>
      </c>
      <c r="W295" s="481"/>
    </row>
    <row r="296" spans="1:23" ht="13.5" thickBot="1">
      <c r="A296" s="426"/>
      <c r="B296" s="426"/>
      <c r="C296" s="437" t="s">
        <v>38</v>
      </c>
      <c r="D296" s="438" t="s">
        <v>1228</v>
      </c>
      <c r="E296" s="439">
        <f>+E298+E301+E303+E305</f>
        <v>0</v>
      </c>
      <c r="F296" s="439">
        <f>SUMIF(F298:F305,"&lt;&gt;0")</f>
        <v>0</v>
      </c>
      <c r="G296" s="439">
        <f>SUMIF(G298:G305,"&lt;&gt;0")</f>
        <v>0</v>
      </c>
      <c r="H296" s="439">
        <f>SUMIF(H298:H305,"&lt;&gt;0")</f>
        <v>0</v>
      </c>
      <c r="I296" s="439">
        <f>SUMIF(I298:I305,"&lt;&gt;0")</f>
        <v>0</v>
      </c>
      <c r="J296" s="439">
        <f>SUMIF(J298:J305,"&lt;&gt;0")</f>
        <v>6476.5</v>
      </c>
      <c r="K296" s="439">
        <f t="shared" ref="K296:P296" si="109">SUMIF(K298:K305,"&lt;&gt;0")</f>
        <v>0</v>
      </c>
      <c r="L296" s="439">
        <f t="shared" si="109"/>
        <v>0</v>
      </c>
      <c r="M296" s="439">
        <f t="shared" si="109"/>
        <v>0</v>
      </c>
      <c r="N296" s="439">
        <f t="shared" si="109"/>
        <v>0</v>
      </c>
      <c r="O296" s="439">
        <f t="shared" si="109"/>
        <v>0</v>
      </c>
      <c r="P296" s="439">
        <f t="shared" si="109"/>
        <v>0</v>
      </c>
      <c r="Q296" s="433">
        <f t="shared" si="105"/>
        <v>6476.5</v>
      </c>
      <c r="R296" s="439">
        <v>0</v>
      </c>
      <c r="U296" s="699">
        <f t="shared" si="108"/>
        <v>12953</v>
      </c>
      <c r="W296" s="481"/>
    </row>
    <row r="297" spans="1:23" ht="11.25" customHeight="1" thickBot="1">
      <c r="A297" s="426" t="s">
        <v>1229</v>
      </c>
      <c r="B297" s="426"/>
      <c r="C297" s="494"/>
      <c r="D297" s="435"/>
      <c r="E297" s="444"/>
      <c r="F297" s="444"/>
      <c r="G297" s="444"/>
      <c r="H297" s="444"/>
      <c r="I297" s="444"/>
      <c r="J297" s="444"/>
      <c r="K297" s="444"/>
      <c r="L297" s="444"/>
      <c r="M297" s="444"/>
      <c r="N297" s="444"/>
      <c r="O297" s="444"/>
      <c r="P297" s="444"/>
      <c r="Q297" s="433">
        <f t="shared" si="105"/>
        <v>0</v>
      </c>
      <c r="R297" s="444">
        <v>0</v>
      </c>
      <c r="U297" s="699">
        <f t="shared" si="108"/>
        <v>0</v>
      </c>
      <c r="W297" s="481"/>
    </row>
    <row r="298" spans="1:23" ht="13.5" thickBot="1">
      <c r="A298" s="426"/>
      <c r="B298" s="426" t="s">
        <v>1227</v>
      </c>
      <c r="C298" s="477" t="s">
        <v>1230</v>
      </c>
      <c r="D298" s="441" t="s">
        <v>1231</v>
      </c>
      <c r="E298" s="451">
        <f>+E299+E300</f>
        <v>0</v>
      </c>
      <c r="F298" s="451">
        <f t="shared" ref="F298:P298" si="110">+F299+F300</f>
        <v>0</v>
      </c>
      <c r="G298" s="451">
        <f t="shared" si="110"/>
        <v>0</v>
      </c>
      <c r="H298" s="451">
        <f t="shared" si="110"/>
        <v>0</v>
      </c>
      <c r="I298" s="451">
        <f t="shared" si="110"/>
        <v>0</v>
      </c>
      <c r="J298" s="451">
        <f t="shared" si="110"/>
        <v>0</v>
      </c>
      <c r="K298" s="451">
        <f t="shared" si="110"/>
        <v>0</v>
      </c>
      <c r="L298" s="451">
        <f t="shared" si="110"/>
        <v>0</v>
      </c>
      <c r="M298" s="451">
        <f t="shared" si="110"/>
        <v>0</v>
      </c>
      <c r="N298" s="451">
        <f t="shared" si="110"/>
        <v>0</v>
      </c>
      <c r="O298" s="451">
        <f t="shared" si="110"/>
        <v>0</v>
      </c>
      <c r="P298" s="451">
        <f t="shared" si="110"/>
        <v>0</v>
      </c>
      <c r="Q298" s="433">
        <f t="shared" si="105"/>
        <v>0</v>
      </c>
      <c r="R298" s="451">
        <v>0</v>
      </c>
      <c r="U298" s="699">
        <f t="shared" si="108"/>
        <v>0</v>
      </c>
      <c r="W298" s="481"/>
    </row>
    <row r="299" spans="1:23" s="617" customFormat="1" ht="13.5" thickBot="1">
      <c r="A299" s="1548"/>
      <c r="B299" s="1548"/>
      <c r="C299" s="1549"/>
      <c r="D299" s="1552" t="s">
        <v>2939</v>
      </c>
      <c r="E299" s="510"/>
      <c r="F299" s="510"/>
      <c r="G299" s="510"/>
      <c r="H299" s="510"/>
      <c r="I299" s="510"/>
      <c r="J299" s="510"/>
      <c r="K299" s="510"/>
      <c r="L299" s="510"/>
      <c r="M299" s="510"/>
      <c r="N299" s="510"/>
      <c r="O299" s="510"/>
      <c r="P299" s="510"/>
      <c r="Q299" s="433">
        <f t="shared" si="105"/>
        <v>0</v>
      </c>
      <c r="R299" s="510"/>
      <c r="U299" s="1550"/>
      <c r="W299" s="1551"/>
    </row>
    <row r="300" spans="1:23" ht="13.9" customHeight="1" thickBot="1">
      <c r="A300" s="426" t="s">
        <v>1232</v>
      </c>
      <c r="B300" s="426"/>
      <c r="C300" s="434"/>
      <c r="D300" s="1552" t="s">
        <v>1067</v>
      </c>
      <c r="E300" s="444"/>
      <c r="F300" s="444"/>
      <c r="G300" s="444"/>
      <c r="H300" s="444"/>
      <c r="I300" s="444"/>
      <c r="J300" s="444"/>
      <c r="K300" s="444"/>
      <c r="L300" s="444"/>
      <c r="M300" s="444"/>
      <c r="N300" s="444"/>
      <c r="O300" s="444"/>
      <c r="P300" s="444"/>
      <c r="Q300" s="433">
        <f t="shared" si="105"/>
        <v>0</v>
      </c>
      <c r="R300" s="444">
        <v>0</v>
      </c>
      <c r="U300" s="699">
        <f t="shared" si="108"/>
        <v>0</v>
      </c>
      <c r="W300" s="481"/>
    </row>
    <row r="301" spans="1:23" ht="13.5" thickBot="1">
      <c r="A301" s="426"/>
      <c r="B301" s="426" t="s">
        <v>1229</v>
      </c>
      <c r="C301" s="477" t="s">
        <v>1233</v>
      </c>
      <c r="D301" s="441" t="s">
        <v>1076</v>
      </c>
      <c r="E301" s="451"/>
      <c r="F301" s="451"/>
      <c r="G301" s="451"/>
      <c r="H301" s="451"/>
      <c r="I301" s="451"/>
      <c r="J301" s="451"/>
      <c r="K301" s="451"/>
      <c r="L301" s="451"/>
      <c r="M301" s="451"/>
      <c r="N301" s="451"/>
      <c r="O301" s="451"/>
      <c r="P301" s="451"/>
      <c r="Q301" s="433">
        <f t="shared" si="105"/>
        <v>0</v>
      </c>
      <c r="R301" s="451">
        <v>0</v>
      </c>
      <c r="U301" s="699">
        <f t="shared" si="108"/>
        <v>0</v>
      </c>
      <c r="W301" s="481"/>
    </row>
    <row r="302" spans="1:23" ht="11.25" customHeight="1" thickBot="1">
      <c r="A302" s="426" t="s">
        <v>1234</v>
      </c>
      <c r="B302" s="426"/>
      <c r="C302" s="434"/>
      <c r="D302" s="435"/>
      <c r="E302" s="444"/>
      <c r="F302" s="444"/>
      <c r="G302" s="444"/>
      <c r="H302" s="444"/>
      <c r="I302" s="444"/>
      <c r="J302" s="444"/>
      <c r="K302" s="444"/>
      <c r="L302" s="444"/>
      <c r="M302" s="444"/>
      <c r="N302" s="444"/>
      <c r="O302" s="444"/>
      <c r="P302" s="444"/>
      <c r="Q302" s="433">
        <f t="shared" si="105"/>
        <v>0</v>
      </c>
      <c r="R302" s="444">
        <v>0</v>
      </c>
      <c r="U302" s="699">
        <f t="shared" si="108"/>
        <v>0</v>
      </c>
      <c r="W302" s="481"/>
    </row>
    <row r="303" spans="1:23" ht="13.5" thickBot="1">
      <c r="A303" s="426"/>
      <c r="B303" s="426" t="s">
        <v>1232</v>
      </c>
      <c r="C303" s="468" t="s">
        <v>1235</v>
      </c>
      <c r="D303" s="469" t="s">
        <v>1236</v>
      </c>
      <c r="E303" s="470"/>
      <c r="F303" s="470"/>
      <c r="G303" s="470"/>
      <c r="H303" s="470"/>
      <c r="I303" s="470"/>
      <c r="J303" s="470"/>
      <c r="K303" s="470"/>
      <c r="L303" s="470"/>
      <c r="M303" s="470"/>
      <c r="N303" s="470"/>
      <c r="O303" s="470"/>
      <c r="P303" s="470"/>
      <c r="Q303" s="433">
        <f t="shared" si="105"/>
        <v>0</v>
      </c>
      <c r="R303" s="470">
        <v>0</v>
      </c>
      <c r="U303" s="699">
        <f t="shared" si="108"/>
        <v>0</v>
      </c>
      <c r="W303" s="481"/>
    </row>
    <row r="304" spans="1:23" ht="12" customHeight="1" thickBot="1">
      <c r="A304" s="436"/>
      <c r="B304" s="426"/>
      <c r="C304" s="434"/>
      <c r="D304" s="435"/>
      <c r="E304" s="444"/>
      <c r="F304" s="444"/>
      <c r="G304" s="444"/>
      <c r="H304" s="444"/>
      <c r="I304" s="444"/>
      <c r="J304" s="444"/>
      <c r="K304" s="444"/>
      <c r="L304" s="444"/>
      <c r="M304" s="444"/>
      <c r="N304" s="444"/>
      <c r="O304" s="444"/>
      <c r="P304" s="444"/>
      <c r="Q304" s="433">
        <f t="shared" si="105"/>
        <v>0</v>
      </c>
      <c r="R304" s="444">
        <v>0</v>
      </c>
      <c r="U304" s="699">
        <f t="shared" si="108"/>
        <v>0</v>
      </c>
      <c r="W304" s="481"/>
    </row>
    <row r="305" spans="1:23" ht="13.5" thickBot="1">
      <c r="A305" s="466"/>
      <c r="B305" s="426" t="s">
        <v>1234</v>
      </c>
      <c r="C305" s="477" t="s">
        <v>1237</v>
      </c>
      <c r="D305" s="441" t="s">
        <v>1238</v>
      </c>
      <c r="E305" s="451">
        <f>+'DGCI '!C106</f>
        <v>0</v>
      </c>
      <c r="F305" s="451">
        <f>+'DGCI '!D106</f>
        <v>0</v>
      </c>
      <c r="G305" s="451">
        <f>+'DGCI '!E106</f>
        <v>0</v>
      </c>
      <c r="H305" s="451">
        <f>+'DGCI '!F106</f>
        <v>0</v>
      </c>
      <c r="I305" s="451">
        <f>+'DGCI '!G106</f>
        <v>0</v>
      </c>
      <c r="J305" s="451">
        <f>+'DGCI '!H106</f>
        <v>6476.5</v>
      </c>
      <c r="K305" s="451">
        <f>+'DGCI '!J106</f>
        <v>0</v>
      </c>
      <c r="L305" s="451">
        <f>+'DGCI '!K106</f>
        <v>0</v>
      </c>
      <c r="M305" s="451">
        <f>+'DGCI '!L106</f>
        <v>0</v>
      </c>
      <c r="N305" s="451">
        <f>+'DGCI '!M106</f>
        <v>0</v>
      </c>
      <c r="O305" s="451">
        <f>+'DGCI '!N106</f>
        <v>0</v>
      </c>
      <c r="P305" s="451">
        <f>+'DGCI '!O106</f>
        <v>0</v>
      </c>
      <c r="Q305" s="433">
        <f t="shared" si="105"/>
        <v>6476.5</v>
      </c>
      <c r="R305" s="451">
        <v>0</v>
      </c>
      <c r="U305" s="699">
        <f t="shared" si="108"/>
        <v>12953</v>
      </c>
      <c r="W305" s="481"/>
    </row>
    <row r="306" spans="1:23" ht="10.5" customHeight="1" thickBot="1">
      <c r="A306" s="430"/>
      <c r="B306" s="426"/>
      <c r="C306" s="495"/>
      <c r="D306" s="496"/>
      <c r="E306" s="497"/>
      <c r="F306" s="497"/>
      <c r="G306" s="497"/>
      <c r="H306" s="497"/>
      <c r="I306" s="497"/>
      <c r="J306" s="497"/>
      <c r="K306" s="497"/>
      <c r="L306" s="497"/>
      <c r="M306" s="497"/>
      <c r="N306" s="497"/>
      <c r="O306" s="497"/>
      <c r="P306" s="497"/>
      <c r="Q306" s="433">
        <f t="shared" si="105"/>
        <v>0</v>
      </c>
      <c r="R306" s="497">
        <v>0</v>
      </c>
      <c r="U306" s="699">
        <f t="shared" si="108"/>
        <v>0</v>
      </c>
      <c r="W306" s="481"/>
    </row>
    <row r="307" spans="1:23" ht="13.5" thickBot="1">
      <c r="A307" s="466" t="s">
        <v>1239</v>
      </c>
      <c r="B307" s="426"/>
      <c r="C307" s="437" t="s">
        <v>1240</v>
      </c>
      <c r="D307" s="438" t="s">
        <v>1241</v>
      </c>
      <c r="E307" s="439">
        <f>+E309+E317+E322</f>
        <v>0</v>
      </c>
      <c r="F307" s="439">
        <f>SUMIF(F309,"&lt;&gt;0")+SUMIF(F318:F322,"&lt;&gt;0")</f>
        <v>0</v>
      </c>
      <c r="G307" s="439">
        <f>SUMIF(G309,"&lt;&gt;0")+SUMIF(G318:G322,"&lt;&gt;0")</f>
        <v>0</v>
      </c>
      <c r="H307" s="439">
        <f>SUMIF(H309,"&lt;&gt;0")+SUMIF(H318:H322,"&lt;&gt;0")</f>
        <v>0</v>
      </c>
      <c r="I307" s="439">
        <f>SUMIF(I309,"&lt;&gt;0")+SUMIF(I318:I322,"&lt;&gt;0")</f>
        <v>0</v>
      </c>
      <c r="J307" s="439">
        <f>SUMIF(J309,"&lt;&gt;0")+SUMIF(J318:J322,"&lt;&gt;0")</f>
        <v>0</v>
      </c>
      <c r="K307" s="439">
        <f t="shared" ref="K307:P307" si="111">SUMIF(K309,"&lt;&gt;0")+SUMIF(K318:K322,"&lt;&gt;0")</f>
        <v>0</v>
      </c>
      <c r="L307" s="439">
        <f t="shared" si="111"/>
        <v>0</v>
      </c>
      <c r="M307" s="439">
        <f t="shared" si="111"/>
        <v>0</v>
      </c>
      <c r="N307" s="439">
        <f t="shared" si="111"/>
        <v>0</v>
      </c>
      <c r="O307" s="439">
        <f t="shared" si="111"/>
        <v>0</v>
      </c>
      <c r="P307" s="439">
        <f t="shared" si="111"/>
        <v>0</v>
      </c>
      <c r="Q307" s="433">
        <f t="shared" si="105"/>
        <v>0</v>
      </c>
      <c r="R307" s="439"/>
      <c r="U307" s="699">
        <v>0</v>
      </c>
      <c r="W307" s="481"/>
    </row>
    <row r="308" spans="1:23" ht="16.5" customHeight="1" thickBot="1">
      <c r="A308" s="466" t="s">
        <v>1242</v>
      </c>
      <c r="B308" s="466"/>
      <c r="C308" s="498"/>
      <c r="D308" s="499"/>
      <c r="E308" s="500"/>
      <c r="F308" s="500"/>
      <c r="G308" s="500"/>
      <c r="H308" s="500"/>
      <c r="I308" s="500"/>
      <c r="J308" s="500"/>
      <c r="K308" s="500"/>
      <c r="L308" s="500"/>
      <c r="M308" s="500"/>
      <c r="N308" s="500"/>
      <c r="O308" s="500"/>
      <c r="P308" s="500"/>
      <c r="Q308" s="433">
        <f t="shared" si="105"/>
        <v>0</v>
      </c>
      <c r="R308" s="500">
        <v>0</v>
      </c>
      <c r="U308" s="699">
        <f>SUM(I308:Q308)</f>
        <v>0</v>
      </c>
      <c r="W308" s="481"/>
    </row>
    <row r="309" spans="1:23" ht="13.5" thickBot="1">
      <c r="A309" s="466" t="s">
        <v>1243</v>
      </c>
      <c r="B309" s="426"/>
      <c r="C309" s="440" t="s">
        <v>1244</v>
      </c>
      <c r="D309" s="441" t="s">
        <v>1245</v>
      </c>
      <c r="E309" s="451">
        <f>SUM(E310:E313)</f>
        <v>0</v>
      </c>
      <c r="F309" s="451">
        <f>SUMIF(F310:F313,"&lt;&gt;0")</f>
        <v>0</v>
      </c>
      <c r="G309" s="451">
        <f>SUMIF(G310:G313,"&lt;&gt;0")</f>
        <v>0</v>
      </c>
      <c r="H309" s="451">
        <f>SUMIF(H310:H313,"&lt;&gt;0")</f>
        <v>0</v>
      </c>
      <c r="I309" s="451">
        <f>SUMIF(I310:I313,"&lt;&gt;0")</f>
        <v>0</v>
      </c>
      <c r="J309" s="451">
        <f>SUMIF(J310:J313,"&lt;&gt;0")</f>
        <v>0</v>
      </c>
      <c r="K309" s="451">
        <f t="shared" ref="K309:P309" si="112">SUMIF(K310:K313,"&lt;&gt;0")</f>
        <v>0</v>
      </c>
      <c r="L309" s="451">
        <f t="shared" si="112"/>
        <v>0</v>
      </c>
      <c r="M309" s="451">
        <f t="shared" si="112"/>
        <v>0</v>
      </c>
      <c r="N309" s="451">
        <f t="shared" si="112"/>
        <v>0</v>
      </c>
      <c r="O309" s="451">
        <f t="shared" si="112"/>
        <v>0</v>
      </c>
      <c r="P309" s="451">
        <f t="shared" si="112"/>
        <v>0</v>
      </c>
      <c r="Q309" s="433">
        <f t="shared" si="105"/>
        <v>0</v>
      </c>
      <c r="R309" s="451">
        <v>0</v>
      </c>
      <c r="U309" s="699">
        <v>0</v>
      </c>
      <c r="W309" s="481"/>
    </row>
    <row r="310" spans="1:23" ht="13.5" thickBot="1">
      <c r="A310" s="466"/>
      <c r="B310" s="466" t="s">
        <v>1239</v>
      </c>
      <c r="C310" s="434" t="s">
        <v>1246</v>
      </c>
      <c r="D310" s="435" t="s">
        <v>1247</v>
      </c>
      <c r="E310" s="444"/>
      <c r="F310" s="444"/>
      <c r="G310" s="444"/>
      <c r="H310" s="444"/>
      <c r="I310" s="444"/>
      <c r="J310" s="444"/>
      <c r="K310" s="444"/>
      <c r="L310" s="444"/>
      <c r="M310" s="444"/>
      <c r="N310" s="444"/>
      <c r="O310" s="444"/>
      <c r="P310" s="444"/>
      <c r="Q310" s="433">
        <f t="shared" si="105"/>
        <v>0</v>
      </c>
      <c r="R310" s="444">
        <v>0</v>
      </c>
      <c r="U310" s="699">
        <f t="shared" ref="U310:U323" si="113">SUM(I310:Q310)</f>
        <v>0</v>
      </c>
      <c r="W310" s="481"/>
    </row>
    <row r="311" spans="1:23" ht="13.5" thickBot="1">
      <c r="A311" s="466" t="s">
        <v>1248</v>
      </c>
      <c r="B311" s="466" t="s">
        <v>1242</v>
      </c>
      <c r="C311" s="434" t="s">
        <v>1249</v>
      </c>
      <c r="D311" s="435" t="s">
        <v>1250</v>
      </c>
      <c r="E311" s="444"/>
      <c r="F311" s="444"/>
      <c r="G311" s="444"/>
      <c r="H311" s="444"/>
      <c r="I311" s="444"/>
      <c r="J311" s="444"/>
      <c r="K311" s="444"/>
      <c r="L311" s="444"/>
      <c r="M311" s="444"/>
      <c r="N311" s="444"/>
      <c r="O311" s="444"/>
      <c r="P311" s="444"/>
      <c r="Q311" s="433">
        <f t="shared" si="105"/>
        <v>0</v>
      </c>
      <c r="R311" s="444">
        <v>0</v>
      </c>
      <c r="U311" s="699">
        <f t="shared" si="113"/>
        <v>0</v>
      </c>
      <c r="W311" s="481"/>
    </row>
    <row r="312" spans="1:23" ht="13.5" thickBot="1">
      <c r="A312" s="466" t="s">
        <v>1251</v>
      </c>
      <c r="B312" s="466" t="s">
        <v>1243</v>
      </c>
      <c r="C312" s="434" t="s">
        <v>1252</v>
      </c>
      <c r="D312" s="435" t="s">
        <v>1253</v>
      </c>
      <c r="E312" s="444"/>
      <c r="F312" s="444"/>
      <c r="G312" s="444"/>
      <c r="H312" s="444"/>
      <c r="I312" s="444"/>
      <c r="J312" s="444"/>
      <c r="K312" s="444"/>
      <c r="L312" s="444"/>
      <c r="M312" s="444"/>
      <c r="N312" s="444"/>
      <c r="O312" s="444"/>
      <c r="P312" s="444"/>
      <c r="Q312" s="433">
        <f t="shared" si="105"/>
        <v>0</v>
      </c>
      <c r="R312" s="444">
        <v>0</v>
      </c>
      <c r="U312" s="699">
        <f t="shared" si="113"/>
        <v>0</v>
      </c>
      <c r="W312" s="481"/>
    </row>
    <row r="313" spans="1:23" ht="13.5" thickBot="1">
      <c r="A313" s="466"/>
      <c r="B313" s="466"/>
      <c r="C313" s="434" t="s">
        <v>1254</v>
      </c>
      <c r="D313" s="435" t="s">
        <v>289</v>
      </c>
      <c r="E313" s="444">
        <f t="shared" ref="E313:J313" si="114">SUMIF(E314:E315,"&lt;&gt;0")</f>
        <v>0</v>
      </c>
      <c r="F313" s="444">
        <f t="shared" si="114"/>
        <v>0</v>
      </c>
      <c r="G313" s="444">
        <f t="shared" si="114"/>
        <v>0</v>
      </c>
      <c r="H313" s="444">
        <f t="shared" si="114"/>
        <v>0</v>
      </c>
      <c r="I313" s="444">
        <f t="shared" si="114"/>
        <v>0</v>
      </c>
      <c r="J313" s="444">
        <f t="shared" si="114"/>
        <v>0</v>
      </c>
      <c r="K313" s="444">
        <f t="shared" ref="K313:P313" si="115">SUMIF(K314:K315,"&lt;&gt;0")</f>
        <v>0</v>
      </c>
      <c r="L313" s="444">
        <f t="shared" si="115"/>
        <v>0</v>
      </c>
      <c r="M313" s="444">
        <f t="shared" si="115"/>
        <v>0</v>
      </c>
      <c r="N313" s="444">
        <f t="shared" si="115"/>
        <v>0</v>
      </c>
      <c r="O313" s="444">
        <f t="shared" si="115"/>
        <v>0</v>
      </c>
      <c r="P313" s="444">
        <f t="shared" si="115"/>
        <v>0</v>
      </c>
      <c r="Q313" s="433">
        <f t="shared" si="105"/>
        <v>0</v>
      </c>
      <c r="R313" s="444">
        <v>0</v>
      </c>
      <c r="U313" s="699">
        <f t="shared" si="113"/>
        <v>0</v>
      </c>
      <c r="W313" s="481"/>
    </row>
    <row r="314" spans="1:23" ht="15.75" thickBot="1">
      <c r="A314" s="430"/>
      <c r="B314" s="466" t="s">
        <v>1248</v>
      </c>
      <c r="C314" s="450" t="s">
        <v>1510</v>
      </c>
      <c r="D314" s="449" t="s">
        <v>1255</v>
      </c>
      <c r="E314" s="452">
        <v>0</v>
      </c>
      <c r="F314" s="452">
        <v>0</v>
      </c>
      <c r="G314" s="452">
        <v>0</v>
      </c>
      <c r="H314" s="452">
        <v>0</v>
      </c>
      <c r="I314" s="452">
        <v>0</v>
      </c>
      <c r="J314" s="452">
        <v>0</v>
      </c>
      <c r="K314" s="452">
        <v>0</v>
      </c>
      <c r="L314" s="452">
        <v>0</v>
      </c>
      <c r="M314" s="452">
        <v>0</v>
      </c>
      <c r="N314" s="452">
        <v>0</v>
      </c>
      <c r="O314" s="452">
        <v>0</v>
      </c>
      <c r="P314" s="452">
        <v>0</v>
      </c>
      <c r="Q314" s="433">
        <f t="shared" si="105"/>
        <v>0</v>
      </c>
      <c r="R314" s="452">
        <v>0</v>
      </c>
      <c r="U314" s="699">
        <f t="shared" si="113"/>
        <v>0</v>
      </c>
      <c r="W314" s="481"/>
    </row>
    <row r="315" spans="1:23" ht="13.5" thickBot="1">
      <c r="A315" s="426" t="s">
        <v>1256</v>
      </c>
      <c r="B315" s="466" t="s">
        <v>1251</v>
      </c>
      <c r="C315" s="450" t="s">
        <v>1511</v>
      </c>
      <c r="D315" s="449" t="s">
        <v>1257</v>
      </c>
      <c r="E315" s="452">
        <v>0</v>
      </c>
      <c r="F315" s="452">
        <v>0</v>
      </c>
      <c r="G315" s="452">
        <v>0</v>
      </c>
      <c r="H315" s="452">
        <v>0</v>
      </c>
      <c r="I315" s="452">
        <v>0</v>
      </c>
      <c r="J315" s="452">
        <v>0</v>
      </c>
      <c r="K315" s="452">
        <v>0</v>
      </c>
      <c r="L315" s="452">
        <v>0</v>
      </c>
      <c r="M315" s="452">
        <v>0</v>
      </c>
      <c r="N315" s="452">
        <v>0</v>
      </c>
      <c r="O315" s="452">
        <v>0</v>
      </c>
      <c r="P315" s="452">
        <v>0</v>
      </c>
      <c r="Q315" s="433">
        <f t="shared" si="105"/>
        <v>0</v>
      </c>
      <c r="R315" s="452">
        <v>0</v>
      </c>
      <c r="U315" s="699">
        <f t="shared" si="113"/>
        <v>0</v>
      </c>
      <c r="W315" s="481"/>
    </row>
    <row r="316" spans="1:23" ht="5.25" customHeight="1" thickBot="1">
      <c r="A316" s="426" t="s">
        <v>1258</v>
      </c>
      <c r="B316" s="466"/>
      <c r="C316" s="434"/>
      <c r="D316" s="435"/>
      <c r="E316" s="444"/>
      <c r="F316" s="444"/>
      <c r="G316" s="444"/>
      <c r="H316" s="444"/>
      <c r="I316" s="444"/>
      <c r="J316" s="444"/>
      <c r="K316" s="444"/>
      <c r="L316" s="444"/>
      <c r="M316" s="444"/>
      <c r="N316" s="444"/>
      <c r="O316" s="444"/>
      <c r="P316" s="444"/>
      <c r="Q316" s="433">
        <f t="shared" si="105"/>
        <v>0</v>
      </c>
      <c r="R316" s="444">
        <v>0</v>
      </c>
      <c r="U316" s="699">
        <f t="shared" si="113"/>
        <v>0</v>
      </c>
      <c r="W316" s="481"/>
    </row>
    <row r="317" spans="1:23" ht="13.5" thickBot="1">
      <c r="A317" s="426" t="s">
        <v>1259</v>
      </c>
      <c r="B317" s="426"/>
      <c r="C317" s="440" t="s">
        <v>1260</v>
      </c>
      <c r="D317" s="441" t="s">
        <v>1145</v>
      </c>
      <c r="E317" s="451">
        <f>SUM(E318:E321)</f>
        <v>0</v>
      </c>
      <c r="F317" s="451">
        <f>SUMIF(F318:F320,"&lt;&gt;0")</f>
        <v>0</v>
      </c>
      <c r="G317" s="451">
        <f>SUMIF(G318:G320,"&lt;&gt;0")</f>
        <v>0</v>
      </c>
      <c r="H317" s="451">
        <f>SUMIF(H318:H320,"&lt;&gt;0")</f>
        <v>0</v>
      </c>
      <c r="I317" s="451">
        <f>SUMIF(I318:I320,"&lt;&gt;0")</f>
        <v>0</v>
      </c>
      <c r="J317" s="451">
        <f>SUMIF(J318:J320,"&lt;&gt;0")</f>
        <v>0</v>
      </c>
      <c r="K317" s="451">
        <f t="shared" ref="K317:P317" si="116">SUMIF(K318:K320,"&lt;&gt;0")</f>
        <v>0</v>
      </c>
      <c r="L317" s="451">
        <f t="shared" si="116"/>
        <v>0</v>
      </c>
      <c r="M317" s="451">
        <f t="shared" si="116"/>
        <v>0</v>
      </c>
      <c r="N317" s="451">
        <f t="shared" si="116"/>
        <v>0</v>
      </c>
      <c r="O317" s="451">
        <f t="shared" si="116"/>
        <v>0</v>
      </c>
      <c r="P317" s="451">
        <f t="shared" si="116"/>
        <v>0</v>
      </c>
      <c r="Q317" s="433">
        <f t="shared" si="105"/>
        <v>0</v>
      </c>
      <c r="R317" s="451">
        <v>0</v>
      </c>
      <c r="U317" s="699">
        <f t="shared" si="113"/>
        <v>0</v>
      </c>
      <c r="W317" s="481"/>
    </row>
    <row r="318" spans="1:23" ht="13.5" thickBot="1">
      <c r="A318" s="426"/>
      <c r="B318" s="426" t="s">
        <v>1256</v>
      </c>
      <c r="C318" s="434" t="s">
        <v>1261</v>
      </c>
      <c r="D318" s="435" t="s">
        <v>1262</v>
      </c>
      <c r="E318" s="444">
        <v>0</v>
      </c>
      <c r="F318" s="444">
        <v>0</v>
      </c>
      <c r="G318" s="444">
        <v>0</v>
      </c>
      <c r="H318" s="444">
        <v>0</v>
      </c>
      <c r="I318" s="444">
        <v>0</v>
      </c>
      <c r="J318" s="444">
        <v>0</v>
      </c>
      <c r="K318" s="444">
        <v>0</v>
      </c>
      <c r="L318" s="444">
        <v>0</v>
      </c>
      <c r="M318" s="444">
        <v>0</v>
      </c>
      <c r="N318" s="444">
        <v>0</v>
      </c>
      <c r="O318" s="444">
        <v>0</v>
      </c>
      <c r="P318" s="444">
        <v>0</v>
      </c>
      <c r="Q318" s="433">
        <f t="shared" si="105"/>
        <v>0</v>
      </c>
      <c r="R318" s="444">
        <v>0</v>
      </c>
      <c r="U318" s="699">
        <f t="shared" si="113"/>
        <v>0</v>
      </c>
      <c r="W318" s="481"/>
    </row>
    <row r="319" spans="1:23" ht="15.75" thickBot="1">
      <c r="A319" s="430" t="s">
        <v>1263</v>
      </c>
      <c r="B319" s="426" t="s">
        <v>1258</v>
      </c>
      <c r="C319" s="434" t="s">
        <v>1264</v>
      </c>
      <c r="D319" s="435" t="s">
        <v>1265</v>
      </c>
      <c r="E319" s="444">
        <v>0</v>
      </c>
      <c r="F319" s="444">
        <v>0</v>
      </c>
      <c r="G319" s="444">
        <v>0</v>
      </c>
      <c r="H319" s="444">
        <v>0</v>
      </c>
      <c r="I319" s="444">
        <v>0</v>
      </c>
      <c r="J319" s="444">
        <v>0</v>
      </c>
      <c r="K319" s="444">
        <v>0</v>
      </c>
      <c r="L319" s="444">
        <v>0</v>
      </c>
      <c r="M319" s="444">
        <v>0</v>
      </c>
      <c r="N319" s="444">
        <v>0</v>
      </c>
      <c r="O319" s="444">
        <v>0</v>
      </c>
      <c r="P319" s="444">
        <v>0</v>
      </c>
      <c r="Q319" s="433">
        <f t="shared" si="105"/>
        <v>0</v>
      </c>
      <c r="R319" s="444">
        <v>0</v>
      </c>
      <c r="U319" s="699">
        <f t="shared" si="113"/>
        <v>0</v>
      </c>
      <c r="W319" s="481"/>
    </row>
    <row r="320" spans="1:23" ht="13.5" thickBot="1">
      <c r="A320" s="426"/>
      <c r="B320" s="426" t="s">
        <v>1259</v>
      </c>
      <c r="C320" s="434" t="s">
        <v>1267</v>
      </c>
      <c r="D320" s="435" t="s">
        <v>1268</v>
      </c>
      <c r="E320" s="444">
        <v>0</v>
      </c>
      <c r="F320" s="444">
        <v>0</v>
      </c>
      <c r="G320" s="444">
        <v>0</v>
      </c>
      <c r="H320" s="444">
        <v>0</v>
      </c>
      <c r="I320" s="444">
        <v>0</v>
      </c>
      <c r="J320" s="444">
        <v>0</v>
      </c>
      <c r="K320" s="444">
        <v>0</v>
      </c>
      <c r="L320" s="444">
        <v>0</v>
      </c>
      <c r="M320" s="444">
        <v>0</v>
      </c>
      <c r="N320" s="444">
        <v>0</v>
      </c>
      <c r="O320" s="444">
        <v>0</v>
      </c>
      <c r="P320" s="444">
        <v>0</v>
      </c>
      <c r="Q320" s="433">
        <f t="shared" si="105"/>
        <v>0</v>
      </c>
      <c r="R320" s="444">
        <v>0</v>
      </c>
      <c r="U320" s="699">
        <f t="shared" si="113"/>
        <v>0</v>
      </c>
      <c r="W320" s="481"/>
    </row>
    <row r="321" spans="1:23" ht="5.0999999999999996" customHeight="1" thickBot="1">
      <c r="A321" s="436"/>
      <c r="B321" s="426"/>
      <c r="C321" s="434"/>
      <c r="D321" s="435"/>
      <c r="E321" s="444"/>
      <c r="F321" s="444"/>
      <c r="G321" s="444"/>
      <c r="H321" s="444"/>
      <c r="I321" s="444"/>
      <c r="J321" s="444"/>
      <c r="K321" s="444"/>
      <c r="L321" s="444"/>
      <c r="M321" s="444"/>
      <c r="N321" s="444"/>
      <c r="O321" s="444"/>
      <c r="P321" s="444"/>
      <c r="Q321" s="433">
        <f t="shared" si="105"/>
        <v>0</v>
      </c>
      <c r="R321" s="444">
        <v>0</v>
      </c>
      <c r="U321" s="699">
        <f t="shared" si="113"/>
        <v>0</v>
      </c>
      <c r="W321" s="481"/>
    </row>
    <row r="322" spans="1:23" ht="13.5" thickBot="1">
      <c r="A322" s="426" t="s">
        <v>1160</v>
      </c>
      <c r="B322" s="426" t="s">
        <v>1263</v>
      </c>
      <c r="C322" s="501" t="s">
        <v>1269</v>
      </c>
      <c r="D322" s="441" t="s">
        <v>1270</v>
      </c>
      <c r="E322" s="451">
        <f>'DGCI '!C108</f>
        <v>0</v>
      </c>
      <c r="F322" s="451">
        <f>'DGCI '!D108</f>
        <v>0</v>
      </c>
      <c r="G322" s="451">
        <f>'DGCI '!E108</f>
        <v>0</v>
      </c>
      <c r="H322" s="451">
        <f>'DGCI '!F108</f>
        <v>0</v>
      </c>
      <c r="I322" s="451">
        <f>'DGCI '!G108</f>
        <v>0</v>
      </c>
      <c r="J322" s="451">
        <f>'DGCI '!H108</f>
        <v>0</v>
      </c>
      <c r="K322" s="451">
        <f>'DGCI '!J108</f>
        <v>0</v>
      </c>
      <c r="L322" s="451">
        <f>'DGCI '!K108</f>
        <v>0</v>
      </c>
      <c r="M322" s="451">
        <f>+'DGCI '!L108</f>
        <v>0</v>
      </c>
      <c r="N322" s="451">
        <f>'DGCI '!M108</f>
        <v>0</v>
      </c>
      <c r="O322" s="451">
        <f>'DGCI '!N108</f>
        <v>0</v>
      </c>
      <c r="P322" s="451">
        <f>'DGCI '!O108</f>
        <v>0</v>
      </c>
      <c r="Q322" s="433">
        <f t="shared" si="105"/>
        <v>0</v>
      </c>
      <c r="R322" s="451"/>
      <c r="U322" s="699">
        <f t="shared" si="113"/>
        <v>0</v>
      </c>
      <c r="W322" s="481"/>
    </row>
    <row r="323" spans="1:23" ht="13.5" customHeight="1" thickBot="1">
      <c r="A323" s="426"/>
      <c r="B323" s="426"/>
      <c r="C323" s="434"/>
      <c r="D323" s="435"/>
      <c r="E323" s="444"/>
      <c r="F323" s="444"/>
      <c r="G323" s="444"/>
      <c r="H323" s="444"/>
      <c r="I323" s="444"/>
      <c r="J323" s="444"/>
      <c r="K323" s="444"/>
      <c r="L323" s="444"/>
      <c r="M323" s="444"/>
      <c r="N323" s="444"/>
      <c r="O323" s="444"/>
      <c r="P323" s="444"/>
      <c r="Q323" s="433">
        <f t="shared" si="105"/>
        <v>0</v>
      </c>
      <c r="R323" s="444">
        <v>0</v>
      </c>
      <c r="U323" s="699">
        <f t="shared" si="113"/>
        <v>0</v>
      </c>
      <c r="W323" s="481"/>
    </row>
    <row r="324" spans="1:23" ht="13.5" thickBot="1">
      <c r="A324" s="426" t="s">
        <v>1271</v>
      </c>
      <c r="B324" s="426"/>
      <c r="C324" s="437" t="s">
        <v>34</v>
      </c>
      <c r="D324" s="438" t="s">
        <v>1272</v>
      </c>
      <c r="E324" s="439">
        <f>SUM(E325:E327)</f>
        <v>0</v>
      </c>
      <c r="F324" s="439">
        <f>SUMIF(F325:F327,"&lt;&gt;0")</f>
        <v>1033.615</v>
      </c>
      <c r="G324" s="439">
        <f>SUMIF(G325:G327,"&lt;&gt;0")</f>
        <v>603.05999999999995</v>
      </c>
      <c r="H324" s="439">
        <f>SUMIF(H325:H327,"&lt;&gt;0")</f>
        <v>646.47900000000004</v>
      </c>
      <c r="I324" s="439">
        <f>SUMIF(I325:I327,"&lt;&gt;0")</f>
        <v>1662.826</v>
      </c>
      <c r="J324" s="439">
        <f>SUMIF(J325:J327,"&lt;&gt;0")</f>
        <v>766.875</v>
      </c>
      <c r="K324" s="439">
        <f t="shared" ref="K324:P324" si="117">SUMIF(K325:K327,"&lt;&gt;0")</f>
        <v>1525.2080000000001</v>
      </c>
      <c r="L324" s="439">
        <f t="shared" si="117"/>
        <v>62.5</v>
      </c>
      <c r="M324" s="439">
        <f t="shared" si="117"/>
        <v>203.78899999999999</v>
      </c>
      <c r="N324" s="439">
        <f t="shared" si="117"/>
        <v>75.007000000000005</v>
      </c>
      <c r="O324" s="439">
        <f t="shared" si="117"/>
        <v>0</v>
      </c>
      <c r="P324" s="439">
        <f t="shared" si="117"/>
        <v>64.12</v>
      </c>
      <c r="Q324" s="433">
        <f t="shared" si="105"/>
        <v>6643.4789999999994</v>
      </c>
      <c r="R324" s="439">
        <v>0</v>
      </c>
      <c r="U324" s="699">
        <v>0</v>
      </c>
      <c r="W324" s="481"/>
    </row>
    <row r="325" spans="1:23" ht="13.5" thickBot="1">
      <c r="A325" s="426"/>
      <c r="B325" s="426" t="s">
        <v>1160</v>
      </c>
      <c r="C325" s="475" t="s">
        <v>1273</v>
      </c>
      <c r="D325" s="435" t="s">
        <v>1274</v>
      </c>
      <c r="E325" s="444">
        <v>0</v>
      </c>
      <c r="F325" s="444">
        <v>0</v>
      </c>
      <c r="G325" s="444">
        <v>0</v>
      </c>
      <c r="H325" s="444">
        <v>0</v>
      </c>
      <c r="I325" s="444">
        <v>0</v>
      </c>
      <c r="J325" s="444">
        <v>0</v>
      </c>
      <c r="K325" s="444">
        <v>0</v>
      </c>
      <c r="L325" s="444">
        <v>0</v>
      </c>
      <c r="M325" s="444">
        <v>0</v>
      </c>
      <c r="N325" s="444">
        <v>0</v>
      </c>
      <c r="O325" s="444">
        <v>0</v>
      </c>
      <c r="P325" s="444">
        <v>0</v>
      </c>
      <c r="Q325" s="433">
        <f t="shared" si="105"/>
        <v>0</v>
      </c>
      <c r="R325" s="444">
        <v>0</v>
      </c>
      <c r="U325" s="699">
        <f>SUM(I325:Q325)</f>
        <v>0</v>
      </c>
      <c r="W325" s="481"/>
    </row>
    <row r="326" spans="1:23" ht="15.75" thickBot="1">
      <c r="A326" s="430"/>
      <c r="B326" s="426"/>
      <c r="C326" s="475" t="s">
        <v>1275</v>
      </c>
      <c r="D326" s="435" t="s">
        <v>1276</v>
      </c>
      <c r="E326" s="444">
        <v>0</v>
      </c>
      <c r="F326" s="444">
        <v>0</v>
      </c>
      <c r="G326" s="444">
        <v>0</v>
      </c>
      <c r="H326" s="444">
        <v>0</v>
      </c>
      <c r="I326" s="444">
        <v>0</v>
      </c>
      <c r="J326" s="444">
        <v>0</v>
      </c>
      <c r="K326" s="444">
        <v>0</v>
      </c>
      <c r="L326" s="444">
        <v>0</v>
      </c>
      <c r="M326" s="444">
        <v>0</v>
      </c>
      <c r="N326" s="444">
        <v>0</v>
      </c>
      <c r="O326" s="444">
        <v>0</v>
      </c>
      <c r="P326" s="444">
        <v>0</v>
      </c>
      <c r="Q326" s="433">
        <f t="shared" si="105"/>
        <v>0</v>
      </c>
      <c r="R326" s="444">
        <v>0</v>
      </c>
      <c r="U326" s="699">
        <f>SUM(I326:Q326)</f>
        <v>0</v>
      </c>
      <c r="W326" s="481"/>
    </row>
    <row r="327" spans="1:23" s="1635" customFormat="1" ht="13.5" thickBot="1">
      <c r="A327" s="1630"/>
      <c r="B327" s="1630" t="s">
        <v>1271</v>
      </c>
      <c r="C327" s="1631" t="s">
        <v>1277</v>
      </c>
      <c r="D327" s="1632" t="s">
        <v>1139</v>
      </c>
      <c r="E327" s="1633">
        <f>DGA!C37/1000+'DGCI '!C105</f>
        <v>0</v>
      </c>
      <c r="F327" s="1633">
        <f>DGA!D37/1000+'DGCI '!D105</f>
        <v>1033.615</v>
      </c>
      <c r="G327" s="1633">
        <f>DGA!E37/1000+'DGCI '!E105</f>
        <v>603.05999999999995</v>
      </c>
      <c r="H327" s="1633">
        <f>DGA!F37/1000+'DGCI '!F105</f>
        <v>646.47900000000004</v>
      </c>
      <c r="I327" s="1633">
        <f>DGA!G37/1000+'DGCI '!G105</f>
        <v>1662.826</v>
      </c>
      <c r="J327" s="1633">
        <f>DGA!H37/1000+'DGCI '!H105</f>
        <v>766.875</v>
      </c>
      <c r="K327" s="1633">
        <f>DGA!I37/1000+'DGCI '!J105</f>
        <v>1525.2080000000001</v>
      </c>
      <c r="L327" s="1633">
        <f>DGA!J37/1000+'DGCI '!K105</f>
        <v>62.5</v>
      </c>
      <c r="M327" s="1633">
        <f>DGA!K37/1000+'DGCI '!L105</f>
        <v>203.78899999999999</v>
      </c>
      <c r="N327" s="1633">
        <f>DGA!L37/1000+'DGCI '!M105</f>
        <v>75.007000000000005</v>
      </c>
      <c r="O327" s="1633">
        <f>DGA!M37/1000+'DGCI '!N105</f>
        <v>0</v>
      </c>
      <c r="P327" s="1633">
        <f>DGA!N37/1000+'DGCI '!O105</f>
        <v>64.12</v>
      </c>
      <c r="Q327" s="1634">
        <f t="shared" si="105"/>
        <v>6643.4789999999994</v>
      </c>
      <c r="R327" s="1633">
        <v>0</v>
      </c>
      <c r="U327" s="1636">
        <v>0</v>
      </c>
      <c r="W327" s="1637"/>
    </row>
    <row r="328" spans="1:23" ht="5.0999999999999996" customHeight="1" thickBot="1">
      <c r="A328" s="436"/>
      <c r="B328" s="426"/>
      <c r="C328" s="494"/>
      <c r="D328" s="435"/>
      <c r="E328" s="444"/>
      <c r="F328" s="444"/>
      <c r="G328" s="444"/>
      <c r="H328" s="444"/>
      <c r="I328" s="444"/>
      <c r="J328" s="444"/>
      <c r="K328" s="444"/>
      <c r="L328" s="444"/>
      <c r="M328" s="444"/>
      <c r="N328" s="444"/>
      <c r="O328" s="444"/>
      <c r="P328" s="444"/>
      <c r="Q328" s="433">
        <f t="shared" si="105"/>
        <v>0</v>
      </c>
      <c r="R328" s="444">
        <v>0</v>
      </c>
      <c r="U328" s="699">
        <f>SUM(I328:Q328)</f>
        <v>0</v>
      </c>
      <c r="W328" s="481"/>
    </row>
    <row r="329" spans="1:23" ht="13.5" thickBot="1">
      <c r="A329" s="426"/>
      <c r="B329" s="426"/>
      <c r="C329" s="502" t="s">
        <v>1278</v>
      </c>
      <c r="D329" s="503"/>
      <c r="E329" s="504">
        <f t="shared" ref="E329:N329" si="118">E13+E104</f>
        <v>5590621.3829999994</v>
      </c>
      <c r="F329" s="504">
        <f t="shared" si="118"/>
        <v>6074760.9160000002</v>
      </c>
      <c r="G329" s="504">
        <f t="shared" si="118"/>
        <v>11858807.958999999</v>
      </c>
      <c r="H329" s="504">
        <f t="shared" si="118"/>
        <v>5427765.0270000007</v>
      </c>
      <c r="I329" s="504">
        <f t="shared" si="118"/>
        <v>8350971.6290000007</v>
      </c>
      <c r="J329" s="504">
        <f t="shared" si="118"/>
        <v>14381493.692</v>
      </c>
      <c r="K329" s="504">
        <f t="shared" si="118"/>
        <v>12145274.793000001</v>
      </c>
      <c r="L329" s="504">
        <f t="shared" si="118"/>
        <v>7367686.6000400009</v>
      </c>
      <c r="M329" s="504">
        <f t="shared" si="118"/>
        <v>6228798.1839999994</v>
      </c>
      <c r="N329" s="504">
        <f t="shared" si="118"/>
        <v>14013526.866999999</v>
      </c>
      <c r="O329" s="504">
        <f>O13+O104</f>
        <v>6504756.8940000003</v>
      </c>
      <c r="P329" s="504">
        <f>P13+P104</f>
        <v>7652218.8700000001</v>
      </c>
      <c r="Q329" s="433">
        <f t="shared" si="105"/>
        <v>105596682.81404001</v>
      </c>
      <c r="R329" s="504"/>
      <c r="U329" s="699">
        <f>+U104+U13</f>
        <v>16979439</v>
      </c>
      <c r="W329" s="481"/>
    </row>
    <row r="330" spans="1:23" ht="14.25" customHeight="1" thickBot="1">
      <c r="A330" s="426"/>
      <c r="B330" s="426"/>
      <c r="C330" s="505"/>
      <c r="D330" s="506"/>
      <c r="E330" s="507"/>
      <c r="F330" s="507"/>
      <c r="G330" s="507"/>
      <c r="H330" s="507"/>
      <c r="I330" s="507"/>
      <c r="J330" s="507"/>
      <c r="K330" s="507"/>
      <c r="L330" s="507"/>
      <c r="M330" s="507"/>
      <c r="N330" s="507"/>
      <c r="O330" s="507"/>
      <c r="P330" s="507"/>
      <c r="Q330" s="433">
        <f t="shared" si="105"/>
        <v>0</v>
      </c>
      <c r="R330" s="507">
        <v>0</v>
      </c>
      <c r="U330" s="699">
        <f>SUM(I330:Q330)</f>
        <v>0</v>
      </c>
    </row>
    <row r="331" spans="1:23" ht="13.5" thickBot="1">
      <c r="A331" s="426"/>
      <c r="B331" s="426"/>
      <c r="C331" s="505"/>
      <c r="D331" s="506"/>
      <c r="E331" s="507"/>
      <c r="F331" s="507"/>
      <c r="G331" s="507"/>
      <c r="H331" s="507"/>
      <c r="I331" s="507"/>
      <c r="J331" s="507"/>
      <c r="K331" s="507"/>
      <c r="L331" s="507"/>
      <c r="M331" s="507"/>
      <c r="N331" s="507"/>
      <c r="O331" s="507"/>
      <c r="P331" s="507"/>
      <c r="Q331" s="433">
        <f t="shared" si="105"/>
        <v>0</v>
      </c>
      <c r="R331" s="507">
        <v>0</v>
      </c>
      <c r="U331" s="699">
        <f>SUM(I331:Q331)</f>
        <v>0</v>
      </c>
    </row>
    <row r="332" spans="1:23" ht="5.0999999999999996" customHeight="1" thickBot="1">
      <c r="A332" s="430"/>
      <c r="B332" s="426"/>
      <c r="C332" s="494"/>
      <c r="D332" s="435"/>
      <c r="E332" s="444"/>
      <c r="F332" s="444"/>
      <c r="G332" s="444"/>
      <c r="H332" s="444"/>
      <c r="I332" s="444"/>
      <c r="J332" s="444"/>
      <c r="K332" s="444"/>
      <c r="L332" s="444"/>
      <c r="M332" s="444"/>
      <c r="N332" s="444"/>
      <c r="O332" s="444"/>
      <c r="P332" s="444"/>
      <c r="Q332" s="433">
        <f t="shared" si="105"/>
        <v>0</v>
      </c>
      <c r="R332" s="444">
        <v>0</v>
      </c>
      <c r="U332" s="699">
        <f>SUM(I332:Q332)</f>
        <v>0</v>
      </c>
    </row>
    <row r="333" spans="1:23" ht="13.5" thickBot="1">
      <c r="A333" s="426" t="s">
        <v>1279</v>
      </c>
      <c r="B333" s="426"/>
      <c r="C333" s="437" t="s">
        <v>1280</v>
      </c>
      <c r="D333" s="438" t="s">
        <v>1281</v>
      </c>
      <c r="E333" s="439">
        <f t="shared" ref="E333:P333" si="119">E335+E341</f>
        <v>0</v>
      </c>
      <c r="F333" s="439">
        <f t="shared" si="119"/>
        <v>0</v>
      </c>
      <c r="G333" s="439">
        <f t="shared" si="119"/>
        <v>0</v>
      </c>
      <c r="H333" s="439">
        <f t="shared" si="119"/>
        <v>0</v>
      </c>
      <c r="I333" s="439">
        <f t="shared" si="119"/>
        <v>0</v>
      </c>
      <c r="J333" s="439">
        <f t="shared" si="119"/>
        <v>0</v>
      </c>
      <c r="K333" s="439">
        <f t="shared" si="119"/>
        <v>0</v>
      </c>
      <c r="L333" s="439">
        <f t="shared" si="119"/>
        <v>0</v>
      </c>
      <c r="M333" s="439">
        <f t="shared" si="119"/>
        <v>0</v>
      </c>
      <c r="N333" s="439">
        <f t="shared" si="119"/>
        <v>0</v>
      </c>
      <c r="O333" s="439">
        <f t="shared" si="119"/>
        <v>0</v>
      </c>
      <c r="P333" s="439">
        <f t="shared" si="119"/>
        <v>0</v>
      </c>
      <c r="Q333" s="433">
        <f t="shared" si="105"/>
        <v>0</v>
      </c>
      <c r="R333" s="439"/>
      <c r="U333" s="699">
        <v>0</v>
      </c>
    </row>
    <row r="334" spans="1:23" ht="12" customHeight="1" thickBot="1">
      <c r="A334" s="466"/>
      <c r="B334" s="426"/>
      <c r="C334" s="494"/>
      <c r="D334" s="435"/>
      <c r="E334" s="444"/>
      <c r="F334" s="444"/>
      <c r="G334" s="444"/>
      <c r="H334" s="444"/>
      <c r="I334" s="444"/>
      <c r="J334" s="444"/>
      <c r="K334" s="444"/>
      <c r="L334" s="444"/>
      <c r="M334" s="444"/>
      <c r="N334" s="444"/>
      <c r="O334" s="444"/>
      <c r="P334" s="444"/>
      <c r="Q334" s="433">
        <f t="shared" si="105"/>
        <v>0</v>
      </c>
      <c r="R334" s="444">
        <v>0</v>
      </c>
      <c r="U334" s="699">
        <f>SUM(I334:Q334)</f>
        <v>0</v>
      </c>
    </row>
    <row r="335" spans="1:23" ht="13.5" thickBot="1">
      <c r="A335" s="426"/>
      <c r="B335" s="426"/>
      <c r="C335" s="482" t="s">
        <v>1282</v>
      </c>
      <c r="D335" s="483" t="s">
        <v>1283</v>
      </c>
      <c r="E335" s="484">
        <f t="shared" ref="E335:P335" si="120">SUMIF(E336:E339,"&lt;&gt;0")</f>
        <v>0</v>
      </c>
      <c r="F335" s="484">
        <f t="shared" si="120"/>
        <v>0</v>
      </c>
      <c r="G335" s="484">
        <f t="shared" si="120"/>
        <v>0</v>
      </c>
      <c r="H335" s="484">
        <f t="shared" si="120"/>
        <v>0</v>
      </c>
      <c r="I335" s="484">
        <f t="shared" si="120"/>
        <v>0</v>
      </c>
      <c r="J335" s="484">
        <f t="shared" si="120"/>
        <v>0</v>
      </c>
      <c r="K335" s="484">
        <f t="shared" si="120"/>
        <v>0</v>
      </c>
      <c r="L335" s="484">
        <f t="shared" si="120"/>
        <v>0</v>
      </c>
      <c r="M335" s="484">
        <f t="shared" si="120"/>
        <v>0</v>
      </c>
      <c r="N335" s="484">
        <f t="shared" si="120"/>
        <v>0</v>
      </c>
      <c r="O335" s="484">
        <f t="shared" si="120"/>
        <v>0</v>
      </c>
      <c r="P335" s="484">
        <f t="shared" si="120"/>
        <v>0</v>
      </c>
      <c r="Q335" s="433">
        <f t="shared" si="105"/>
        <v>0</v>
      </c>
      <c r="R335" s="484"/>
      <c r="U335" s="699">
        <v>0</v>
      </c>
    </row>
    <row r="336" spans="1:23" ht="13.5" thickBot="1">
      <c r="A336" s="426"/>
      <c r="B336" s="426" t="s">
        <v>1279</v>
      </c>
      <c r="C336" s="475" t="s">
        <v>1284</v>
      </c>
      <c r="D336" s="435" t="s">
        <v>1285</v>
      </c>
      <c r="E336" s="444">
        <f>+E337+E338</f>
        <v>0</v>
      </c>
      <c r="F336" s="444">
        <f t="shared" ref="F336:P336" si="121">+F337+F338</f>
        <v>0</v>
      </c>
      <c r="G336" s="444">
        <f t="shared" si="121"/>
        <v>0</v>
      </c>
      <c r="H336" s="444">
        <f t="shared" si="121"/>
        <v>0</v>
      </c>
      <c r="I336" s="444">
        <f t="shared" si="121"/>
        <v>0</v>
      </c>
      <c r="J336" s="444">
        <f t="shared" si="121"/>
        <v>0</v>
      </c>
      <c r="K336" s="444">
        <f t="shared" si="121"/>
        <v>0</v>
      </c>
      <c r="L336" s="444">
        <f t="shared" si="121"/>
        <v>0</v>
      </c>
      <c r="M336" s="444">
        <f t="shared" si="121"/>
        <v>0</v>
      </c>
      <c r="N336" s="444">
        <f t="shared" si="121"/>
        <v>0</v>
      </c>
      <c r="O336" s="444">
        <f t="shared" si="121"/>
        <v>0</v>
      </c>
      <c r="P336" s="444">
        <f t="shared" si="121"/>
        <v>0</v>
      </c>
      <c r="Q336" s="433">
        <f t="shared" si="105"/>
        <v>0</v>
      </c>
      <c r="R336" s="444">
        <v>0</v>
      </c>
      <c r="U336" s="699">
        <f>SUM(I336:Q336)</f>
        <v>0</v>
      </c>
    </row>
    <row r="337" spans="1:23" ht="13.5" thickBot="1">
      <c r="A337" s="426"/>
      <c r="B337" s="426"/>
      <c r="C337" s="475"/>
      <c r="D337" s="1553" t="s">
        <v>2940</v>
      </c>
      <c r="E337" s="444"/>
      <c r="F337" s="444"/>
      <c r="G337" s="444"/>
      <c r="H337" s="444"/>
      <c r="I337" s="444"/>
      <c r="J337" s="444"/>
      <c r="K337" s="444"/>
      <c r="L337" s="444"/>
      <c r="M337" s="444"/>
      <c r="N337" s="444"/>
      <c r="O337" s="444"/>
      <c r="P337" s="444"/>
      <c r="Q337" s="433">
        <f t="shared" si="105"/>
        <v>0</v>
      </c>
      <c r="R337" s="444"/>
      <c r="U337" s="699"/>
    </row>
    <row r="338" spans="1:23" ht="13.5" thickBot="1">
      <c r="A338" s="426"/>
      <c r="B338" s="426"/>
      <c r="C338" s="475"/>
      <c r="D338" s="1553" t="s">
        <v>2941</v>
      </c>
      <c r="E338" s="444"/>
      <c r="F338" s="444"/>
      <c r="G338" s="444"/>
      <c r="H338" s="444"/>
      <c r="I338" s="444"/>
      <c r="J338" s="444"/>
      <c r="K338" s="444"/>
      <c r="L338" s="444"/>
      <c r="M338" s="444"/>
      <c r="N338" s="444"/>
      <c r="O338" s="444"/>
      <c r="P338" s="444"/>
      <c r="Q338" s="433">
        <f t="shared" si="105"/>
        <v>0</v>
      </c>
      <c r="R338" s="444"/>
      <c r="U338" s="699"/>
    </row>
    <row r="339" spans="1:23" ht="13.5" thickBot="1">
      <c r="A339" s="466" t="s">
        <v>1286</v>
      </c>
      <c r="B339" s="466"/>
      <c r="C339" s="475" t="s">
        <v>1287</v>
      </c>
      <c r="D339" s="435" t="s">
        <v>1288</v>
      </c>
      <c r="E339" s="444">
        <v>0</v>
      </c>
      <c r="F339" s="444">
        <v>0</v>
      </c>
      <c r="G339" s="444">
        <v>0</v>
      </c>
      <c r="H339" s="444">
        <v>0</v>
      </c>
      <c r="I339" s="444">
        <v>0</v>
      </c>
      <c r="J339" s="444">
        <v>0</v>
      </c>
      <c r="K339" s="444">
        <v>0</v>
      </c>
      <c r="L339" s="444">
        <v>0</v>
      </c>
      <c r="M339" s="444">
        <v>0</v>
      </c>
      <c r="N339" s="444">
        <v>0</v>
      </c>
      <c r="O339" s="444">
        <v>0</v>
      </c>
      <c r="P339" s="444">
        <v>0</v>
      </c>
      <c r="Q339" s="433">
        <f t="shared" si="105"/>
        <v>0</v>
      </c>
      <c r="R339" s="444"/>
      <c r="U339" s="699">
        <v>0</v>
      </c>
    </row>
    <row r="340" spans="1:23" ht="5.0999999999999996" customHeight="1" thickBot="1">
      <c r="A340" s="426"/>
      <c r="B340" s="426"/>
      <c r="C340" s="434"/>
      <c r="D340" s="435"/>
      <c r="E340" s="444"/>
      <c r="F340" s="444"/>
      <c r="G340" s="444"/>
      <c r="H340" s="444"/>
      <c r="I340" s="444"/>
      <c r="J340" s="444"/>
      <c r="K340" s="444"/>
      <c r="L340" s="444"/>
      <c r="M340" s="444"/>
      <c r="N340" s="444"/>
      <c r="O340" s="444"/>
      <c r="P340" s="444"/>
      <c r="Q340" s="433">
        <f t="shared" si="105"/>
        <v>0</v>
      </c>
      <c r="R340" s="444">
        <v>0</v>
      </c>
      <c r="U340" s="699">
        <f>SUM(I340:Q340)</f>
        <v>0</v>
      </c>
    </row>
    <row r="341" spans="1:23" ht="15.75" thickBot="1">
      <c r="A341" s="436"/>
      <c r="B341" s="426"/>
      <c r="C341" s="477" t="s">
        <v>1289</v>
      </c>
      <c r="D341" s="441" t="s">
        <v>1290</v>
      </c>
      <c r="E341" s="451">
        <f t="shared" ref="E341:P341" si="122">SUMIF(E342,"&lt;&gt;0")</f>
        <v>0</v>
      </c>
      <c r="F341" s="451">
        <f t="shared" si="122"/>
        <v>0</v>
      </c>
      <c r="G341" s="451">
        <f t="shared" si="122"/>
        <v>0</v>
      </c>
      <c r="H341" s="451">
        <f t="shared" si="122"/>
        <v>0</v>
      </c>
      <c r="I341" s="451">
        <f t="shared" si="122"/>
        <v>0</v>
      </c>
      <c r="J341" s="451">
        <f t="shared" si="122"/>
        <v>0</v>
      </c>
      <c r="K341" s="451">
        <f t="shared" si="122"/>
        <v>0</v>
      </c>
      <c r="L341" s="451">
        <f t="shared" si="122"/>
        <v>0</v>
      </c>
      <c r="M341" s="451">
        <f t="shared" si="122"/>
        <v>0</v>
      </c>
      <c r="N341" s="451">
        <f t="shared" si="122"/>
        <v>0</v>
      </c>
      <c r="O341" s="451">
        <f t="shared" si="122"/>
        <v>0</v>
      </c>
      <c r="P341" s="451">
        <f t="shared" si="122"/>
        <v>0</v>
      </c>
      <c r="Q341" s="433">
        <f t="shared" ref="Q341:Q381" si="123">SUM(E341:P341)</f>
        <v>0</v>
      </c>
      <c r="R341" s="451">
        <v>0</v>
      </c>
      <c r="U341" s="699">
        <v>0</v>
      </c>
    </row>
    <row r="342" spans="1:23" ht="13.5" thickBot="1">
      <c r="A342" s="426"/>
      <c r="B342" s="466" t="s">
        <v>1286</v>
      </c>
      <c r="C342" s="434" t="s">
        <v>1291</v>
      </c>
      <c r="D342" s="435" t="s">
        <v>1292</v>
      </c>
      <c r="E342" s="444">
        <v>0</v>
      </c>
      <c r="F342" s="444"/>
      <c r="G342" s="444">
        <v>0</v>
      </c>
      <c r="H342" s="444">
        <v>0</v>
      </c>
      <c r="I342" s="444">
        <v>0</v>
      </c>
      <c r="J342" s="444">
        <v>0</v>
      </c>
      <c r="K342" s="444">
        <v>0</v>
      </c>
      <c r="L342" s="444">
        <v>0</v>
      </c>
      <c r="M342" s="444">
        <v>0</v>
      </c>
      <c r="N342" s="444">
        <v>0</v>
      </c>
      <c r="O342" s="444">
        <v>0</v>
      </c>
      <c r="P342" s="444">
        <v>0</v>
      </c>
      <c r="Q342" s="433">
        <f t="shared" si="123"/>
        <v>0</v>
      </c>
      <c r="R342" s="444">
        <v>0</v>
      </c>
      <c r="U342" s="699">
        <v>0</v>
      </c>
    </row>
    <row r="343" spans="1:23" ht="15" customHeight="1" thickBot="1">
      <c r="A343" s="426"/>
      <c r="B343" s="426"/>
      <c r="C343" s="434"/>
      <c r="D343" s="435"/>
      <c r="E343" s="444"/>
      <c r="F343" s="444"/>
      <c r="G343" s="444"/>
      <c r="H343" s="444"/>
      <c r="I343" s="444"/>
      <c r="J343" s="444"/>
      <c r="K343" s="444"/>
      <c r="L343" s="444"/>
      <c r="M343" s="444"/>
      <c r="N343" s="444"/>
      <c r="O343" s="444"/>
      <c r="P343" s="444"/>
      <c r="Q343" s="433">
        <f t="shared" si="123"/>
        <v>0</v>
      </c>
      <c r="R343" s="444">
        <v>0</v>
      </c>
      <c r="U343" s="699">
        <f>SUM(I343:Q343)</f>
        <v>0</v>
      </c>
    </row>
    <row r="344" spans="1:23" ht="13.5" thickBot="1">
      <c r="A344" s="426"/>
      <c r="B344" s="426"/>
      <c r="C344" s="437" t="s">
        <v>1293</v>
      </c>
      <c r="D344" s="438" t="s">
        <v>1294</v>
      </c>
      <c r="E344" s="439">
        <f t="shared" ref="E344:P344" si="124">E346+E353</f>
        <v>0</v>
      </c>
      <c r="F344" s="439">
        <f t="shared" si="124"/>
        <v>0</v>
      </c>
      <c r="G344" s="439">
        <f t="shared" si="124"/>
        <v>0</v>
      </c>
      <c r="H344" s="439">
        <f t="shared" si="124"/>
        <v>0</v>
      </c>
      <c r="I344" s="439">
        <f t="shared" si="124"/>
        <v>0</v>
      </c>
      <c r="J344" s="439">
        <f t="shared" si="124"/>
        <v>0</v>
      </c>
      <c r="K344" s="439">
        <f t="shared" si="124"/>
        <v>0</v>
      </c>
      <c r="L344" s="439">
        <f t="shared" si="124"/>
        <v>0</v>
      </c>
      <c r="M344" s="439">
        <f t="shared" si="124"/>
        <v>0</v>
      </c>
      <c r="N344" s="439">
        <f t="shared" si="124"/>
        <v>0</v>
      </c>
      <c r="O344" s="439">
        <f t="shared" si="124"/>
        <v>0</v>
      </c>
      <c r="P344" s="439">
        <f t="shared" si="124"/>
        <v>0</v>
      </c>
      <c r="Q344" s="433">
        <f t="shared" si="123"/>
        <v>0</v>
      </c>
      <c r="R344" s="439"/>
      <c r="U344" s="699">
        <f>+U346+U354</f>
        <v>35400000</v>
      </c>
    </row>
    <row r="345" spans="1:23" ht="5.0999999999999996" customHeight="1" thickBot="1">
      <c r="A345" s="426"/>
      <c r="B345" s="426"/>
      <c r="C345" s="434"/>
      <c r="D345" s="435"/>
      <c r="E345" s="444"/>
      <c r="F345" s="444"/>
      <c r="G345" s="444"/>
      <c r="H345" s="444"/>
      <c r="I345" s="444"/>
      <c r="J345" s="444"/>
      <c r="K345" s="444"/>
      <c r="L345" s="444"/>
      <c r="M345" s="444"/>
      <c r="N345" s="444"/>
      <c r="O345" s="444"/>
      <c r="P345" s="444"/>
      <c r="Q345" s="433">
        <f t="shared" si="123"/>
        <v>0</v>
      </c>
      <c r="R345" s="444">
        <v>0</v>
      </c>
      <c r="U345" s="699">
        <f>SUM(I345:Q345)</f>
        <v>0</v>
      </c>
    </row>
    <row r="346" spans="1:23" ht="13.5" thickBot="1">
      <c r="A346" s="426" t="s">
        <v>1295</v>
      </c>
      <c r="B346" s="426"/>
      <c r="C346" s="440" t="s">
        <v>1296</v>
      </c>
      <c r="D346" s="441" t="s">
        <v>289</v>
      </c>
      <c r="E346" s="451">
        <f t="shared" ref="E346:P346" si="125">SUMIF(E347:E350,"&lt;&gt;0")</f>
        <v>0</v>
      </c>
      <c r="F346" s="451">
        <f t="shared" si="125"/>
        <v>0</v>
      </c>
      <c r="G346" s="451">
        <f t="shared" si="125"/>
        <v>0</v>
      </c>
      <c r="H346" s="451">
        <f t="shared" si="125"/>
        <v>0</v>
      </c>
      <c r="I346" s="451">
        <f t="shared" si="125"/>
        <v>0</v>
      </c>
      <c r="J346" s="451">
        <f t="shared" si="125"/>
        <v>0</v>
      </c>
      <c r="K346" s="451">
        <f t="shared" si="125"/>
        <v>0</v>
      </c>
      <c r="L346" s="451">
        <f t="shared" si="125"/>
        <v>0</v>
      </c>
      <c r="M346" s="451">
        <f t="shared" si="125"/>
        <v>0</v>
      </c>
      <c r="N346" s="451">
        <f t="shared" si="125"/>
        <v>0</v>
      </c>
      <c r="O346" s="451">
        <f t="shared" si="125"/>
        <v>0</v>
      </c>
      <c r="P346" s="451">
        <f t="shared" si="125"/>
        <v>0</v>
      </c>
      <c r="Q346" s="433">
        <f t="shared" si="123"/>
        <v>0</v>
      </c>
      <c r="R346" s="451"/>
      <c r="U346" s="699">
        <f>+U347+U348+U350</f>
        <v>35400000</v>
      </c>
    </row>
    <row r="347" spans="1:23" ht="13.5" thickBot="1">
      <c r="A347" s="426"/>
      <c r="B347" s="426"/>
      <c r="C347" s="475" t="s">
        <v>1297</v>
      </c>
      <c r="D347" s="435" t="s">
        <v>1298</v>
      </c>
      <c r="E347" s="444">
        <v>0</v>
      </c>
      <c r="F347" s="444">
        <v>0</v>
      </c>
      <c r="G347" s="444">
        <v>0</v>
      </c>
      <c r="H347" s="444">
        <v>0</v>
      </c>
      <c r="I347" s="444">
        <v>0</v>
      </c>
      <c r="J347" s="444">
        <v>0</v>
      </c>
      <c r="K347" s="444">
        <v>0</v>
      </c>
      <c r="L347" s="444">
        <v>0</v>
      </c>
      <c r="M347" s="444">
        <v>0</v>
      </c>
      <c r="N347" s="444">
        <v>0</v>
      </c>
      <c r="O347" s="444">
        <v>0</v>
      </c>
      <c r="P347" s="444">
        <v>0</v>
      </c>
      <c r="Q347" s="433">
        <f t="shared" si="123"/>
        <v>0</v>
      </c>
      <c r="R347" s="444">
        <v>0</v>
      </c>
      <c r="U347" s="699">
        <f>SUM(I347:Q347)</f>
        <v>0</v>
      </c>
    </row>
    <row r="348" spans="1:23" ht="15.75" thickBot="1">
      <c r="A348" s="436"/>
      <c r="B348" s="426"/>
      <c r="C348" s="475" t="s">
        <v>1299</v>
      </c>
      <c r="D348" s="435" t="s">
        <v>1300</v>
      </c>
      <c r="E348" s="444">
        <v>0</v>
      </c>
      <c r="F348" s="444">
        <v>0</v>
      </c>
      <c r="G348" s="444">
        <v>0</v>
      </c>
      <c r="H348" s="444">
        <v>0</v>
      </c>
      <c r="I348" s="444">
        <v>0</v>
      </c>
      <c r="J348" s="444">
        <v>0</v>
      </c>
      <c r="K348" s="444">
        <v>0</v>
      </c>
      <c r="L348" s="444">
        <f>+'Appui-Projets'!Q84</f>
        <v>0</v>
      </c>
      <c r="M348" s="444">
        <v>0</v>
      </c>
      <c r="N348" s="444">
        <v>0</v>
      </c>
      <c r="O348" s="444">
        <v>0</v>
      </c>
      <c r="P348" s="444">
        <v>0</v>
      </c>
      <c r="Q348" s="433">
        <f t="shared" si="123"/>
        <v>0</v>
      </c>
      <c r="R348" s="444"/>
      <c r="U348" s="699">
        <v>21500000</v>
      </c>
    </row>
    <row r="349" spans="1:23" ht="18.600000000000001" customHeight="1" thickBot="1">
      <c r="A349" s="426"/>
      <c r="B349" s="426" t="s">
        <v>1295</v>
      </c>
      <c r="C349" s="475" t="s">
        <v>1301</v>
      </c>
      <c r="D349" s="435" t="s">
        <v>1302</v>
      </c>
      <c r="E349" s="444">
        <v>0</v>
      </c>
      <c r="F349" s="444">
        <v>0</v>
      </c>
      <c r="G349" s="444">
        <v>0</v>
      </c>
      <c r="H349" s="444">
        <v>0</v>
      </c>
      <c r="I349" s="444">
        <v>0</v>
      </c>
      <c r="J349" s="444">
        <v>0</v>
      </c>
      <c r="K349" s="444">
        <v>0</v>
      </c>
      <c r="L349" s="444">
        <v>0</v>
      </c>
      <c r="M349" s="444">
        <v>0</v>
      </c>
      <c r="N349" s="444">
        <v>0</v>
      </c>
      <c r="O349" s="444">
        <v>0</v>
      </c>
      <c r="P349" s="444">
        <v>0</v>
      </c>
      <c r="Q349" s="433">
        <f t="shared" si="123"/>
        <v>0</v>
      </c>
      <c r="R349" s="444"/>
      <c r="U349" s="699">
        <f>SUM(I349:Q349)</f>
        <v>0</v>
      </c>
      <c r="W349" s="481">
        <f>Q329+Q344+Q366</f>
        <v>142679911.63260001</v>
      </c>
    </row>
    <row r="350" spans="1:23" ht="18.600000000000001" customHeight="1" thickBot="1">
      <c r="A350" s="426"/>
      <c r="B350" s="426"/>
      <c r="C350" s="475" t="s">
        <v>1303</v>
      </c>
      <c r="D350" s="435" t="s">
        <v>1304</v>
      </c>
      <c r="E350" s="444">
        <f>+E351+E352</f>
        <v>0</v>
      </c>
      <c r="F350" s="444">
        <f t="shared" ref="F350:P350" si="126">+F351+F352</f>
        <v>0</v>
      </c>
      <c r="G350" s="444">
        <f t="shared" si="126"/>
        <v>0</v>
      </c>
      <c r="H350" s="444">
        <f t="shared" si="126"/>
        <v>0</v>
      </c>
      <c r="I350" s="444">
        <f t="shared" si="126"/>
        <v>0</v>
      </c>
      <c r="J350" s="444">
        <f t="shared" si="126"/>
        <v>0</v>
      </c>
      <c r="K350" s="444">
        <f t="shared" si="126"/>
        <v>0</v>
      </c>
      <c r="L350" s="444">
        <f t="shared" si="126"/>
        <v>0</v>
      </c>
      <c r="M350" s="444">
        <f t="shared" si="126"/>
        <v>0</v>
      </c>
      <c r="N350" s="444">
        <f t="shared" si="126"/>
        <v>0</v>
      </c>
      <c r="O350" s="444">
        <f t="shared" si="126"/>
        <v>0</v>
      </c>
      <c r="P350" s="444">
        <f t="shared" si="126"/>
        <v>0</v>
      </c>
      <c r="Q350" s="433">
        <f t="shared" si="123"/>
        <v>0</v>
      </c>
      <c r="R350" s="444"/>
      <c r="U350" s="699">
        <v>13900000</v>
      </c>
    </row>
    <row r="351" spans="1:23" ht="18.600000000000001" customHeight="1" thickBot="1">
      <c r="A351" s="426"/>
      <c r="B351" s="426"/>
      <c r="C351" s="475"/>
      <c r="D351" s="1554" t="s">
        <v>2942</v>
      </c>
      <c r="E351" s="444"/>
      <c r="F351" s="444"/>
      <c r="G351" s="444"/>
      <c r="H351" s="444"/>
      <c r="I351" s="444"/>
      <c r="J351" s="444"/>
      <c r="K351" s="444"/>
      <c r="L351" s="444"/>
      <c r="M351" s="595"/>
      <c r="N351" s="595"/>
      <c r="O351" s="595"/>
      <c r="P351" s="595"/>
      <c r="Q351" s="433">
        <f t="shared" si="123"/>
        <v>0</v>
      </c>
      <c r="R351" s="444"/>
      <c r="U351" s="699"/>
    </row>
    <row r="352" spans="1:23" ht="18.600000000000001" customHeight="1" thickBot="1">
      <c r="A352" s="426"/>
      <c r="B352" s="426"/>
      <c r="C352" s="475"/>
      <c r="D352" s="1554" t="s">
        <v>2943</v>
      </c>
      <c r="E352" s="444"/>
      <c r="F352" s="444"/>
      <c r="G352" s="444"/>
      <c r="H352" s="444"/>
      <c r="I352" s="444"/>
      <c r="J352" s="444"/>
      <c r="K352" s="444"/>
      <c r="L352" s="444"/>
      <c r="M352" s="595"/>
      <c r="N352" s="595"/>
      <c r="O352" s="595"/>
      <c r="P352" s="595"/>
      <c r="Q352" s="433">
        <f t="shared" si="123"/>
        <v>0</v>
      </c>
      <c r="R352" s="444"/>
      <c r="U352" s="699"/>
    </row>
    <row r="353" spans="1:21" ht="18.600000000000001" customHeight="1" thickBot="1">
      <c r="A353" s="430" t="s">
        <v>1305</v>
      </c>
      <c r="B353" s="426"/>
      <c r="C353" s="475"/>
      <c r="D353" s="435"/>
      <c r="E353" s="444">
        <f t="shared" ref="E353:J353" si="127">SUMIF(E355:E357,"&lt;&gt;0")</f>
        <v>0</v>
      </c>
      <c r="F353" s="444">
        <f t="shared" si="127"/>
        <v>0</v>
      </c>
      <c r="G353" s="444">
        <f t="shared" si="127"/>
        <v>0</v>
      </c>
      <c r="H353" s="444">
        <f t="shared" si="127"/>
        <v>0</v>
      </c>
      <c r="I353" s="444">
        <f t="shared" si="127"/>
        <v>0</v>
      </c>
      <c r="J353" s="444">
        <f t="shared" si="127"/>
        <v>0</v>
      </c>
      <c r="K353" s="444">
        <f t="shared" ref="K353:P353" si="128">SUMIF(K355:K357,"&lt;&gt;0")</f>
        <v>0</v>
      </c>
      <c r="L353" s="444">
        <f t="shared" si="128"/>
        <v>0</v>
      </c>
      <c r="M353" s="444">
        <f t="shared" si="128"/>
        <v>0</v>
      </c>
      <c r="N353" s="444">
        <f t="shared" si="128"/>
        <v>0</v>
      </c>
      <c r="O353" s="444">
        <f t="shared" si="128"/>
        <v>0</v>
      </c>
      <c r="P353" s="444">
        <f t="shared" si="128"/>
        <v>0</v>
      </c>
      <c r="Q353" s="433">
        <f t="shared" si="123"/>
        <v>0</v>
      </c>
      <c r="R353" s="444">
        <v>0</v>
      </c>
      <c r="U353" s="699">
        <f t="shared" ref="U353:U362" si="129">SUM(I353:Q353)</f>
        <v>0</v>
      </c>
    </row>
    <row r="354" spans="1:21" ht="18.600000000000001" customHeight="1" thickBot="1">
      <c r="A354" s="426"/>
      <c r="B354" s="426"/>
      <c r="C354" s="440" t="s">
        <v>1306</v>
      </c>
      <c r="D354" s="441" t="s">
        <v>1307</v>
      </c>
      <c r="E354" s="451"/>
      <c r="F354" s="451"/>
      <c r="G354" s="451"/>
      <c r="H354" s="451"/>
      <c r="I354" s="451"/>
      <c r="J354" s="451"/>
      <c r="K354" s="451"/>
      <c r="L354" s="451"/>
      <c r="M354" s="451"/>
      <c r="N354" s="451"/>
      <c r="O354" s="451"/>
      <c r="P354" s="451"/>
      <c r="Q354" s="433">
        <f t="shared" si="123"/>
        <v>0</v>
      </c>
      <c r="R354" s="451">
        <v>0</v>
      </c>
      <c r="U354" s="699">
        <f t="shared" si="129"/>
        <v>0</v>
      </c>
    </row>
    <row r="355" spans="1:21" ht="5.0999999999999996" customHeight="1" thickBot="1">
      <c r="A355" s="430" t="s">
        <v>1308</v>
      </c>
      <c r="B355" s="426"/>
      <c r="C355" s="508"/>
      <c r="D355" s="509"/>
      <c r="E355" s="510"/>
      <c r="F355" s="510"/>
      <c r="G355" s="510"/>
      <c r="H355" s="510"/>
      <c r="I355" s="510"/>
      <c r="J355" s="510"/>
      <c r="K355" s="510"/>
      <c r="L355" s="510"/>
      <c r="M355" s="510"/>
      <c r="N355" s="510"/>
      <c r="O355" s="510"/>
      <c r="P355" s="510"/>
      <c r="Q355" s="433">
        <f t="shared" si="123"/>
        <v>0</v>
      </c>
      <c r="R355" s="510">
        <v>0</v>
      </c>
      <c r="U355" s="699">
        <f t="shared" si="129"/>
        <v>0</v>
      </c>
    </row>
    <row r="356" spans="1:21" ht="13.5" thickBot="1">
      <c r="A356" s="426"/>
      <c r="B356" s="426"/>
      <c r="C356" s="475" t="s">
        <v>1309</v>
      </c>
      <c r="D356" s="509" t="s">
        <v>1310</v>
      </c>
      <c r="E356" s="444">
        <f t="shared" ref="E356:J356" si="130">E358+E360</f>
        <v>0</v>
      </c>
      <c r="F356" s="444">
        <f t="shared" si="130"/>
        <v>0</v>
      </c>
      <c r="G356" s="444">
        <f t="shared" si="130"/>
        <v>0</v>
      </c>
      <c r="H356" s="444">
        <f t="shared" si="130"/>
        <v>0</v>
      </c>
      <c r="I356" s="444">
        <f t="shared" si="130"/>
        <v>0</v>
      </c>
      <c r="J356" s="444">
        <f t="shared" si="130"/>
        <v>0</v>
      </c>
      <c r="K356" s="444">
        <f t="shared" ref="K356:P356" si="131">K358+K360</f>
        <v>0</v>
      </c>
      <c r="L356" s="444">
        <f t="shared" si="131"/>
        <v>0</v>
      </c>
      <c r="M356" s="444">
        <f t="shared" si="131"/>
        <v>0</v>
      </c>
      <c r="N356" s="444">
        <f t="shared" si="131"/>
        <v>0</v>
      </c>
      <c r="O356" s="444">
        <f t="shared" si="131"/>
        <v>0</v>
      </c>
      <c r="P356" s="444">
        <f t="shared" si="131"/>
        <v>0</v>
      </c>
      <c r="Q356" s="433">
        <f t="shared" si="123"/>
        <v>0</v>
      </c>
      <c r="R356" s="444">
        <v>0</v>
      </c>
      <c r="U356" s="699">
        <f t="shared" si="129"/>
        <v>0</v>
      </c>
    </row>
    <row r="357" spans="1:21" ht="15.75" thickBot="1">
      <c r="A357" s="436"/>
      <c r="B357" s="426"/>
      <c r="C357" s="437" t="s">
        <v>1311</v>
      </c>
      <c r="D357" s="438" t="s">
        <v>1312</v>
      </c>
      <c r="E357" s="439"/>
      <c r="F357" s="439"/>
      <c r="G357" s="439"/>
      <c r="H357" s="439"/>
      <c r="I357" s="439"/>
      <c r="J357" s="439"/>
      <c r="K357" s="439"/>
      <c r="L357" s="439"/>
      <c r="M357" s="439"/>
      <c r="N357" s="439"/>
      <c r="O357" s="439"/>
      <c r="P357" s="439"/>
      <c r="Q357" s="433">
        <f t="shared" si="123"/>
        <v>0</v>
      </c>
      <c r="R357" s="439">
        <v>0</v>
      </c>
      <c r="U357" s="699">
        <f t="shared" si="129"/>
        <v>0</v>
      </c>
    </row>
    <row r="358" spans="1:21" ht="5.0999999999999996" customHeight="1" thickBot="1">
      <c r="A358" s="426"/>
      <c r="B358" s="426"/>
      <c r="C358" s="475"/>
      <c r="D358" s="435"/>
      <c r="E358" s="444">
        <v>0</v>
      </c>
      <c r="F358" s="444">
        <v>0</v>
      </c>
      <c r="G358" s="444">
        <v>0</v>
      </c>
      <c r="H358" s="444">
        <v>0</v>
      </c>
      <c r="I358" s="444">
        <v>0</v>
      </c>
      <c r="J358" s="444">
        <v>0</v>
      </c>
      <c r="K358" s="444">
        <v>0</v>
      </c>
      <c r="L358" s="444">
        <v>0</v>
      </c>
      <c r="M358" s="444">
        <v>0</v>
      </c>
      <c r="N358" s="444">
        <v>0</v>
      </c>
      <c r="O358" s="444">
        <v>0</v>
      </c>
      <c r="P358" s="444">
        <v>0</v>
      </c>
      <c r="Q358" s="433">
        <f t="shared" si="123"/>
        <v>0</v>
      </c>
      <c r="R358" s="444">
        <v>0</v>
      </c>
      <c r="U358" s="699">
        <f t="shared" si="129"/>
        <v>0</v>
      </c>
    </row>
    <row r="359" spans="1:21" ht="15.75" thickBot="1">
      <c r="A359" s="430"/>
      <c r="B359" s="426" t="s">
        <v>1305</v>
      </c>
      <c r="C359" s="440" t="s">
        <v>1313</v>
      </c>
      <c r="D359" s="441" t="s">
        <v>288</v>
      </c>
      <c r="E359" s="451"/>
      <c r="F359" s="451"/>
      <c r="G359" s="451"/>
      <c r="H359" s="451"/>
      <c r="I359" s="451"/>
      <c r="J359" s="451"/>
      <c r="K359" s="451"/>
      <c r="L359" s="451"/>
      <c r="M359" s="451"/>
      <c r="N359" s="451"/>
      <c r="O359" s="451"/>
      <c r="P359" s="451"/>
      <c r="Q359" s="433">
        <f t="shared" si="123"/>
        <v>0</v>
      </c>
      <c r="R359" s="451">
        <v>0</v>
      </c>
      <c r="U359" s="699">
        <f t="shared" si="129"/>
        <v>0</v>
      </c>
    </row>
    <row r="360" spans="1:21" ht="5.0999999999999996" customHeight="1" thickBot="1">
      <c r="A360" s="426"/>
      <c r="B360" s="426"/>
      <c r="C360" s="475"/>
      <c r="D360" s="435"/>
      <c r="E360" s="444">
        <v>0</v>
      </c>
      <c r="F360" s="444">
        <v>0</v>
      </c>
      <c r="G360" s="444">
        <v>0</v>
      </c>
      <c r="H360" s="444">
        <v>0</v>
      </c>
      <c r="I360" s="444">
        <v>0</v>
      </c>
      <c r="J360" s="444">
        <v>0</v>
      </c>
      <c r="K360" s="444">
        <v>0</v>
      </c>
      <c r="L360" s="444">
        <v>0</v>
      </c>
      <c r="M360" s="444">
        <v>0</v>
      </c>
      <c r="N360" s="444">
        <v>0</v>
      </c>
      <c r="O360" s="444">
        <v>0</v>
      </c>
      <c r="P360" s="444">
        <v>0</v>
      </c>
      <c r="Q360" s="433">
        <f t="shared" si="123"/>
        <v>0</v>
      </c>
      <c r="R360" s="444">
        <v>0</v>
      </c>
      <c r="U360" s="699">
        <f t="shared" si="129"/>
        <v>0</v>
      </c>
    </row>
    <row r="361" spans="1:21" ht="13.5" thickBot="1">
      <c r="A361" s="426"/>
      <c r="B361" s="426" t="s">
        <v>1308</v>
      </c>
      <c r="C361" s="440" t="s">
        <v>1314</v>
      </c>
      <c r="D361" s="441" t="s">
        <v>1315</v>
      </c>
      <c r="E361" s="451"/>
      <c r="F361" s="451"/>
      <c r="G361" s="451"/>
      <c r="H361" s="451"/>
      <c r="I361" s="451"/>
      <c r="J361" s="451"/>
      <c r="K361" s="451"/>
      <c r="L361" s="451"/>
      <c r="M361" s="451"/>
      <c r="N361" s="451"/>
      <c r="O361" s="451"/>
      <c r="P361" s="451"/>
      <c r="Q361" s="433">
        <f t="shared" si="123"/>
        <v>0</v>
      </c>
      <c r="R361" s="451">
        <v>0</v>
      </c>
      <c r="U361" s="699">
        <f t="shared" si="129"/>
        <v>0</v>
      </c>
    </row>
    <row r="362" spans="1:21" ht="12.75" customHeight="1" thickBot="1">
      <c r="A362" s="426"/>
      <c r="B362" s="426"/>
      <c r="C362" s="434"/>
      <c r="D362" s="435"/>
      <c r="E362" s="444"/>
      <c r="F362" s="444"/>
      <c r="G362" s="444"/>
      <c r="H362" s="444"/>
      <c r="I362" s="444"/>
      <c r="J362" s="444"/>
      <c r="K362" s="444"/>
      <c r="L362" s="444"/>
      <c r="M362" s="444"/>
      <c r="N362" s="444"/>
      <c r="O362" s="444"/>
      <c r="P362" s="444"/>
      <c r="Q362" s="433">
        <f t="shared" si="123"/>
        <v>0</v>
      </c>
      <c r="R362" s="444">
        <v>0</v>
      </c>
      <c r="U362" s="699">
        <f t="shared" si="129"/>
        <v>0</v>
      </c>
    </row>
    <row r="363" spans="1:21" ht="13.5" customHeight="1" thickBot="1">
      <c r="A363" s="430"/>
      <c r="B363" s="426"/>
      <c r="C363" s="437" t="s">
        <v>1316</v>
      </c>
      <c r="D363" s="438" t="s">
        <v>1317</v>
      </c>
      <c r="E363" s="439">
        <f>+E365+E369</f>
        <v>0</v>
      </c>
      <c r="F363" s="439">
        <f>+F365+F369</f>
        <v>0</v>
      </c>
      <c r="G363" s="439">
        <f t="shared" ref="G363:P363" si="132">+G365+G369</f>
        <v>9900828.675999999</v>
      </c>
      <c r="H363" s="439">
        <f t="shared" si="132"/>
        <v>0</v>
      </c>
      <c r="I363" s="439">
        <f t="shared" si="132"/>
        <v>0</v>
      </c>
      <c r="J363" s="439">
        <f t="shared" si="132"/>
        <v>8737519.2275599986</v>
      </c>
      <c r="K363" s="439">
        <f t="shared" si="132"/>
        <v>0</v>
      </c>
      <c r="L363" s="439">
        <f t="shared" si="132"/>
        <v>0</v>
      </c>
      <c r="M363" s="439">
        <f t="shared" si="132"/>
        <v>14255389.695</v>
      </c>
      <c r="N363" s="439">
        <f t="shared" si="132"/>
        <v>0</v>
      </c>
      <c r="O363" s="439">
        <f>+O365+O369</f>
        <v>0</v>
      </c>
      <c r="P363" s="439">
        <f t="shared" si="132"/>
        <v>4189491.2199999997</v>
      </c>
      <c r="Q363" s="433">
        <f t="shared" si="123"/>
        <v>37083228.818559997</v>
      </c>
      <c r="R363" s="439"/>
      <c r="U363" s="699">
        <f>+U365+U369</f>
        <v>8500000</v>
      </c>
    </row>
    <row r="364" spans="1:21" ht="16.5" customHeight="1" thickBot="1">
      <c r="A364" s="426"/>
      <c r="B364" s="426"/>
      <c r="C364" s="434"/>
      <c r="D364" s="435"/>
      <c r="E364" s="444"/>
      <c r="F364" s="444"/>
      <c r="G364" s="444"/>
      <c r="H364" s="444"/>
      <c r="I364" s="444"/>
      <c r="J364" s="444"/>
      <c r="K364" s="444"/>
      <c r="L364" s="444"/>
      <c r="M364" s="444"/>
      <c r="N364" s="444"/>
      <c r="O364" s="444"/>
      <c r="P364" s="444"/>
      <c r="Q364" s="433">
        <f t="shared" si="123"/>
        <v>0</v>
      </c>
      <c r="R364" s="444">
        <v>0</v>
      </c>
      <c r="U364" s="699">
        <f>SUM(I364:Q364)</f>
        <v>0</v>
      </c>
    </row>
    <row r="365" spans="1:21" ht="13.5" thickBot="1">
      <c r="A365" s="426" t="s">
        <v>1318</v>
      </c>
      <c r="B365" s="426"/>
      <c r="C365" s="440" t="s">
        <v>1319</v>
      </c>
      <c r="D365" s="441" t="s">
        <v>1320</v>
      </c>
      <c r="E365" s="451">
        <f>SUM(E366:E367)</f>
        <v>0</v>
      </c>
      <c r="F365" s="451">
        <f>SUM(F366:F367)</f>
        <v>0</v>
      </c>
      <c r="G365" s="451">
        <f t="shared" ref="G365:L365" si="133">SUM(G366:G367)</f>
        <v>9900828.675999999</v>
      </c>
      <c r="H365" s="451">
        <f t="shared" si="133"/>
        <v>0</v>
      </c>
      <c r="I365" s="451">
        <f t="shared" si="133"/>
        <v>0</v>
      </c>
      <c r="J365" s="451">
        <f t="shared" si="133"/>
        <v>8737519.2275599986</v>
      </c>
      <c r="K365" s="451">
        <f t="shared" si="133"/>
        <v>0</v>
      </c>
      <c r="L365" s="451">
        <f t="shared" si="133"/>
        <v>0</v>
      </c>
      <c r="M365" s="451">
        <f>SUM(M366:M367)</f>
        <v>14255389.695</v>
      </c>
      <c r="N365" s="451">
        <f>SUM(N366:N367)</f>
        <v>0</v>
      </c>
      <c r="O365" s="451">
        <f>SUM(O366:O367)</f>
        <v>0</v>
      </c>
      <c r="P365" s="451">
        <f>SUM(P366:P367)</f>
        <v>4189491.2199999997</v>
      </c>
      <c r="Q365" s="433">
        <f t="shared" si="123"/>
        <v>37083228.818559997</v>
      </c>
      <c r="R365" s="451"/>
      <c r="U365" s="699">
        <f>+U366</f>
        <v>8500000</v>
      </c>
    </row>
    <row r="366" spans="1:21" ht="13.5" thickBot="1">
      <c r="A366" s="426" t="s">
        <v>1321</v>
      </c>
      <c r="B366" s="426"/>
      <c r="C366" s="434" t="s">
        <v>1322</v>
      </c>
      <c r="D366" s="435" t="s">
        <v>188</v>
      </c>
      <c r="E366" s="444">
        <f>+'Appui-Projets'!J5</f>
        <v>0</v>
      </c>
      <c r="F366" s="444">
        <f>+'Appui-Projets'!K5</f>
        <v>0</v>
      </c>
      <c r="G366" s="444">
        <f>+'Appui-Projets'!L5</f>
        <v>9900828.675999999</v>
      </c>
      <c r="H366" s="444">
        <f>+'Appui-Projets'!M5</f>
        <v>0</v>
      </c>
      <c r="I366" s="444">
        <f>+'Appui-Projets'!N5</f>
        <v>0</v>
      </c>
      <c r="J366" s="444">
        <f>+'Appui-Projets'!O5</f>
        <v>8737519.2275599986</v>
      </c>
      <c r="K366" s="444">
        <f>+'Appui-Projets'!P5</f>
        <v>0</v>
      </c>
      <c r="L366" s="444">
        <f>+'Appui-Projets'!Q5</f>
        <v>0</v>
      </c>
      <c r="M366" s="444">
        <f>+'Appui-Projets'!R5</f>
        <v>14255389.695</v>
      </c>
      <c r="N366" s="444">
        <f>+'Appui-Projets'!S5</f>
        <v>0</v>
      </c>
      <c r="O366" s="444">
        <f>+'Appui-Projets'!T5</f>
        <v>0</v>
      </c>
      <c r="P366" s="444">
        <f>+'Appui-Projets'!U5</f>
        <v>4189491.2199999997</v>
      </c>
      <c r="Q366" s="433">
        <f t="shared" si="123"/>
        <v>37083228.818559997</v>
      </c>
      <c r="R366" s="444"/>
      <c r="U366" s="699">
        <v>8500000</v>
      </c>
    </row>
    <row r="367" spans="1:21" ht="13.5" thickBot="1">
      <c r="A367" s="426"/>
      <c r="B367" s="426"/>
      <c r="C367" s="434" t="s">
        <v>1323</v>
      </c>
      <c r="D367" s="435" t="s">
        <v>1324</v>
      </c>
      <c r="E367" s="444"/>
      <c r="F367" s="444"/>
      <c r="G367" s="444"/>
      <c r="H367" s="444"/>
      <c r="I367" s="444"/>
      <c r="J367" s="444"/>
      <c r="K367" s="444"/>
      <c r="L367" s="444"/>
      <c r="M367" s="444"/>
      <c r="N367" s="444"/>
      <c r="O367" s="444"/>
      <c r="P367" s="444"/>
      <c r="Q367" s="433">
        <f t="shared" si="123"/>
        <v>0</v>
      </c>
      <c r="R367" s="444">
        <v>0</v>
      </c>
      <c r="U367" s="699">
        <f>SUM(I367:Q367)</f>
        <v>0</v>
      </c>
    </row>
    <row r="368" spans="1:21" ht="5.0999999999999996" customHeight="1" thickBot="1">
      <c r="A368" s="426"/>
      <c r="B368" s="426"/>
      <c r="C368" s="434"/>
      <c r="D368" s="435"/>
      <c r="E368" s="444"/>
      <c r="F368" s="444"/>
      <c r="G368" s="444"/>
      <c r="H368" s="444"/>
      <c r="I368" s="444"/>
      <c r="J368" s="444"/>
      <c r="K368" s="444"/>
      <c r="L368" s="444"/>
      <c r="M368" s="444"/>
      <c r="N368" s="444"/>
      <c r="O368" s="444"/>
      <c r="P368" s="444"/>
      <c r="Q368" s="433">
        <f t="shared" si="123"/>
        <v>0</v>
      </c>
      <c r="R368" s="444">
        <v>0</v>
      </c>
      <c r="U368" s="699">
        <f>SUM(I368:Q368)</f>
        <v>0</v>
      </c>
    </row>
    <row r="369" spans="1:21" ht="15.75" thickBot="1">
      <c r="A369" s="436"/>
      <c r="B369" s="426"/>
      <c r="C369" s="440" t="s">
        <v>1325</v>
      </c>
      <c r="D369" s="441" t="s">
        <v>1326</v>
      </c>
      <c r="E369" s="451">
        <f>SUM(E370:E373)</f>
        <v>0</v>
      </c>
      <c r="F369" s="451">
        <f>+F370+F371+F372+F373</f>
        <v>0</v>
      </c>
      <c r="G369" s="451">
        <f t="shared" ref="G369:O369" si="134">+G370+G371+G372+G373</f>
        <v>0</v>
      </c>
      <c r="H369" s="451">
        <f t="shared" si="134"/>
        <v>0</v>
      </c>
      <c r="I369" s="451">
        <f t="shared" si="134"/>
        <v>0</v>
      </c>
      <c r="J369" s="451">
        <f t="shared" si="134"/>
        <v>0</v>
      </c>
      <c r="K369" s="451">
        <f t="shared" si="134"/>
        <v>0</v>
      </c>
      <c r="L369" s="451">
        <f t="shared" si="134"/>
        <v>0</v>
      </c>
      <c r="M369" s="451">
        <f t="shared" si="134"/>
        <v>0</v>
      </c>
      <c r="N369" s="451">
        <f t="shared" si="134"/>
        <v>0</v>
      </c>
      <c r="O369" s="451">
        <f t="shared" si="134"/>
        <v>0</v>
      </c>
      <c r="P369" s="451">
        <f>+P373</f>
        <v>0</v>
      </c>
      <c r="Q369" s="433">
        <f t="shared" si="123"/>
        <v>0</v>
      </c>
      <c r="R369" s="451">
        <v>0</v>
      </c>
      <c r="U369" s="699">
        <v>0</v>
      </c>
    </row>
    <row r="370" spans="1:21" ht="13.5" thickBot="1">
      <c r="A370" s="426"/>
      <c r="B370" s="426"/>
      <c r="C370" s="498" t="s">
        <v>1327</v>
      </c>
      <c r="D370" s="499" t="s">
        <v>1328</v>
      </c>
      <c r="E370" s="500">
        <v>0</v>
      </c>
      <c r="F370" s="500">
        <v>0</v>
      </c>
      <c r="G370" s="500">
        <v>0</v>
      </c>
      <c r="H370" s="500">
        <v>0</v>
      </c>
      <c r="I370" s="500">
        <v>0</v>
      </c>
      <c r="J370" s="500">
        <v>0</v>
      </c>
      <c r="K370" s="500">
        <v>0</v>
      </c>
      <c r="L370" s="500">
        <v>0</v>
      </c>
      <c r="M370" s="500">
        <v>0</v>
      </c>
      <c r="N370" s="500">
        <v>0</v>
      </c>
      <c r="O370" s="500">
        <v>0</v>
      </c>
      <c r="P370" s="500">
        <v>0</v>
      </c>
      <c r="Q370" s="433">
        <f t="shared" si="123"/>
        <v>0</v>
      </c>
      <c r="R370" s="500">
        <v>0</v>
      </c>
      <c r="U370" s="699">
        <f>SUM(I370:Q370)</f>
        <v>0</v>
      </c>
    </row>
    <row r="371" spans="1:21" ht="15.75" thickBot="1">
      <c r="A371" s="430"/>
      <c r="B371" s="426" t="s">
        <v>1318</v>
      </c>
      <c r="C371" s="434" t="s">
        <v>1329</v>
      </c>
      <c r="D371" s="435" t="s">
        <v>1330</v>
      </c>
      <c r="E371" s="444">
        <v>0</v>
      </c>
      <c r="F371" s="444">
        <v>0</v>
      </c>
      <c r="G371" s="444">
        <v>0</v>
      </c>
      <c r="H371" s="444">
        <v>0</v>
      </c>
      <c r="I371" s="444">
        <v>0</v>
      </c>
      <c r="J371" s="444">
        <v>0</v>
      </c>
      <c r="K371" s="444">
        <v>0</v>
      </c>
      <c r="L371" s="444">
        <v>0</v>
      </c>
      <c r="M371" s="444">
        <v>0</v>
      </c>
      <c r="N371" s="444">
        <v>0</v>
      </c>
      <c r="O371" s="444">
        <v>0</v>
      </c>
      <c r="P371" s="444">
        <v>0</v>
      </c>
      <c r="Q371" s="433">
        <f t="shared" si="123"/>
        <v>0</v>
      </c>
      <c r="R371" s="444">
        <v>0</v>
      </c>
      <c r="U371" s="699">
        <f>SUM(I371:Q371)</f>
        <v>0</v>
      </c>
    </row>
    <row r="372" spans="1:21" ht="13.5" thickBot="1">
      <c r="A372" s="466"/>
      <c r="B372" s="426" t="s">
        <v>1321</v>
      </c>
      <c r="C372" s="434" t="s">
        <v>1331</v>
      </c>
      <c r="D372" s="435" t="s">
        <v>1332</v>
      </c>
      <c r="E372" s="444">
        <v>0</v>
      </c>
      <c r="F372" s="444">
        <v>0</v>
      </c>
      <c r="G372" s="444">
        <v>0</v>
      </c>
      <c r="H372" s="444">
        <v>0</v>
      </c>
      <c r="I372" s="444">
        <v>0</v>
      </c>
      <c r="J372" s="444">
        <v>0</v>
      </c>
      <c r="K372" s="444">
        <v>0</v>
      </c>
      <c r="L372" s="444">
        <v>0</v>
      </c>
      <c r="M372" s="444">
        <v>0</v>
      </c>
      <c r="N372" s="444">
        <v>0</v>
      </c>
      <c r="O372" s="444">
        <v>0</v>
      </c>
      <c r="P372" s="444">
        <v>0</v>
      </c>
      <c r="Q372" s="433">
        <f t="shared" si="123"/>
        <v>0</v>
      </c>
      <c r="R372" s="444">
        <v>0</v>
      </c>
      <c r="U372" s="699">
        <f>SUM(I372:Q372)</f>
        <v>0</v>
      </c>
    </row>
    <row r="373" spans="1:21" ht="15.75" thickBot="1">
      <c r="A373" s="430" t="s">
        <v>1333</v>
      </c>
      <c r="B373" s="426"/>
      <c r="C373" s="434" t="s">
        <v>1334</v>
      </c>
      <c r="D373" s="435" t="s">
        <v>810</v>
      </c>
      <c r="E373" s="595">
        <f>+'Fin-Int'!C4</f>
        <v>0</v>
      </c>
      <c r="F373" s="595">
        <f>+'Fin-Int'!D4</f>
        <v>0</v>
      </c>
      <c r="G373" s="595">
        <f>+'Fin-Int'!E4</f>
        <v>0</v>
      </c>
      <c r="H373" s="595">
        <f>+'Fin-Int'!F4</f>
        <v>0</v>
      </c>
      <c r="I373" s="595">
        <f>+'Fin-Int'!G4</f>
        <v>0</v>
      </c>
      <c r="J373" s="595">
        <f>+'Fin-Int'!H4</f>
        <v>0</v>
      </c>
      <c r="K373" s="595">
        <f>+'Fin-Int'!I4</f>
        <v>0</v>
      </c>
      <c r="L373" s="595">
        <f>+'Fin-Int'!J4</f>
        <v>0</v>
      </c>
      <c r="M373" s="595">
        <f>+'Fin-Int'!K4</f>
        <v>0</v>
      </c>
      <c r="N373" s="595">
        <f>+'Fin-Int'!L4</f>
        <v>0</v>
      </c>
      <c r="O373" s="444">
        <f>+'Fin-Int'!M4</f>
        <v>0</v>
      </c>
      <c r="P373" s="444">
        <f>+'Fin-Int'!N15</f>
        <v>0</v>
      </c>
      <c r="Q373" s="433">
        <f t="shared" si="123"/>
        <v>0</v>
      </c>
      <c r="R373" s="444">
        <v>0</v>
      </c>
      <c r="U373" s="699">
        <v>0</v>
      </c>
    </row>
    <row r="374" spans="1:21" ht="5.0999999999999996" customHeight="1" thickBot="1">
      <c r="A374" s="496"/>
      <c r="B374" s="426"/>
      <c r="C374" s="434"/>
      <c r="D374" s="435"/>
      <c r="E374" s="444"/>
      <c r="F374" s="444"/>
      <c r="G374" s="444"/>
      <c r="H374" s="444"/>
      <c r="I374" s="444"/>
      <c r="J374" s="444"/>
      <c r="K374" s="444"/>
      <c r="L374" s="444"/>
      <c r="M374" s="444"/>
      <c r="N374" s="444"/>
      <c r="O374" s="444"/>
      <c r="P374" s="444"/>
      <c r="Q374" s="433">
        <f t="shared" si="123"/>
        <v>0</v>
      </c>
      <c r="R374" s="444">
        <v>0</v>
      </c>
      <c r="U374" s="699">
        <f t="shared" ref="U374:U380" si="135">SUM(I374:Q374)</f>
        <v>0</v>
      </c>
    </row>
    <row r="375" spans="1:21" ht="15.75" thickBot="1">
      <c r="A375" s="430"/>
      <c r="B375" s="426"/>
      <c r="C375" s="437" t="s">
        <v>1335</v>
      </c>
      <c r="D375" s="438" t="s">
        <v>1336</v>
      </c>
      <c r="E375" s="439">
        <f t="shared" ref="E375:J375" si="136">E377+E379</f>
        <v>0</v>
      </c>
      <c r="F375" s="439">
        <f t="shared" si="136"/>
        <v>0</v>
      </c>
      <c r="G375" s="439">
        <f t="shared" si="136"/>
        <v>0</v>
      </c>
      <c r="H375" s="439">
        <f t="shared" si="136"/>
        <v>0</v>
      </c>
      <c r="I375" s="439">
        <f t="shared" si="136"/>
        <v>0</v>
      </c>
      <c r="J375" s="439">
        <f t="shared" si="136"/>
        <v>0</v>
      </c>
      <c r="K375" s="439">
        <f t="shared" ref="K375:P375" si="137">K377+K379</f>
        <v>0</v>
      </c>
      <c r="L375" s="439">
        <f t="shared" si="137"/>
        <v>0</v>
      </c>
      <c r="M375" s="439">
        <f t="shared" si="137"/>
        <v>0</v>
      </c>
      <c r="N375" s="439">
        <f t="shared" si="137"/>
        <v>0</v>
      </c>
      <c r="O375" s="439">
        <f t="shared" si="137"/>
        <v>0</v>
      </c>
      <c r="P375" s="439">
        <f t="shared" si="137"/>
        <v>0</v>
      </c>
      <c r="Q375" s="433">
        <f t="shared" si="123"/>
        <v>0</v>
      </c>
      <c r="R375" s="439">
        <v>0</v>
      </c>
      <c r="U375" s="699">
        <f t="shared" si="135"/>
        <v>0</v>
      </c>
    </row>
    <row r="376" spans="1:21" ht="5.0999999999999996" customHeight="1" thickBot="1">
      <c r="B376" s="426"/>
      <c r="C376" s="434"/>
      <c r="D376" s="435"/>
      <c r="E376" s="444"/>
      <c r="F376" s="444"/>
      <c r="G376" s="444"/>
      <c r="H376" s="444"/>
      <c r="I376" s="444"/>
      <c r="J376" s="444"/>
      <c r="K376" s="444"/>
      <c r="L376" s="444"/>
      <c r="M376" s="444"/>
      <c r="N376" s="444"/>
      <c r="O376" s="444"/>
      <c r="P376" s="444"/>
      <c r="Q376" s="433">
        <f t="shared" si="123"/>
        <v>0</v>
      </c>
      <c r="R376" s="444">
        <v>0</v>
      </c>
      <c r="U376" s="699">
        <f t="shared" si="135"/>
        <v>0</v>
      </c>
    </row>
    <row r="377" spans="1:21" ht="13.5" thickBot="1">
      <c r="B377" s="426"/>
      <c r="C377" s="440" t="s">
        <v>1337</v>
      </c>
      <c r="D377" s="441" t="s">
        <v>1338</v>
      </c>
      <c r="E377" s="451"/>
      <c r="F377" s="451"/>
      <c r="G377" s="451"/>
      <c r="H377" s="451"/>
      <c r="I377" s="451"/>
      <c r="J377" s="451"/>
      <c r="K377" s="451"/>
      <c r="L377" s="451"/>
      <c r="M377" s="451"/>
      <c r="N377" s="451"/>
      <c r="O377" s="451"/>
      <c r="P377" s="451"/>
      <c r="Q377" s="433">
        <f t="shared" si="123"/>
        <v>0</v>
      </c>
      <c r="R377" s="451">
        <v>0</v>
      </c>
      <c r="U377" s="699">
        <f t="shared" si="135"/>
        <v>0</v>
      </c>
    </row>
    <row r="378" spans="1:21" ht="5.0999999999999996" customHeight="1" thickBot="1">
      <c r="B378" s="466"/>
      <c r="C378" s="434"/>
      <c r="D378" s="435"/>
      <c r="E378" s="444"/>
      <c r="F378" s="444"/>
      <c r="G378" s="444"/>
      <c r="H378" s="444"/>
      <c r="I378" s="444"/>
      <c r="J378" s="444"/>
      <c r="K378" s="444"/>
      <c r="L378" s="444"/>
      <c r="M378" s="444"/>
      <c r="N378" s="444"/>
      <c r="O378" s="444"/>
      <c r="P378" s="444"/>
      <c r="Q378" s="433">
        <f t="shared" si="123"/>
        <v>0</v>
      </c>
      <c r="R378" s="444">
        <v>0</v>
      </c>
      <c r="U378" s="699">
        <f t="shared" si="135"/>
        <v>0</v>
      </c>
    </row>
    <row r="379" spans="1:21" ht="13.5" thickBot="1">
      <c r="B379" s="426" t="s">
        <v>1333</v>
      </c>
      <c r="C379" s="440" t="s">
        <v>1339</v>
      </c>
      <c r="D379" s="441" t="s">
        <v>1288</v>
      </c>
      <c r="E379" s="451">
        <v>0</v>
      </c>
      <c r="F379" s="451">
        <v>0</v>
      </c>
      <c r="G379" s="451">
        <v>0</v>
      </c>
      <c r="H379" s="451">
        <v>0</v>
      </c>
      <c r="I379" s="451">
        <v>0</v>
      </c>
      <c r="J379" s="451">
        <v>0</v>
      </c>
      <c r="K379" s="451">
        <v>0</v>
      </c>
      <c r="L379" s="451">
        <v>0</v>
      </c>
      <c r="M379" s="451">
        <v>0</v>
      </c>
      <c r="N379" s="451">
        <v>0</v>
      </c>
      <c r="O379" s="451">
        <v>0</v>
      </c>
      <c r="P379" s="451">
        <v>0</v>
      </c>
      <c r="Q379" s="433">
        <f t="shared" si="123"/>
        <v>0</v>
      </c>
      <c r="R379" s="451">
        <v>0</v>
      </c>
      <c r="U379" s="699">
        <f t="shared" si="135"/>
        <v>0</v>
      </c>
    </row>
    <row r="380" spans="1:21" ht="5.0999999999999996" customHeight="1" thickBot="1">
      <c r="B380" s="496"/>
      <c r="C380" s="511"/>
      <c r="D380" s="429"/>
      <c r="E380" s="512"/>
      <c r="F380" s="512"/>
      <c r="G380" s="512"/>
      <c r="H380" s="512"/>
      <c r="I380" s="512"/>
      <c r="J380" s="512"/>
      <c r="K380" s="512"/>
      <c r="L380" s="512"/>
      <c r="M380" s="512"/>
      <c r="N380" s="512"/>
      <c r="O380" s="512"/>
      <c r="P380" s="512"/>
      <c r="Q380" s="433">
        <f t="shared" si="123"/>
        <v>0</v>
      </c>
      <c r="R380" s="512">
        <v>0</v>
      </c>
      <c r="U380" s="699">
        <f t="shared" si="135"/>
        <v>0</v>
      </c>
    </row>
    <row r="381" spans="1:21" ht="13.5" thickBot="1">
      <c r="B381" s="426"/>
      <c r="C381" s="513" t="s">
        <v>1340</v>
      </c>
      <c r="D381" s="514"/>
      <c r="E381" s="515">
        <f t="shared" ref="E381:P381" si="138">+E13+E104+E333+E344+E357+E363+E375</f>
        <v>5590621.3829999994</v>
      </c>
      <c r="F381" s="515">
        <f t="shared" si="138"/>
        <v>6074760.9160000002</v>
      </c>
      <c r="G381" s="515">
        <f t="shared" si="138"/>
        <v>21759636.634999998</v>
      </c>
      <c r="H381" s="515">
        <f t="shared" si="138"/>
        <v>5427765.0270000007</v>
      </c>
      <c r="I381" s="515">
        <f t="shared" si="138"/>
        <v>8350971.6290000007</v>
      </c>
      <c r="J381" s="515">
        <f t="shared" si="138"/>
        <v>23119012.91956</v>
      </c>
      <c r="K381" s="515">
        <f t="shared" si="138"/>
        <v>12145274.793000001</v>
      </c>
      <c r="L381" s="515">
        <f t="shared" si="138"/>
        <v>7367686.6000400009</v>
      </c>
      <c r="M381" s="515">
        <f t="shared" si="138"/>
        <v>20484187.879000001</v>
      </c>
      <c r="N381" s="515">
        <f t="shared" si="138"/>
        <v>14013526.866999999</v>
      </c>
      <c r="O381" s="515">
        <f t="shared" si="138"/>
        <v>6504756.8940000003</v>
      </c>
      <c r="P381" s="515">
        <f t="shared" si="138"/>
        <v>11841710.09</v>
      </c>
      <c r="Q381" s="865">
        <f t="shared" si="123"/>
        <v>142679911.63259998</v>
      </c>
      <c r="R381" s="515"/>
      <c r="U381" s="699">
        <f>+U13+U104+U333+U344+U357+U363+U375</f>
        <v>60879439</v>
      </c>
    </row>
    <row r="382" spans="1:21" ht="12.75" customHeight="1" thickBot="1">
      <c r="C382" s="516"/>
      <c r="D382" s="517"/>
      <c r="E382" s="517"/>
      <c r="F382" s="517"/>
      <c r="G382" s="517"/>
      <c r="H382" s="517"/>
      <c r="I382" s="517"/>
      <c r="J382" s="517"/>
      <c r="K382" s="517"/>
      <c r="L382" s="517"/>
      <c r="M382" s="517"/>
      <c r="N382" s="517"/>
      <c r="O382" s="517"/>
      <c r="P382" s="517"/>
      <c r="Q382" s="866"/>
    </row>
    <row r="383" spans="1:21" ht="15.75">
      <c r="D383" s="426"/>
      <c r="E383" s="518"/>
      <c r="F383" s="518"/>
      <c r="G383" s="518"/>
      <c r="H383" s="518"/>
      <c r="I383" s="518"/>
      <c r="J383" s="518"/>
      <c r="K383" s="518"/>
      <c r="L383" s="518"/>
      <c r="M383" s="518"/>
      <c r="N383" s="518"/>
      <c r="O383" s="518"/>
      <c r="P383" s="518"/>
      <c r="Q383" s="866"/>
    </row>
    <row r="384" spans="1:21" ht="15.75">
      <c r="D384" s="421" t="s">
        <v>1341</v>
      </c>
      <c r="E384" s="519">
        <f>+'DGCI '!C110</f>
        <v>2450862.7989999996</v>
      </c>
      <c r="F384" s="519">
        <f>+'DGCI '!D110</f>
        <v>2735687.6799999997</v>
      </c>
      <c r="G384" s="519">
        <f>+'DGCI '!E110</f>
        <v>3151825.7559999996</v>
      </c>
      <c r="H384" s="519">
        <f>+'DGCI '!F110</f>
        <v>2689911.5830000001</v>
      </c>
      <c r="I384" s="519">
        <f>+'DGCI '!G110</f>
        <v>3678053.0559999999</v>
      </c>
      <c r="J384" s="519">
        <f>+'DGCI '!H110</f>
        <v>7853235.7119999984</v>
      </c>
      <c r="K384" s="519">
        <f>+'DGCI '!J110</f>
        <v>5933700.7090000017</v>
      </c>
      <c r="L384" s="519">
        <f>+'DGCI '!K110</f>
        <v>3366366.6220400003</v>
      </c>
      <c r="M384" s="519">
        <f>+'DGCI '!L110</f>
        <v>2844148.2389999996</v>
      </c>
      <c r="N384" s="519">
        <f>+'DGCI '!M110</f>
        <v>2998443.591</v>
      </c>
      <c r="O384" s="519">
        <f>+'DGCI '!N110</f>
        <v>2366802.0269999998</v>
      </c>
      <c r="P384" s="519">
        <f>+'DGCI '!O110</f>
        <v>2826555.861</v>
      </c>
      <c r="Q384" s="867">
        <f t="shared" ref="Q384:Q395" si="139">+E384+F384+G384+H384+I384+J384+K384+L384+M384+N384+O384+P384</f>
        <v>42895593.63504</v>
      </c>
    </row>
    <row r="385" spans="4:18" ht="15.75">
      <c r="D385" s="421" t="s">
        <v>1342</v>
      </c>
      <c r="E385" s="519">
        <f>+(DGA!C50-DGA!C46)/1000</f>
        <v>2560982.9130000002</v>
      </c>
      <c r="F385" s="519">
        <f>+(DGA!D50-DGA!D46)/1000</f>
        <v>3040300.2949999999</v>
      </c>
      <c r="G385" s="519">
        <f>+(DGA!E50-DGA!E46)/1000</f>
        <v>2967542.5</v>
      </c>
      <c r="H385" s="519">
        <f>+(DGA!F50-DGA!F46)/1000</f>
        <v>2488066.574</v>
      </c>
      <c r="I385" s="519">
        <f>+(DGA!G50-DGA!G46)/1000</f>
        <v>4449690.2850000001</v>
      </c>
      <c r="J385" s="519">
        <f>+(DGA!H50-DGA!H46)/1000</f>
        <v>5783786.46</v>
      </c>
      <c r="K385" s="519">
        <f>+(DGA!I50-DGA!I46)/1000</f>
        <v>5338171.3909999998</v>
      </c>
      <c r="L385" s="519">
        <f>+(DGA!J50-DGA!J46)/1000</f>
        <v>3629186.835</v>
      </c>
      <c r="M385" s="519">
        <f>+(DGA!K50-DGA!K46)/1000</f>
        <v>3058297.7829999998</v>
      </c>
      <c r="N385" s="519">
        <f>+(DGA!L50-DGA!L46)/1000</f>
        <v>3299627.145</v>
      </c>
      <c r="O385" s="519">
        <f>+(DGA!M50-DGA!M46)/1000</f>
        <v>2198254.4929999998</v>
      </c>
      <c r="P385" s="519">
        <f>+(DGA!N50-DGA!N46)/1000</f>
        <v>2846963.6359999999</v>
      </c>
      <c r="Q385" s="867">
        <f t="shared" si="139"/>
        <v>41660870.310000002</v>
      </c>
    </row>
    <row r="386" spans="4:18" ht="15.75">
      <c r="D386" s="421" t="s">
        <v>1343</v>
      </c>
      <c r="E386" s="880">
        <f t="shared" ref="E386:P386" si="140">+E107</f>
        <v>578775.67100000009</v>
      </c>
      <c r="F386" s="880">
        <f t="shared" si="140"/>
        <v>185593.59100000001</v>
      </c>
      <c r="G386" s="880">
        <f t="shared" si="140"/>
        <v>100326.673</v>
      </c>
      <c r="H386" s="880">
        <f t="shared" si="140"/>
        <v>185384.72</v>
      </c>
      <c r="I386" s="880">
        <f t="shared" si="140"/>
        <v>113225.68800000001</v>
      </c>
      <c r="J386" s="880">
        <f t="shared" si="140"/>
        <v>619371.52000000002</v>
      </c>
      <c r="K386" s="880">
        <f t="shared" si="140"/>
        <v>873402.69300000009</v>
      </c>
      <c r="L386" s="880">
        <f t="shared" si="140"/>
        <v>212923.19300000003</v>
      </c>
      <c r="M386" s="880">
        <f t="shared" si="140"/>
        <v>326352.16200000001</v>
      </c>
      <c r="N386" s="880">
        <f t="shared" si="140"/>
        <v>106354.931</v>
      </c>
      <c r="O386" s="880">
        <f t="shared" si="140"/>
        <v>627786.37399999995</v>
      </c>
      <c r="P386" s="880">
        <f t="shared" si="140"/>
        <v>1940049.8730000001</v>
      </c>
      <c r="Q386" s="879">
        <f t="shared" si="139"/>
        <v>5869547.0889999997</v>
      </c>
      <c r="R386" s="481"/>
    </row>
    <row r="387" spans="4:18" ht="15.75">
      <c r="D387" s="421" t="s">
        <v>1344</v>
      </c>
      <c r="E387" s="519">
        <f>+E237</f>
        <v>0</v>
      </c>
      <c r="F387" s="519">
        <v>0</v>
      </c>
      <c r="G387" s="519">
        <f t="shared" ref="G387:K388" si="141">+G237</f>
        <v>0</v>
      </c>
      <c r="H387" s="519">
        <f t="shared" si="141"/>
        <v>0</v>
      </c>
      <c r="I387" s="519">
        <f t="shared" si="141"/>
        <v>0</v>
      </c>
      <c r="J387" s="519">
        <f t="shared" si="141"/>
        <v>0</v>
      </c>
      <c r="K387" s="519">
        <f t="shared" si="141"/>
        <v>0</v>
      </c>
      <c r="L387" s="519"/>
      <c r="M387" s="519">
        <f t="shared" ref="M387:P388" si="142">+M237</f>
        <v>0</v>
      </c>
      <c r="N387" s="519">
        <f t="shared" si="142"/>
        <v>7609101.2000000002</v>
      </c>
      <c r="O387" s="519">
        <f t="shared" si="142"/>
        <v>1311914</v>
      </c>
      <c r="P387" s="519">
        <f t="shared" si="142"/>
        <v>0</v>
      </c>
      <c r="Q387" s="879">
        <f t="shared" si="139"/>
        <v>8921015.1999999993</v>
      </c>
      <c r="R387" s="481"/>
    </row>
    <row r="388" spans="4:18" ht="15.75">
      <c r="D388" s="885" t="s">
        <v>1732</v>
      </c>
      <c r="E388" s="519">
        <f>+E238</f>
        <v>0</v>
      </c>
      <c r="F388" s="519">
        <f>+F238</f>
        <v>0</v>
      </c>
      <c r="G388" s="519">
        <f t="shared" si="141"/>
        <v>0</v>
      </c>
      <c r="H388" s="519">
        <f t="shared" si="141"/>
        <v>0</v>
      </c>
      <c r="I388" s="519">
        <f t="shared" si="141"/>
        <v>0</v>
      </c>
      <c r="J388" s="519">
        <f t="shared" si="141"/>
        <v>0</v>
      </c>
      <c r="K388" s="519">
        <f t="shared" si="141"/>
        <v>0</v>
      </c>
      <c r="L388" s="519">
        <f>+L238</f>
        <v>0</v>
      </c>
      <c r="M388" s="519">
        <f t="shared" si="142"/>
        <v>0</v>
      </c>
      <c r="N388" s="519">
        <f t="shared" si="142"/>
        <v>0</v>
      </c>
      <c r="O388" s="519">
        <f t="shared" si="142"/>
        <v>0</v>
      </c>
      <c r="P388" s="519">
        <f t="shared" si="142"/>
        <v>0</v>
      </c>
      <c r="Q388" s="879">
        <f t="shared" si="139"/>
        <v>0</v>
      </c>
    </row>
    <row r="389" spans="4:18" ht="15.75">
      <c r="D389" s="421" t="s">
        <v>1729</v>
      </c>
      <c r="E389" s="519">
        <f t="shared" ref="E389:P389" si="143">+E344</f>
        <v>0</v>
      </c>
      <c r="F389" s="519">
        <f t="shared" si="143"/>
        <v>0</v>
      </c>
      <c r="G389" s="519">
        <f t="shared" si="143"/>
        <v>0</v>
      </c>
      <c r="H389" s="519">
        <f t="shared" si="143"/>
        <v>0</v>
      </c>
      <c r="I389" s="519">
        <f t="shared" si="143"/>
        <v>0</v>
      </c>
      <c r="J389" s="519">
        <f t="shared" si="143"/>
        <v>0</v>
      </c>
      <c r="K389" s="519">
        <f t="shared" si="143"/>
        <v>0</v>
      </c>
      <c r="L389" s="519">
        <f t="shared" si="143"/>
        <v>0</v>
      </c>
      <c r="M389" s="519">
        <f t="shared" si="143"/>
        <v>0</v>
      </c>
      <c r="N389" s="519">
        <f t="shared" si="143"/>
        <v>0</v>
      </c>
      <c r="O389" s="519">
        <f t="shared" si="143"/>
        <v>0</v>
      </c>
      <c r="P389" s="519">
        <f t="shared" si="143"/>
        <v>0</v>
      </c>
      <c r="Q389" s="879">
        <f t="shared" si="139"/>
        <v>0</v>
      </c>
    </row>
    <row r="390" spans="4:18" ht="15.75">
      <c r="D390" s="421" t="s">
        <v>1010</v>
      </c>
      <c r="E390" s="881">
        <f t="shared" ref="E390:P390" si="144">+E156</f>
        <v>0</v>
      </c>
      <c r="F390" s="881">
        <f t="shared" si="144"/>
        <v>70000</v>
      </c>
      <c r="G390" s="881">
        <f t="shared" si="144"/>
        <v>0</v>
      </c>
      <c r="H390" s="881">
        <f t="shared" si="144"/>
        <v>0</v>
      </c>
      <c r="I390" s="881">
        <f t="shared" si="144"/>
        <v>95000</v>
      </c>
      <c r="J390" s="881">
        <f t="shared" si="144"/>
        <v>125000</v>
      </c>
      <c r="K390" s="881">
        <f t="shared" si="144"/>
        <v>0</v>
      </c>
      <c r="L390" s="881">
        <f t="shared" si="144"/>
        <v>120000</v>
      </c>
      <c r="M390" s="881">
        <f t="shared" si="144"/>
        <v>0</v>
      </c>
      <c r="N390" s="881">
        <f t="shared" si="144"/>
        <v>0</v>
      </c>
      <c r="O390" s="881">
        <f t="shared" si="144"/>
        <v>0</v>
      </c>
      <c r="P390" s="881">
        <f t="shared" si="144"/>
        <v>0</v>
      </c>
      <c r="Q390" s="879">
        <f t="shared" si="139"/>
        <v>410000</v>
      </c>
    </row>
    <row r="391" spans="4:18" ht="15.75">
      <c r="D391" s="421" t="s">
        <v>1733</v>
      </c>
      <c r="E391" s="519">
        <f t="shared" ref="E391:P391" si="145">+E293</f>
        <v>0</v>
      </c>
      <c r="F391" s="519">
        <f t="shared" si="145"/>
        <v>43179.35</v>
      </c>
      <c r="G391" s="519">
        <f t="shared" si="145"/>
        <v>0</v>
      </c>
      <c r="H391" s="519">
        <f t="shared" si="145"/>
        <v>64402.15</v>
      </c>
      <c r="I391" s="519">
        <f t="shared" si="145"/>
        <v>15002.6</v>
      </c>
      <c r="J391" s="519">
        <f t="shared" si="145"/>
        <v>0</v>
      </c>
      <c r="K391" s="519">
        <f t="shared" si="145"/>
        <v>0</v>
      </c>
      <c r="L391" s="519">
        <f t="shared" si="145"/>
        <v>39209.949999999997</v>
      </c>
      <c r="M391" s="519">
        <f t="shared" si="145"/>
        <v>0</v>
      </c>
      <c r="N391" s="519">
        <f t="shared" si="145"/>
        <v>0</v>
      </c>
      <c r="O391" s="519">
        <f t="shared" si="145"/>
        <v>0</v>
      </c>
      <c r="P391" s="519">
        <f t="shared" si="145"/>
        <v>38649.5</v>
      </c>
      <c r="Q391" s="879">
        <f t="shared" si="139"/>
        <v>200443.55</v>
      </c>
    </row>
    <row r="392" spans="4:18" ht="15.75">
      <c r="E392" s="519"/>
      <c r="F392" s="519"/>
      <c r="G392" s="519"/>
      <c r="H392" s="519"/>
      <c r="I392" s="519"/>
      <c r="J392" s="519"/>
      <c r="K392" s="519">
        <f>+K293</f>
        <v>0</v>
      </c>
      <c r="L392" s="519">
        <f>+L293</f>
        <v>39209.949999999997</v>
      </c>
      <c r="M392" s="519">
        <f>+M293</f>
        <v>0</v>
      </c>
      <c r="N392" s="519"/>
      <c r="O392" s="519"/>
      <c r="P392" s="519"/>
      <c r="Q392" s="879">
        <f t="shared" si="139"/>
        <v>39209.949999999997</v>
      </c>
    </row>
    <row r="393" spans="4:18" ht="15.75">
      <c r="D393" s="421" t="s">
        <v>1725</v>
      </c>
      <c r="E393" s="519">
        <f t="shared" ref="E393:P393" si="146">+E169</f>
        <v>0</v>
      </c>
      <c r="F393" s="519">
        <f t="shared" si="146"/>
        <v>0</v>
      </c>
      <c r="G393" s="519">
        <f t="shared" si="146"/>
        <v>5000000</v>
      </c>
      <c r="H393" s="519">
        <f t="shared" si="146"/>
        <v>0</v>
      </c>
      <c r="I393" s="519">
        <f t="shared" si="146"/>
        <v>0</v>
      </c>
      <c r="J393" s="519">
        <f t="shared" si="146"/>
        <v>0</v>
      </c>
      <c r="K393" s="519">
        <f t="shared" si="146"/>
        <v>0</v>
      </c>
      <c r="L393" s="519">
        <f t="shared" si="146"/>
        <v>0</v>
      </c>
      <c r="M393" s="519">
        <f t="shared" si="146"/>
        <v>0</v>
      </c>
      <c r="N393" s="519">
        <f t="shared" si="146"/>
        <v>0</v>
      </c>
      <c r="O393" s="519">
        <f t="shared" si="146"/>
        <v>0</v>
      </c>
      <c r="P393" s="519">
        <f t="shared" si="146"/>
        <v>0</v>
      </c>
      <c r="Q393" s="879">
        <f t="shared" si="139"/>
        <v>5000000</v>
      </c>
    </row>
    <row r="394" spans="4:18" ht="15.75">
      <c r="E394" s="519"/>
      <c r="F394" s="519"/>
      <c r="G394" s="519"/>
      <c r="H394" s="519"/>
      <c r="I394" s="519"/>
      <c r="J394" s="519"/>
      <c r="K394" s="519"/>
      <c r="L394" s="519"/>
      <c r="M394" s="519"/>
      <c r="N394" s="519"/>
      <c r="O394" s="519"/>
      <c r="P394" s="519"/>
      <c r="Q394" s="879">
        <f t="shared" si="139"/>
        <v>0</v>
      </c>
    </row>
    <row r="395" spans="4:18" ht="15.75">
      <c r="D395" s="421" t="s">
        <v>1722</v>
      </c>
      <c r="E395" s="519">
        <f>+DGA!C50/1000</f>
        <v>2700691.929</v>
      </c>
      <c r="F395" s="519">
        <f>+DGA!D50/1000</f>
        <v>3245094.372</v>
      </c>
      <c r="G395" s="519">
        <f>+DGA!E50/1000</f>
        <v>3133449.605</v>
      </c>
      <c r="H395" s="519">
        <f>+DGA!F50/1000</f>
        <v>2659373.2149999999</v>
      </c>
      <c r="I395" s="519">
        <f>+DGA!G50/1000</f>
        <v>4640412.9800000004</v>
      </c>
      <c r="J395" s="519">
        <f>+DGA!H50/1000</f>
        <v>5980164.3119999999</v>
      </c>
      <c r="K395" s="519">
        <f>+DGA!I50/1000</f>
        <v>5504939.7309999997</v>
      </c>
      <c r="L395" s="519">
        <f>+DGA!J50/1000</f>
        <v>3742386.0159999998</v>
      </c>
      <c r="M395" s="519">
        <f>+DGA!K50/1000</f>
        <v>3208681.7370000002</v>
      </c>
      <c r="N395" s="519">
        <f>+DGA!L50/1000</f>
        <v>3496347.7459999998</v>
      </c>
      <c r="O395" s="519">
        <f>+DGA!M50/1000</f>
        <v>2337565.1189999999</v>
      </c>
      <c r="P395" s="519">
        <f>+DGA!N50/1000</f>
        <v>3013581.9849999999</v>
      </c>
      <c r="Q395" s="879">
        <f t="shared" si="139"/>
        <v>43662688.747000001</v>
      </c>
      <c r="R395" s="875"/>
    </row>
    <row r="396" spans="4:18">
      <c r="E396" s="519">
        <f>+E395-E385</f>
        <v>139709.01599999983</v>
      </c>
      <c r="F396" s="481"/>
      <c r="G396" s="519"/>
      <c r="Q396" s="519"/>
      <c r="R396" s="875"/>
    </row>
    <row r="397" spans="4:18">
      <c r="E397" s="519">
        <f>+E385/E395*$E$398</f>
        <v>94.826917705799545</v>
      </c>
      <c r="F397" s="519">
        <f t="shared" ref="F397:P397" si="147">+F385/F395*$E$398</f>
        <v>93.689117987845066</v>
      </c>
      <c r="G397" s="519">
        <f t="shared" si="147"/>
        <v>94.705288869645003</v>
      </c>
      <c r="H397" s="519">
        <f t="shared" si="147"/>
        <v>93.558382853758275</v>
      </c>
      <c r="I397" s="519">
        <f t="shared" si="147"/>
        <v>95.889962901534673</v>
      </c>
      <c r="J397" s="519">
        <f t="shared" si="147"/>
        <v>96.716179660716989</v>
      </c>
      <c r="K397" s="519">
        <f t="shared" si="147"/>
        <v>96.970569195138026</v>
      </c>
      <c r="L397" s="519">
        <f t="shared" si="147"/>
        <v>96.975213660054465</v>
      </c>
      <c r="M397" s="519">
        <f t="shared" si="147"/>
        <v>95.313216880755405</v>
      </c>
      <c r="N397" s="519">
        <f t="shared" si="147"/>
        <v>94.373540182750475</v>
      </c>
      <c r="O397" s="519">
        <f t="shared" si="147"/>
        <v>94.040353149194971</v>
      </c>
      <c r="P397" s="519">
        <f t="shared" si="147"/>
        <v>94.471086241245899</v>
      </c>
      <c r="Q397" s="889"/>
    </row>
    <row r="398" spans="4:18">
      <c r="E398" s="421">
        <v>100</v>
      </c>
      <c r="F398" s="481"/>
      <c r="G398" s="481"/>
    </row>
    <row r="399" spans="4:18">
      <c r="F399" s="481"/>
      <c r="G399" s="519"/>
      <c r="H399" s="519"/>
      <c r="I399" s="519"/>
      <c r="J399" s="519"/>
      <c r="K399" s="519"/>
      <c r="L399" s="519"/>
      <c r="M399" s="519"/>
      <c r="N399" s="519"/>
      <c r="P399" s="519"/>
    </row>
    <row r="400" spans="4:18">
      <c r="E400" s="519"/>
      <c r="G400" s="519"/>
      <c r="H400" s="519"/>
      <c r="I400" s="519"/>
      <c r="J400" s="519"/>
      <c r="K400" s="519"/>
      <c r="L400" s="519"/>
      <c r="M400" s="519"/>
      <c r="N400" s="519"/>
      <c r="P400" s="519"/>
    </row>
    <row r="401" spans="5:8">
      <c r="E401" s="481"/>
      <c r="H401" s="519"/>
    </row>
    <row r="403" spans="5:8">
      <c r="E403" s="519"/>
      <c r="H403" s="519"/>
    </row>
    <row r="405" spans="5:8">
      <c r="H405" s="519"/>
    </row>
  </sheetData>
  <mergeCells count="6">
    <mergeCell ref="C10:P10"/>
    <mergeCell ref="C11:C12"/>
    <mergeCell ref="D11:D12"/>
    <mergeCell ref="C5:P5"/>
    <mergeCell ref="C6:P6"/>
    <mergeCell ref="C8:P8"/>
  </mergeCells>
  <phoneticPr fontId="3" type="noConversion"/>
  <printOptions horizontalCentered="1"/>
  <pageMargins left="0.19685039370078741" right="0.15748031496062992" top="0.15748031496062992" bottom="0.31496062992125984" header="0.15748031496062992" footer="0.19685039370078741"/>
  <pageSetup paperSize="9" scale="70" firstPageNumber="3" orientation="landscape" useFirstPageNumber="1" r:id="rId1"/>
  <headerFooter alignWithMargins="0">
    <oddHeader>&amp;R</oddHeader>
    <oddFooter>&amp;L(1)Valores referentes ao OGE 2005, visto que o OGE 2006 ainda não foi aprovado.&amp;R&amp;"Arial,Negrito"&amp;12&amp;P</oddFooter>
  </headerFooter>
  <rowBreaks count="3" manualBreakCount="3">
    <brk id="107" min="2" max="19" man="1"/>
    <brk id="202" min="2" max="19" man="1"/>
    <brk id="297" min="2" max="19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0" r:id="rId4" name="Check Box 2">
              <controlPr defaultSize="0" autoFill="0" autoLine="0" autoPict="0">
                <anchor moveWithCells="1">
                  <from>
                    <xdr:col>16</xdr:col>
                    <xdr:colOff>0</xdr:colOff>
                    <xdr:row>0</xdr:row>
                    <xdr:rowOff>0</xdr:rowOff>
                  </from>
                  <to>
                    <xdr:col>17</xdr:col>
                    <xdr:colOff>171450</xdr:colOff>
                    <xdr:row>2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5"/>
  <dimension ref="A1:AO127"/>
  <sheetViews>
    <sheetView topLeftCell="A6" zoomScale="90" zoomScaleNormal="90" workbookViewId="0">
      <pane xSplit="2" ySplit="3" topLeftCell="C9" activePane="bottomRight" state="frozen"/>
      <selection activeCell="A6" sqref="A6"/>
      <selection pane="topRight" activeCell="C6" sqref="C6"/>
      <selection pane="bottomLeft" activeCell="A9" sqref="A9"/>
      <selection pane="bottomRight"/>
    </sheetView>
  </sheetViews>
  <sheetFormatPr defaultRowHeight="12.75"/>
  <cols>
    <col min="1" max="1" width="20.7109375" bestFit="1" customWidth="1"/>
    <col min="2" max="2" width="40.140625" customWidth="1"/>
    <col min="3" max="8" width="12" bestFit="1" customWidth="1"/>
    <col min="9" max="9" width="15.5703125" bestFit="1" customWidth="1"/>
    <col min="10" max="13" width="14.5703125" bestFit="1" customWidth="1"/>
    <col min="14" max="15" width="12" bestFit="1" customWidth="1"/>
    <col min="16" max="16" width="11.5703125" customWidth="1"/>
    <col min="17" max="17" width="11.5703125" bestFit="1" customWidth="1"/>
    <col min="18" max="18" width="9.42578125" customWidth="1"/>
    <col min="19" max="19" width="8.5703125" customWidth="1"/>
    <col min="20" max="20" width="6.28515625" customWidth="1"/>
    <col min="21" max="21" width="18" customWidth="1"/>
    <col min="22" max="22" width="5.28515625" customWidth="1"/>
    <col min="23" max="23" width="9" customWidth="1"/>
    <col min="24" max="24" width="7.42578125" customWidth="1"/>
    <col min="25" max="26" width="9.140625" customWidth="1"/>
    <col min="27" max="27" width="37.42578125" customWidth="1"/>
    <col min="28" max="28" width="5.5703125" customWidth="1"/>
    <col min="29" max="29" width="8.7109375" customWidth="1"/>
    <col min="30" max="30" width="5.5703125" customWidth="1"/>
    <col min="31" max="31" width="8" customWidth="1"/>
    <col min="32" max="32" width="5.7109375" customWidth="1"/>
    <col min="33" max="33" width="8.42578125" customWidth="1"/>
    <col min="34" max="34" width="4.42578125" customWidth="1"/>
    <col min="35" max="35" width="7.5703125" customWidth="1"/>
    <col min="36" max="36" width="6" customWidth="1"/>
    <col min="37" max="37" width="6.7109375" customWidth="1"/>
    <col min="38" max="38" width="5.140625" customWidth="1"/>
    <col min="39" max="39" width="6.5703125" customWidth="1"/>
    <col min="40" max="40" width="3.7109375" customWidth="1"/>
    <col min="41" max="41" width="7.42578125" customWidth="1"/>
    <col min="42" max="42" width="4.85546875" customWidth="1"/>
    <col min="43" max="43" width="7" customWidth="1"/>
    <col min="44" max="44" width="4" customWidth="1"/>
    <col min="45" max="45" width="6.85546875" customWidth="1"/>
    <col min="46" max="46" width="7.5703125" customWidth="1"/>
    <col min="47" max="47" width="9.140625" customWidth="1"/>
    <col min="48" max="48" width="8.28515625" customWidth="1"/>
    <col min="49" max="49" width="7" customWidth="1"/>
  </cols>
  <sheetData>
    <row r="1" spans="1:41" s="28" customFormat="1" ht="15"/>
    <row r="2" spans="1:41" s="28" customFormat="1" ht="15"/>
    <row r="3" spans="1:41" s="28" customFormat="1" ht="16.5">
      <c r="A3" s="29"/>
      <c r="B3" s="525"/>
    </row>
    <row r="4" spans="1:41" s="28" customFormat="1" ht="16.5">
      <c r="A4" s="29"/>
    </row>
    <row r="5" spans="1:41" ht="27.75" customHeight="1">
      <c r="A5" s="6"/>
      <c r="B5" s="631"/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741">
        <f>+E86+E90</f>
        <v>120221.42700000001</v>
      </c>
      <c r="N5" s="741"/>
      <c r="O5" s="741">
        <f>+E87+E88+E89+E90+E91+E104+E105+E106+E107+E108</f>
        <v>112387.577</v>
      </c>
      <c r="P5" s="631"/>
      <c r="Q5" s="631"/>
      <c r="R5" s="631"/>
      <c r="S5" s="1"/>
    </row>
    <row r="6" spans="1:41" s="28" customFormat="1" ht="20.25">
      <c r="A6" s="2189">
        <f>SUM(J19:O19)</f>
        <v>130992.573</v>
      </c>
      <c r="B6" s="2272" t="s">
        <v>3025</v>
      </c>
      <c r="C6" s="2272"/>
      <c r="D6" s="2272"/>
      <c r="E6" s="2272"/>
      <c r="F6" s="2272"/>
      <c r="G6" s="2272"/>
      <c r="H6" s="2272"/>
      <c r="I6" s="2272"/>
      <c r="J6" s="2272"/>
      <c r="K6" s="2272"/>
      <c r="L6" s="2272"/>
      <c r="M6" s="2272"/>
      <c r="N6" s="2272"/>
      <c r="O6" s="2272"/>
      <c r="P6" s="2272"/>
      <c r="Q6" s="2272"/>
      <c r="R6" s="2272"/>
      <c r="S6" s="2273"/>
    </row>
    <row r="7" spans="1:41" ht="21" thickBot="1">
      <c r="A7" s="629">
        <f>SUM(C19:H19)</f>
        <v>211518.90300000002</v>
      </c>
      <c r="B7" s="2272" t="s">
        <v>320</v>
      </c>
      <c r="C7" s="2272"/>
      <c r="D7" s="2272"/>
      <c r="E7" s="2272"/>
      <c r="F7" s="2272"/>
      <c r="G7" s="2272"/>
      <c r="H7" s="2272"/>
      <c r="I7" s="2272"/>
      <c r="J7" s="2272"/>
      <c r="K7" s="2272"/>
      <c r="L7" s="2272"/>
      <c r="M7" s="2272"/>
      <c r="N7" s="2272"/>
      <c r="O7" s="2272"/>
      <c r="P7" s="2272"/>
      <c r="Q7" s="2272"/>
      <c r="R7" s="2272"/>
      <c r="S7" s="2272"/>
    </row>
    <row r="8" spans="1:41" ht="18.75" thickBot="1">
      <c r="A8" s="678" t="s">
        <v>274</v>
      </c>
      <c r="B8" s="679" t="s">
        <v>321</v>
      </c>
      <c r="C8" s="680" t="s">
        <v>261</v>
      </c>
      <c r="D8" s="680" t="s">
        <v>262</v>
      </c>
      <c r="E8" s="680" t="s">
        <v>263</v>
      </c>
      <c r="F8" s="680" t="s">
        <v>264</v>
      </c>
      <c r="G8" s="680" t="s">
        <v>266</v>
      </c>
      <c r="H8" s="680" t="s">
        <v>267</v>
      </c>
      <c r="I8" s="681" t="s">
        <v>1266</v>
      </c>
      <c r="J8" s="680" t="s">
        <v>268</v>
      </c>
      <c r="K8" s="680" t="s">
        <v>269</v>
      </c>
      <c r="L8" s="680" t="s">
        <v>270</v>
      </c>
      <c r="M8" s="680" t="s">
        <v>271</v>
      </c>
      <c r="N8" s="680" t="s">
        <v>272</v>
      </c>
      <c r="O8" s="680" t="s">
        <v>273</v>
      </c>
      <c r="P8" s="781" t="s">
        <v>1553</v>
      </c>
      <c r="Q8" s="799" t="s">
        <v>322</v>
      </c>
      <c r="R8" s="784" t="s">
        <v>323</v>
      </c>
      <c r="S8" s="633" t="s">
        <v>1554</v>
      </c>
      <c r="U8" s="10"/>
    </row>
    <row r="9" spans="1:41" ht="13.5" thickBot="1">
      <c r="A9" s="634" t="s">
        <v>324</v>
      </c>
      <c r="B9" s="526" t="s">
        <v>325</v>
      </c>
      <c r="C9" s="527">
        <f t="shared" ref="C9:H9" si="0">+C10+C16+C21+C24+C25</f>
        <v>1386945.6430000002</v>
      </c>
      <c r="D9" s="527">
        <f t="shared" si="0"/>
        <v>1364691.6089999999</v>
      </c>
      <c r="E9" s="527">
        <f t="shared" si="0"/>
        <v>2091663.1929999997</v>
      </c>
      <c r="F9" s="527">
        <f t="shared" si="0"/>
        <v>1513938.8539999998</v>
      </c>
      <c r="G9" s="527">
        <f t="shared" si="0"/>
        <v>2493568.3650000002</v>
      </c>
      <c r="H9" s="527">
        <f t="shared" si="0"/>
        <v>6386571.8899999997</v>
      </c>
      <c r="I9" s="674">
        <f t="shared" ref="I9:I72" si="1">SUM(C9:H9)</f>
        <v>15237379.554000001</v>
      </c>
      <c r="J9" s="527">
        <f t="shared" ref="J9:O9" si="2">+J10+J16+J21+J24+J25</f>
        <v>4411665.9870000007</v>
      </c>
      <c r="K9" s="527">
        <f t="shared" si="2"/>
        <v>2133699.6258</v>
      </c>
      <c r="L9" s="527">
        <f t="shared" si="2"/>
        <v>1632393.4809999999</v>
      </c>
      <c r="M9" s="527">
        <f t="shared" si="2"/>
        <v>1672294.1670000001</v>
      </c>
      <c r="N9" s="527">
        <f t="shared" si="2"/>
        <v>1141169.5359999998</v>
      </c>
      <c r="O9" s="527">
        <f t="shared" si="2"/>
        <v>1690316.3329999999</v>
      </c>
      <c r="P9" s="782">
        <f t="shared" ref="P9:P26" si="3">SUM(J9:O9)</f>
        <v>12681539.129800001</v>
      </c>
      <c r="Q9" s="800">
        <f>+I9+P9</f>
        <v>27918918.683800004</v>
      </c>
      <c r="R9" s="785">
        <f>+R10+R16+R21+R24+R25</f>
        <v>0</v>
      </c>
      <c r="S9" s="635"/>
    </row>
    <row r="10" spans="1:41" ht="13.5" thickBot="1">
      <c r="A10" s="636" t="s">
        <v>326</v>
      </c>
      <c r="B10" s="528" t="s">
        <v>327</v>
      </c>
      <c r="C10" s="532">
        <f t="shared" ref="C10:H10" si="4">SUM(C11:C15)</f>
        <v>464452.783</v>
      </c>
      <c r="D10" s="532">
        <f t="shared" si="4"/>
        <v>362818.91000000003</v>
      </c>
      <c r="E10" s="532">
        <f t="shared" si="4"/>
        <v>1405719.2029999997</v>
      </c>
      <c r="F10" s="532">
        <f t="shared" si="4"/>
        <v>676775.44499999995</v>
      </c>
      <c r="G10" s="532">
        <f t="shared" si="4"/>
        <v>1369320.4680000001</v>
      </c>
      <c r="H10" s="532">
        <f t="shared" si="4"/>
        <v>3362646.9739999999</v>
      </c>
      <c r="I10" s="674">
        <f t="shared" si="1"/>
        <v>7641733.7829999998</v>
      </c>
      <c r="J10" s="532">
        <f t="shared" ref="J10:O10" si="5">SUM(J11:J15)</f>
        <v>2014838.6740000001</v>
      </c>
      <c r="K10" s="532">
        <f t="shared" si="5"/>
        <v>863820.38100000005</v>
      </c>
      <c r="L10" s="532">
        <f t="shared" si="5"/>
        <v>648798.25800000003</v>
      </c>
      <c r="M10" s="532">
        <f t="shared" si="5"/>
        <v>550359.94200000004</v>
      </c>
      <c r="N10" s="532">
        <f t="shared" si="5"/>
        <v>395014.022</v>
      </c>
      <c r="O10" s="532">
        <f t="shared" si="5"/>
        <v>1066782.058</v>
      </c>
      <c r="P10" s="783">
        <f t="shared" si="3"/>
        <v>5539613.335</v>
      </c>
      <c r="Q10" s="801">
        <f>+I10+P10</f>
        <v>13181347.118000001</v>
      </c>
      <c r="R10" s="533">
        <f>SUM(R11:R15)</f>
        <v>0</v>
      </c>
      <c r="S10" s="637"/>
      <c r="AO10" t="s">
        <v>1555</v>
      </c>
    </row>
    <row r="11" spans="1:41" ht="13.5" thickBot="1">
      <c r="A11" s="638" t="s">
        <v>1580</v>
      </c>
      <c r="B11" s="530" t="s">
        <v>328</v>
      </c>
      <c r="C11" s="529">
        <v>269219.74900000001</v>
      </c>
      <c r="D11" s="529">
        <v>96561.288</v>
      </c>
      <c r="E11" s="529">
        <v>1236827.3849999998</v>
      </c>
      <c r="F11" s="529">
        <v>672487.321</v>
      </c>
      <c r="G11" s="529">
        <v>699686.68299999996</v>
      </c>
      <c r="H11" s="529">
        <v>3164835.122</v>
      </c>
      <c r="I11" s="674">
        <f t="shared" si="1"/>
        <v>6139617.5480000004</v>
      </c>
      <c r="J11" s="529">
        <v>1735087.081</v>
      </c>
      <c r="K11" s="529">
        <v>750313.20000000007</v>
      </c>
      <c r="L11" s="529">
        <v>441239.22599999997</v>
      </c>
      <c r="M11" s="529">
        <v>492495.37</v>
      </c>
      <c r="N11" s="529">
        <v>328711.62</v>
      </c>
      <c r="O11" s="529">
        <v>979969.59100000001</v>
      </c>
      <c r="P11" s="783">
        <f t="shared" si="3"/>
        <v>4727816.0879999995</v>
      </c>
      <c r="Q11" s="801">
        <f t="shared" ref="Q11:Q74" si="6">+I11+P11</f>
        <v>10867433.636</v>
      </c>
      <c r="R11" s="531"/>
      <c r="S11" s="637"/>
      <c r="W11" s="10"/>
    </row>
    <row r="12" spans="1:41" ht="13.5" thickBot="1">
      <c r="A12" s="638" t="s">
        <v>1581</v>
      </c>
      <c r="B12" s="530" t="s">
        <v>329</v>
      </c>
      <c r="C12" s="529">
        <v>35793.919999999998</v>
      </c>
      <c r="D12" s="529">
        <v>39849.466</v>
      </c>
      <c r="E12" s="529">
        <v>0</v>
      </c>
      <c r="F12" s="529">
        <v>0</v>
      </c>
      <c r="G12" s="529">
        <v>9057.1869999999999</v>
      </c>
      <c r="H12" s="529">
        <v>0</v>
      </c>
      <c r="I12" s="674">
        <f t="shared" si="1"/>
        <v>84700.573000000004</v>
      </c>
      <c r="J12" s="529">
        <v>0</v>
      </c>
      <c r="K12" s="529">
        <v>0</v>
      </c>
      <c r="L12" s="529">
        <v>54086.125</v>
      </c>
      <c r="M12" s="529">
        <v>57864.572000000007</v>
      </c>
      <c r="N12" s="529">
        <v>66302.402000000002</v>
      </c>
      <c r="O12" s="529">
        <v>86812.46699999999</v>
      </c>
      <c r="P12" s="783">
        <f t="shared" si="3"/>
        <v>265065.56599999999</v>
      </c>
      <c r="Q12" s="801">
        <f t="shared" si="6"/>
        <v>349766.13899999997</v>
      </c>
      <c r="R12" s="531"/>
      <c r="S12" s="637"/>
      <c r="W12" s="10"/>
    </row>
    <row r="13" spans="1:41" ht="13.5" thickBot="1">
      <c r="A13" s="638"/>
      <c r="B13" s="530" t="s">
        <v>1562</v>
      </c>
      <c r="C13" s="529">
        <v>0</v>
      </c>
      <c r="D13" s="529">
        <v>0</v>
      </c>
      <c r="E13" s="529">
        <v>0</v>
      </c>
      <c r="F13" s="529">
        <v>0</v>
      </c>
      <c r="G13" s="529">
        <v>435362.196</v>
      </c>
      <c r="H13" s="529">
        <v>0</v>
      </c>
      <c r="I13" s="674">
        <f t="shared" si="1"/>
        <v>435362.196</v>
      </c>
      <c r="J13" s="529">
        <v>108895.439</v>
      </c>
      <c r="K13" s="529">
        <v>0</v>
      </c>
      <c r="L13" s="529">
        <v>0</v>
      </c>
      <c r="M13" s="529">
        <v>0</v>
      </c>
      <c r="N13" s="529">
        <v>0</v>
      </c>
      <c r="O13" s="529">
        <v>0</v>
      </c>
      <c r="P13" s="783">
        <f t="shared" si="3"/>
        <v>108895.439</v>
      </c>
      <c r="Q13" s="801">
        <f t="shared" si="6"/>
        <v>544257.63500000001</v>
      </c>
      <c r="R13" s="531"/>
      <c r="S13" s="637"/>
      <c r="W13" s="10"/>
    </row>
    <row r="14" spans="1:41" ht="13.5" thickBot="1">
      <c r="A14" s="638" t="s">
        <v>1582</v>
      </c>
      <c r="B14" s="530" t="s">
        <v>330</v>
      </c>
      <c r="C14" s="529">
        <v>5480.5</v>
      </c>
      <c r="D14" s="529">
        <v>10183.5</v>
      </c>
      <c r="E14" s="529">
        <v>0</v>
      </c>
      <c r="F14" s="529">
        <v>0</v>
      </c>
      <c r="G14" s="529">
        <v>1174.5</v>
      </c>
      <c r="H14" s="529">
        <v>1434</v>
      </c>
      <c r="I14" s="674">
        <f t="shared" si="1"/>
        <v>18272.5</v>
      </c>
      <c r="J14" s="529">
        <v>2666.4760000000001</v>
      </c>
      <c r="K14" s="529">
        <v>308</v>
      </c>
      <c r="L14" s="529">
        <v>1638.5</v>
      </c>
      <c r="M14" s="529">
        <v>0</v>
      </c>
      <c r="N14" s="1484">
        <v>0</v>
      </c>
      <c r="O14" s="1484">
        <v>0</v>
      </c>
      <c r="P14" s="783">
        <f t="shared" si="3"/>
        <v>4612.9760000000006</v>
      </c>
      <c r="Q14" s="801">
        <f t="shared" si="6"/>
        <v>22885.476000000002</v>
      </c>
      <c r="R14" s="531"/>
      <c r="S14" s="637"/>
      <c r="U14" s="706">
        <f>4908994.348/3</f>
        <v>1636331.4493333334</v>
      </c>
      <c r="W14" s="10"/>
    </row>
    <row r="15" spans="1:41" ht="13.5" thickBot="1">
      <c r="A15" s="638" t="s">
        <v>1583</v>
      </c>
      <c r="B15" s="530" t="s">
        <v>331</v>
      </c>
      <c r="C15" s="529">
        <v>153958.614</v>
      </c>
      <c r="D15" s="529">
        <v>216224.65600000002</v>
      </c>
      <c r="E15" s="529">
        <v>168891.81799999997</v>
      </c>
      <c r="F15" s="529">
        <v>4288.1239999999998</v>
      </c>
      <c r="G15" s="529">
        <v>224039.90199999997</v>
      </c>
      <c r="H15" s="529">
        <v>196377.85199999998</v>
      </c>
      <c r="I15" s="674">
        <f t="shared" si="1"/>
        <v>963780.9659999999</v>
      </c>
      <c r="J15" s="529">
        <v>168189.67800000001</v>
      </c>
      <c r="K15" s="529">
        <v>113199.181</v>
      </c>
      <c r="L15" s="529">
        <v>151834.40700000004</v>
      </c>
      <c r="M15" s="529">
        <v>0</v>
      </c>
      <c r="N15" s="529">
        <v>0</v>
      </c>
      <c r="O15" s="529">
        <v>0</v>
      </c>
      <c r="P15" s="783">
        <f t="shared" si="3"/>
        <v>433223.26600000006</v>
      </c>
      <c r="Q15" s="801">
        <f t="shared" si="6"/>
        <v>1397004.2319999998</v>
      </c>
      <c r="R15" s="531"/>
      <c r="S15" s="637"/>
      <c r="W15" s="10"/>
    </row>
    <row r="16" spans="1:41" ht="15" customHeight="1" thickBot="1">
      <c r="A16" s="636" t="s">
        <v>332</v>
      </c>
      <c r="B16" s="528" t="s">
        <v>333</v>
      </c>
      <c r="C16" s="532">
        <f t="shared" ref="C16:H16" si="7">C17+C20</f>
        <v>67646.114000000001</v>
      </c>
      <c r="D16" s="532">
        <f t="shared" si="7"/>
        <v>43992.152000000002</v>
      </c>
      <c r="E16" s="532">
        <f t="shared" si="7"/>
        <v>66550.675000000003</v>
      </c>
      <c r="F16" s="532">
        <f t="shared" si="7"/>
        <v>29433.440999999999</v>
      </c>
      <c r="G16" s="532">
        <f t="shared" si="7"/>
        <v>604751.90800000005</v>
      </c>
      <c r="H16" s="532">
        <f t="shared" si="7"/>
        <v>2306376.2250000001</v>
      </c>
      <c r="I16" s="674">
        <f t="shared" si="1"/>
        <v>3118750.5150000001</v>
      </c>
      <c r="J16" s="532">
        <f>+J17+J20</f>
        <v>1557500.129</v>
      </c>
      <c r="K16" s="532">
        <f>+K17+K20</f>
        <v>553939.02</v>
      </c>
      <c r="L16" s="532">
        <f>+L17+L20</f>
        <v>311298.745</v>
      </c>
      <c r="M16" s="532">
        <f>+M17+M20</f>
        <v>15636.597</v>
      </c>
      <c r="N16" s="532">
        <f>+N17+N20</f>
        <v>8554.1130000000012</v>
      </c>
      <c r="O16" s="532">
        <f>O17+O20</f>
        <v>5317.4940000000006</v>
      </c>
      <c r="P16" s="783">
        <f t="shared" si="3"/>
        <v>2452246.0980000002</v>
      </c>
      <c r="Q16" s="801">
        <f t="shared" si="6"/>
        <v>5570996.6129999999</v>
      </c>
      <c r="R16" s="533">
        <f>+R17+R20</f>
        <v>0</v>
      </c>
      <c r="S16" s="637"/>
      <c r="W16" s="10"/>
    </row>
    <row r="17" spans="1:23" ht="13.5" thickBot="1">
      <c r="A17" s="638" t="s">
        <v>1584</v>
      </c>
      <c r="B17" s="528" t="s">
        <v>334</v>
      </c>
      <c r="C17" s="532">
        <f>SUM(C18:C19)</f>
        <v>61067.111000000004</v>
      </c>
      <c r="D17" s="532">
        <f t="shared" ref="D17:H17" si="8">SUM(D18:D19)</f>
        <v>37897.698000000004</v>
      </c>
      <c r="E17" s="532">
        <f t="shared" si="8"/>
        <v>64327.925000000003</v>
      </c>
      <c r="F17" s="532">
        <f t="shared" si="8"/>
        <v>22433.175999999999</v>
      </c>
      <c r="G17" s="532">
        <f t="shared" si="8"/>
        <v>7368.6530000000002</v>
      </c>
      <c r="H17" s="532">
        <f t="shared" si="8"/>
        <v>19832.599999999999</v>
      </c>
      <c r="I17" s="674">
        <f>SUM(C17:H17)</f>
        <v>212927.163</v>
      </c>
      <c r="J17" s="529">
        <f t="shared" ref="J17:O17" si="9">SUM(J18:J19)</f>
        <v>41616.379000000001</v>
      </c>
      <c r="K17" s="529">
        <f t="shared" si="9"/>
        <v>13829.02</v>
      </c>
      <c r="L17" s="529">
        <f t="shared" si="9"/>
        <v>58098.229999999989</v>
      </c>
      <c r="M17" s="529">
        <f t="shared" si="9"/>
        <v>3812.9369999999999</v>
      </c>
      <c r="N17" s="529">
        <f t="shared" si="9"/>
        <v>8398.6130000000012</v>
      </c>
      <c r="O17" s="529">
        <f t="shared" si="9"/>
        <v>5317.4940000000006</v>
      </c>
      <c r="P17" s="783">
        <f>SUM(J17:O17)</f>
        <v>131072.67299999998</v>
      </c>
      <c r="Q17" s="2190">
        <f>+I17+P17</f>
        <v>343999.83600000001</v>
      </c>
      <c r="R17" s="533">
        <f>+R18+R19</f>
        <v>0</v>
      </c>
      <c r="S17" s="637"/>
      <c r="U17" s="706">
        <f>4908994.348-2000000</f>
        <v>2908994.3480000002</v>
      </c>
      <c r="W17" s="10"/>
    </row>
    <row r="18" spans="1:23" ht="13.5" thickBot="1">
      <c r="A18" s="636"/>
      <c r="B18" s="530" t="s">
        <v>1556</v>
      </c>
      <c r="C18" s="529">
        <v>0</v>
      </c>
      <c r="D18" s="529">
        <v>0</v>
      </c>
      <c r="E18" s="529">
        <v>1408.26</v>
      </c>
      <c r="F18" s="529">
        <v>0</v>
      </c>
      <c r="G18" s="529">
        <v>0</v>
      </c>
      <c r="H18" s="529">
        <v>0</v>
      </c>
      <c r="I18" s="674">
        <f>SUM(C18:H18)</f>
        <v>1408.26</v>
      </c>
      <c r="J18" s="529">
        <v>0</v>
      </c>
      <c r="K18" s="529">
        <v>0</v>
      </c>
      <c r="L18" s="529">
        <v>0</v>
      </c>
      <c r="M18" s="529">
        <v>67.5</v>
      </c>
      <c r="N18" s="529">
        <v>12.6</v>
      </c>
      <c r="O18" s="529">
        <v>0</v>
      </c>
      <c r="P18" s="783">
        <f>SUM(J18:O18)</f>
        <v>80.099999999999994</v>
      </c>
      <c r="Q18" s="801">
        <f t="shared" si="6"/>
        <v>1488.36</v>
      </c>
      <c r="R18" s="535"/>
      <c r="S18" s="637"/>
      <c r="W18" s="10"/>
    </row>
    <row r="19" spans="1:23" ht="13.5" thickBot="1">
      <c r="A19" s="636"/>
      <c r="B19" s="530" t="s">
        <v>1557</v>
      </c>
      <c r="C19" s="529">
        <v>61067.111000000004</v>
      </c>
      <c r="D19" s="529">
        <v>37897.698000000004</v>
      </c>
      <c r="E19" s="529">
        <v>62919.665000000001</v>
      </c>
      <c r="F19" s="529">
        <v>22433.175999999999</v>
      </c>
      <c r="G19" s="529">
        <v>7368.6530000000002</v>
      </c>
      <c r="H19" s="529">
        <v>19832.599999999999</v>
      </c>
      <c r="I19" s="674">
        <f>SUM(C19:H19)</f>
        <v>211518.90300000002</v>
      </c>
      <c r="J19" s="529">
        <v>41616.379000000001</v>
      </c>
      <c r="K19" s="529">
        <v>13829.02</v>
      </c>
      <c r="L19" s="529">
        <v>58098.229999999989</v>
      </c>
      <c r="M19" s="529">
        <v>3745.4369999999999</v>
      </c>
      <c r="N19" s="529">
        <v>8386.0130000000008</v>
      </c>
      <c r="O19" s="529">
        <v>5317.4940000000006</v>
      </c>
      <c r="P19" s="783">
        <f>SUM(J19:O19)</f>
        <v>130992.573</v>
      </c>
      <c r="Q19" s="801">
        <f t="shared" si="6"/>
        <v>342511.47600000002</v>
      </c>
      <c r="R19" s="535"/>
      <c r="S19" s="637"/>
      <c r="W19" s="10"/>
    </row>
    <row r="20" spans="1:23" ht="13.5" thickBot="1">
      <c r="A20" s="638" t="s">
        <v>1585</v>
      </c>
      <c r="B20" s="528" t="s">
        <v>335</v>
      </c>
      <c r="C20" s="529">
        <v>6579.0029999999997</v>
      </c>
      <c r="D20" s="529">
        <v>6094.4539999999997</v>
      </c>
      <c r="E20" s="529">
        <v>2222.75</v>
      </c>
      <c r="F20" s="529">
        <v>7000.2649999999994</v>
      </c>
      <c r="G20" s="529">
        <v>597383.255</v>
      </c>
      <c r="H20" s="529">
        <v>2286543.625</v>
      </c>
      <c r="I20" s="674">
        <f t="shared" si="1"/>
        <v>2905823.352</v>
      </c>
      <c r="J20" s="1606">
        <v>1515883.75</v>
      </c>
      <c r="K20" s="529">
        <v>540110</v>
      </c>
      <c r="L20" s="529">
        <v>253200.51500000001</v>
      </c>
      <c r="M20" s="529">
        <v>11823.66</v>
      </c>
      <c r="N20" s="529">
        <v>155.5</v>
      </c>
      <c r="O20" s="529">
        <v>0</v>
      </c>
      <c r="P20" s="783">
        <v>0</v>
      </c>
      <c r="Q20" s="801">
        <f t="shared" si="6"/>
        <v>2905823.352</v>
      </c>
      <c r="R20" s="534"/>
      <c r="S20" s="637"/>
      <c r="U20" s="1517">
        <f>+U17/2</f>
        <v>1454497.1740000001</v>
      </c>
      <c r="W20" s="10"/>
    </row>
    <row r="21" spans="1:23" ht="13.5" thickBot="1">
      <c r="A21" s="636" t="s">
        <v>336</v>
      </c>
      <c r="B21" s="528" t="s">
        <v>337</v>
      </c>
      <c r="C21" s="532">
        <f t="shared" ref="C21:H21" si="10">SUM(C22:C23)</f>
        <v>812073.90500000003</v>
      </c>
      <c r="D21" s="532">
        <f t="shared" si="10"/>
        <v>906980.625</v>
      </c>
      <c r="E21" s="532">
        <f t="shared" si="10"/>
        <v>597885.28200000001</v>
      </c>
      <c r="F21" s="532">
        <f t="shared" si="10"/>
        <v>797661.41399999999</v>
      </c>
      <c r="G21" s="532">
        <f t="shared" si="10"/>
        <v>494283.02499999991</v>
      </c>
      <c r="H21" s="532">
        <f t="shared" si="10"/>
        <v>598025.69700000004</v>
      </c>
      <c r="I21" s="674">
        <f t="shared" si="1"/>
        <v>4206909.9479999999</v>
      </c>
      <c r="J21" s="532">
        <f>SUM(J22:J23)</f>
        <v>787618.57999999984</v>
      </c>
      <c r="K21" s="532">
        <f>SUM(K22:K23)</f>
        <v>701582.76980000001</v>
      </c>
      <c r="L21" s="532">
        <f>SUM(L22:L23)</f>
        <v>662998.18599999999</v>
      </c>
      <c r="M21" s="532">
        <f>SUM(M22:M23)</f>
        <v>938066.00099999993</v>
      </c>
      <c r="N21" s="532">
        <f>+N22+N23</f>
        <v>718050.99699999997</v>
      </c>
      <c r="O21" s="532">
        <f>SUM(O22:O23)</f>
        <v>597660.80599999998</v>
      </c>
      <c r="P21" s="783">
        <f t="shared" si="3"/>
        <v>4405977.3398000002</v>
      </c>
      <c r="Q21" s="801">
        <f t="shared" si="6"/>
        <v>8612887.2877999991</v>
      </c>
      <c r="R21" s="533">
        <f>SUM(R22:R23)</f>
        <v>0</v>
      </c>
      <c r="S21" s="637"/>
      <c r="W21" s="10"/>
    </row>
    <row r="22" spans="1:23" ht="13.5" thickBot="1">
      <c r="A22" s="638" t="s">
        <v>1586</v>
      </c>
      <c r="B22" s="1397" t="s">
        <v>338</v>
      </c>
      <c r="C22" s="529">
        <v>345185.69099999999</v>
      </c>
      <c r="D22" s="529">
        <v>386003.64199999999</v>
      </c>
      <c r="E22" s="529">
        <v>335544.73800000001</v>
      </c>
      <c r="F22" s="529">
        <v>579787.12399999995</v>
      </c>
      <c r="G22" s="529">
        <v>57213.502999999997</v>
      </c>
      <c r="H22" s="529">
        <v>386384.00400000002</v>
      </c>
      <c r="I22" s="674">
        <f t="shared" si="1"/>
        <v>2090118.7019999998</v>
      </c>
      <c r="J22" s="529">
        <v>385489.18199999997</v>
      </c>
      <c r="K22" s="529">
        <v>487659.43900000001</v>
      </c>
      <c r="L22" s="529">
        <v>466170.62300000002</v>
      </c>
      <c r="M22" s="529">
        <v>394464.37199999997</v>
      </c>
      <c r="N22" s="529">
        <v>354945.64600000001</v>
      </c>
      <c r="O22" s="529">
        <v>381148.821</v>
      </c>
      <c r="P22" s="783">
        <v>381148.821</v>
      </c>
      <c r="Q22" s="801">
        <f t="shared" si="6"/>
        <v>2471267.523</v>
      </c>
      <c r="R22" s="534"/>
      <c r="S22" s="637"/>
      <c r="W22" s="10"/>
    </row>
    <row r="23" spans="1:23" ht="13.5" thickBot="1">
      <c r="A23" s="638" t="s">
        <v>1587</v>
      </c>
      <c r="B23" s="530" t="s">
        <v>339</v>
      </c>
      <c r="C23" s="529">
        <v>466888.21400000004</v>
      </c>
      <c r="D23" s="529">
        <v>520976.98300000001</v>
      </c>
      <c r="E23" s="529">
        <v>262340.54399999999</v>
      </c>
      <c r="F23" s="529">
        <v>217874.29000000004</v>
      </c>
      <c r="G23" s="529">
        <v>437069.52199999994</v>
      </c>
      <c r="H23" s="529">
        <v>211641.693</v>
      </c>
      <c r="I23" s="674">
        <f t="shared" si="1"/>
        <v>2116791.2459999998</v>
      </c>
      <c r="J23" s="529">
        <v>402129.39799999993</v>
      </c>
      <c r="K23" s="529">
        <v>213923.33079999997</v>
      </c>
      <c r="L23" s="529">
        <v>196827.56299999999</v>
      </c>
      <c r="M23" s="529">
        <v>543601.62899999996</v>
      </c>
      <c r="N23" s="529">
        <v>363105.35100000002</v>
      </c>
      <c r="O23" s="529">
        <v>216511.98499999996</v>
      </c>
      <c r="P23" s="783">
        <v>216511.98499999996</v>
      </c>
      <c r="Q23" s="801">
        <f t="shared" si="6"/>
        <v>2333303.2309999997</v>
      </c>
      <c r="R23" s="534"/>
      <c r="S23" s="637"/>
      <c r="W23" s="10"/>
    </row>
    <row r="24" spans="1:23" ht="13.5" thickBot="1">
      <c r="A24" s="636" t="s">
        <v>340</v>
      </c>
      <c r="B24" s="528" t="s">
        <v>595</v>
      </c>
      <c r="C24" s="529">
        <v>95</v>
      </c>
      <c r="D24" s="529">
        <v>0</v>
      </c>
      <c r="E24" s="529">
        <v>0</v>
      </c>
      <c r="F24" s="529">
        <v>0</v>
      </c>
      <c r="G24" s="529">
        <v>0</v>
      </c>
      <c r="H24" s="529">
        <v>0</v>
      </c>
      <c r="I24" s="674">
        <f t="shared" si="1"/>
        <v>95</v>
      </c>
      <c r="J24" s="529">
        <v>0</v>
      </c>
      <c r="K24" s="529">
        <v>0</v>
      </c>
      <c r="L24" s="529">
        <v>0</v>
      </c>
      <c r="M24" s="529">
        <v>8932.1</v>
      </c>
      <c r="N24" s="529">
        <v>6495.7000000000007</v>
      </c>
      <c r="O24" s="529">
        <v>1528.47</v>
      </c>
      <c r="P24" s="783">
        <v>1528.47</v>
      </c>
      <c r="Q24" s="801">
        <f t="shared" si="6"/>
        <v>1623.47</v>
      </c>
      <c r="R24" s="536"/>
      <c r="S24" s="637"/>
    </row>
    <row r="25" spans="1:23" ht="13.5" thickBot="1">
      <c r="A25" s="636" t="s">
        <v>341</v>
      </c>
      <c r="B25" s="528" t="s">
        <v>342</v>
      </c>
      <c r="C25" s="529">
        <v>42677.841</v>
      </c>
      <c r="D25" s="529">
        <v>50899.921999999999</v>
      </c>
      <c r="E25" s="529">
        <v>21508.032999999999</v>
      </c>
      <c r="F25" s="529">
        <v>10068.554</v>
      </c>
      <c r="G25" s="529">
        <v>25212.964</v>
      </c>
      <c r="H25" s="529">
        <v>119522.99400000001</v>
      </c>
      <c r="I25" s="674">
        <f t="shared" si="1"/>
        <v>269890.30800000002</v>
      </c>
      <c r="J25" s="529">
        <v>51708.603999999999</v>
      </c>
      <c r="K25" s="529">
        <v>14357.455</v>
      </c>
      <c r="L25" s="529">
        <v>9298.2919999999995</v>
      </c>
      <c r="M25" s="529">
        <v>159299.527</v>
      </c>
      <c r="N25" s="529">
        <v>13054.704</v>
      </c>
      <c r="O25" s="529">
        <v>19027.504999999997</v>
      </c>
      <c r="P25" s="783">
        <v>19027.504999999997</v>
      </c>
      <c r="Q25" s="801">
        <f t="shared" si="6"/>
        <v>288917.81300000002</v>
      </c>
      <c r="R25" s="536"/>
      <c r="S25" s="637"/>
    </row>
    <row r="26" spans="1:23" ht="13.5" thickBot="1">
      <c r="A26" s="552" t="s">
        <v>343</v>
      </c>
      <c r="B26" s="537" t="s">
        <v>344</v>
      </c>
      <c r="C26" s="532">
        <f t="shared" ref="C26:H26" si="11">SUM(C27:C29)</f>
        <v>39686.868999999999</v>
      </c>
      <c r="D26" s="532">
        <f t="shared" si="11"/>
        <v>14623.688</v>
      </c>
      <c r="E26" s="532">
        <f t="shared" si="11"/>
        <v>14221.947</v>
      </c>
      <c r="F26" s="532">
        <f t="shared" si="11"/>
        <v>31968.258999999998</v>
      </c>
      <c r="G26" s="532">
        <f t="shared" si="11"/>
        <v>5449.6790000000001</v>
      </c>
      <c r="H26" s="532">
        <f t="shared" si="11"/>
        <v>9439.6400000000012</v>
      </c>
      <c r="I26" s="674">
        <f t="shared" si="1"/>
        <v>115390.08200000001</v>
      </c>
      <c r="J26" s="532">
        <f t="shared" ref="J26:O26" si="12">SUM(J27:J29)</f>
        <v>13185.483</v>
      </c>
      <c r="K26" s="532">
        <f t="shared" si="12"/>
        <v>6101.3669999999993</v>
      </c>
      <c r="L26" s="532">
        <f t="shared" si="12"/>
        <v>2862.7919999999999</v>
      </c>
      <c r="M26" s="532">
        <f t="shared" si="12"/>
        <v>8928.6209999999992</v>
      </c>
      <c r="N26" s="532">
        <f t="shared" si="12"/>
        <v>4606.643</v>
      </c>
      <c r="O26" s="532">
        <f t="shared" si="12"/>
        <v>6360.2509999999984</v>
      </c>
      <c r="P26" s="783">
        <f t="shared" si="3"/>
        <v>42045.156999999999</v>
      </c>
      <c r="Q26" s="801">
        <f t="shared" si="6"/>
        <v>157435.239</v>
      </c>
      <c r="R26" s="538">
        <f>SUM(R27:R29)</f>
        <v>0</v>
      </c>
      <c r="S26" s="637"/>
    </row>
    <row r="27" spans="1:23" ht="13.5" thickBot="1">
      <c r="A27" s="638" t="s">
        <v>1588</v>
      </c>
      <c r="B27" s="530" t="s">
        <v>345</v>
      </c>
      <c r="C27" s="529">
        <v>39671.868999999999</v>
      </c>
      <c r="D27" s="529">
        <v>14623.688</v>
      </c>
      <c r="E27" s="529">
        <v>14221.947</v>
      </c>
      <c r="F27" s="529">
        <v>30055.625</v>
      </c>
      <c r="G27" s="529">
        <v>5449.6790000000001</v>
      </c>
      <c r="H27" s="1564">
        <v>9439.6400000000012</v>
      </c>
      <c r="I27" s="674">
        <f t="shared" si="1"/>
        <v>113462.448</v>
      </c>
      <c r="J27" s="529">
        <v>13185.483</v>
      </c>
      <c r="K27" s="529">
        <v>6101.3669999999993</v>
      </c>
      <c r="L27" s="529">
        <v>2862.7919999999999</v>
      </c>
      <c r="M27" s="529">
        <v>8928.6209999999992</v>
      </c>
      <c r="N27" s="529">
        <v>4606.643</v>
      </c>
      <c r="O27" s="529">
        <v>6360.2509999999984</v>
      </c>
      <c r="P27" s="783">
        <v>6360.2509999999984</v>
      </c>
      <c r="Q27" s="801">
        <f t="shared" si="6"/>
        <v>119822.69900000001</v>
      </c>
      <c r="R27" s="786"/>
      <c r="S27" s="637"/>
    </row>
    <row r="28" spans="1:23" ht="13.5" thickBot="1">
      <c r="A28" s="638" t="s">
        <v>1589</v>
      </c>
      <c r="B28" s="530" t="s">
        <v>346</v>
      </c>
      <c r="C28" s="529">
        <v>15</v>
      </c>
      <c r="D28" s="529">
        <v>0</v>
      </c>
      <c r="E28" s="529">
        <v>0</v>
      </c>
      <c r="F28" s="529">
        <v>1912.634</v>
      </c>
      <c r="G28" s="529">
        <v>0</v>
      </c>
      <c r="H28" s="529">
        <v>0</v>
      </c>
      <c r="I28" s="674">
        <f t="shared" si="1"/>
        <v>1927.634</v>
      </c>
      <c r="J28" s="529">
        <v>0</v>
      </c>
      <c r="K28" s="529">
        <v>0</v>
      </c>
      <c r="L28" s="529">
        <v>0</v>
      </c>
      <c r="M28" s="529">
        <v>0</v>
      </c>
      <c r="N28" s="529">
        <v>0</v>
      </c>
      <c r="O28" s="529">
        <v>0</v>
      </c>
      <c r="P28" s="783">
        <v>0</v>
      </c>
      <c r="Q28" s="801">
        <f t="shared" si="6"/>
        <v>1927.634</v>
      </c>
      <c r="R28" s="534"/>
      <c r="S28" s="637"/>
    </row>
    <row r="29" spans="1:23" ht="13.5" thickBot="1">
      <c r="A29" s="638" t="s">
        <v>1590</v>
      </c>
      <c r="B29" s="530" t="s">
        <v>347</v>
      </c>
      <c r="C29" s="529">
        <v>0</v>
      </c>
      <c r="D29" s="529">
        <v>0</v>
      </c>
      <c r="E29" s="529">
        <v>0</v>
      </c>
      <c r="F29" s="529">
        <v>0</v>
      </c>
      <c r="G29" s="529">
        <v>0</v>
      </c>
      <c r="H29" s="529">
        <v>0</v>
      </c>
      <c r="I29" s="674">
        <f t="shared" si="1"/>
        <v>0</v>
      </c>
      <c r="J29" s="529">
        <v>0</v>
      </c>
      <c r="K29" s="529">
        <v>0</v>
      </c>
      <c r="L29" s="529">
        <v>0</v>
      </c>
      <c r="M29" s="529">
        <v>0</v>
      </c>
      <c r="N29" s="529">
        <v>0</v>
      </c>
      <c r="O29" s="529">
        <v>0</v>
      </c>
      <c r="P29" s="783">
        <v>0</v>
      </c>
      <c r="Q29" s="801">
        <f t="shared" si="6"/>
        <v>0</v>
      </c>
      <c r="R29" s="534"/>
      <c r="S29" s="637"/>
    </row>
    <row r="30" spans="1:23" ht="13.5" thickBot="1">
      <c r="A30" s="552" t="s">
        <v>348</v>
      </c>
      <c r="B30" s="537" t="s">
        <v>349</v>
      </c>
      <c r="C30" s="2191">
        <f t="shared" ref="C30:H30" si="13">+C31+C36+C39+C40</f>
        <v>790025.10399999993</v>
      </c>
      <c r="D30" s="2191">
        <f t="shared" si="13"/>
        <v>764287.478</v>
      </c>
      <c r="E30" s="2191">
        <f t="shared" si="13"/>
        <v>831155.76399999997</v>
      </c>
      <c r="F30" s="2191">
        <f t="shared" si="13"/>
        <v>884977.46600000001</v>
      </c>
      <c r="G30" s="2191">
        <f t="shared" si="13"/>
        <v>753987.45899999992</v>
      </c>
      <c r="H30" s="2191">
        <f t="shared" si="13"/>
        <v>969491.78099999996</v>
      </c>
      <c r="I30" s="674">
        <f t="shared" si="1"/>
        <v>4993925.0519999992</v>
      </c>
      <c r="J30" s="2191">
        <f t="shared" ref="J30:O30" si="14">+J31+J36+J39+J40</f>
        <v>1159795.321</v>
      </c>
      <c r="K30" s="2191">
        <f t="shared" si="14"/>
        <v>953240.42499999993</v>
      </c>
      <c r="L30" s="2191">
        <f t="shared" si="14"/>
        <v>900791.36600000004</v>
      </c>
      <c r="M30" s="2191">
        <f t="shared" si="14"/>
        <v>978404.9439999999</v>
      </c>
      <c r="N30" s="2191">
        <f t="shared" si="14"/>
        <v>934406.01299999992</v>
      </c>
      <c r="O30" s="2191">
        <f t="shared" si="14"/>
        <v>809873.26100000017</v>
      </c>
      <c r="P30" s="783">
        <f t="shared" ref="P30:P76" si="15">SUM(J30:O30)</f>
        <v>5736511.3300000001</v>
      </c>
      <c r="Q30" s="801">
        <f t="shared" si="6"/>
        <v>10730436.381999999</v>
      </c>
      <c r="R30" s="538">
        <f>+R31+R36+R40</f>
        <v>0</v>
      </c>
      <c r="S30" s="635"/>
    </row>
    <row r="31" spans="1:23" ht="13.5" thickBot="1">
      <c r="A31" s="636" t="s">
        <v>350</v>
      </c>
      <c r="B31" s="528" t="s">
        <v>351</v>
      </c>
      <c r="C31" s="2191">
        <f t="shared" ref="C31:H31" si="16">SUM(C32:C35)</f>
        <v>790025.10399999993</v>
      </c>
      <c r="D31" s="2191">
        <f t="shared" si="16"/>
        <v>764287.478</v>
      </c>
      <c r="E31" s="2191">
        <f t="shared" si="16"/>
        <v>830990.55900000001</v>
      </c>
      <c r="F31" s="2191">
        <f t="shared" si="16"/>
        <v>884977.46600000001</v>
      </c>
      <c r="G31" s="2191">
        <f t="shared" si="16"/>
        <v>753987.45899999992</v>
      </c>
      <c r="H31" s="2191">
        <f t="shared" si="16"/>
        <v>969491.78099999996</v>
      </c>
      <c r="I31" s="674">
        <f t="shared" si="1"/>
        <v>4993759.8469999991</v>
      </c>
      <c r="J31" s="532">
        <f t="shared" ref="J31:O31" si="17">SUM(J32:J35)</f>
        <v>1159795.321</v>
      </c>
      <c r="K31" s="529">
        <f t="shared" si="17"/>
        <v>953240.42499999993</v>
      </c>
      <c r="L31" s="529">
        <f t="shared" si="17"/>
        <v>900791.36600000004</v>
      </c>
      <c r="M31" s="529">
        <f t="shared" si="17"/>
        <v>978404.9439999999</v>
      </c>
      <c r="N31" s="529">
        <f t="shared" si="17"/>
        <v>934406.01299999992</v>
      </c>
      <c r="O31" s="529">
        <f t="shared" si="17"/>
        <v>809795.34100000013</v>
      </c>
      <c r="P31" s="783">
        <f t="shared" si="15"/>
        <v>5736433.4100000001</v>
      </c>
      <c r="Q31" s="801">
        <f t="shared" si="6"/>
        <v>10730193.256999999</v>
      </c>
      <c r="R31" s="533">
        <f>SUM(R32:R35)</f>
        <v>0</v>
      </c>
      <c r="S31" s="637"/>
    </row>
    <row r="32" spans="1:23" ht="13.5" thickBot="1">
      <c r="A32" s="638" t="s">
        <v>352</v>
      </c>
      <c r="B32" s="530" t="s">
        <v>353</v>
      </c>
      <c r="C32" s="529">
        <v>0</v>
      </c>
      <c r="D32" s="529">
        <v>0</v>
      </c>
      <c r="E32" s="529">
        <v>0</v>
      </c>
      <c r="F32" s="529">
        <v>0</v>
      </c>
      <c r="G32" s="529">
        <v>0</v>
      </c>
      <c r="H32" s="529">
        <v>0</v>
      </c>
      <c r="I32" s="674">
        <f t="shared" si="1"/>
        <v>0</v>
      </c>
      <c r="J32" s="529">
        <v>0</v>
      </c>
      <c r="K32" s="529">
        <v>0</v>
      </c>
      <c r="L32" s="529">
        <v>0</v>
      </c>
      <c r="M32" s="529">
        <v>0</v>
      </c>
      <c r="N32" s="529">
        <v>0</v>
      </c>
      <c r="O32" s="529">
        <v>0</v>
      </c>
      <c r="P32" s="783">
        <f t="shared" si="15"/>
        <v>0</v>
      </c>
      <c r="Q32" s="801">
        <f t="shared" si="6"/>
        <v>0</v>
      </c>
      <c r="R32" s="534"/>
      <c r="S32" s="637"/>
    </row>
    <row r="33" spans="1:33" ht="13.5" thickBot="1">
      <c r="A33" s="638" t="s">
        <v>354</v>
      </c>
      <c r="B33" s="530" t="s">
        <v>355</v>
      </c>
      <c r="C33" s="529">
        <v>0</v>
      </c>
      <c r="D33" s="529">
        <v>0</v>
      </c>
      <c r="E33" s="529">
        <v>0</v>
      </c>
      <c r="F33" s="529">
        <v>0</v>
      </c>
      <c r="G33" s="529">
        <v>0</v>
      </c>
      <c r="H33" s="529">
        <v>0</v>
      </c>
      <c r="I33" s="674">
        <f t="shared" si="1"/>
        <v>0</v>
      </c>
      <c r="J33" s="529">
        <v>715.41</v>
      </c>
      <c r="K33" s="529">
        <v>0</v>
      </c>
      <c r="L33" s="529">
        <v>0</v>
      </c>
      <c r="M33" s="529">
        <v>0</v>
      </c>
      <c r="N33" s="529">
        <v>480.75</v>
      </c>
      <c r="O33" s="529">
        <v>0</v>
      </c>
      <c r="P33" s="783">
        <f t="shared" si="15"/>
        <v>1196.1599999999999</v>
      </c>
      <c r="Q33" s="801">
        <f t="shared" si="6"/>
        <v>1196.1599999999999</v>
      </c>
      <c r="R33" s="534"/>
      <c r="S33" s="637"/>
    </row>
    <row r="34" spans="1:33" ht="13.5" thickBot="1">
      <c r="A34" s="638"/>
      <c r="B34" s="530" t="s">
        <v>356</v>
      </c>
      <c r="C34" s="529">
        <v>0</v>
      </c>
      <c r="D34" s="529">
        <v>0</v>
      </c>
      <c r="E34" s="529">
        <v>0</v>
      </c>
      <c r="F34" s="529">
        <v>0</v>
      </c>
      <c r="G34" s="529">
        <v>0</v>
      </c>
      <c r="H34" s="529">
        <v>0</v>
      </c>
      <c r="I34" s="674">
        <f t="shared" si="1"/>
        <v>0</v>
      </c>
      <c r="J34" s="529">
        <v>0</v>
      </c>
      <c r="K34" s="529">
        <v>0</v>
      </c>
      <c r="L34" s="529">
        <v>0</v>
      </c>
      <c r="M34" s="529">
        <v>0</v>
      </c>
      <c r="N34" s="529">
        <v>0</v>
      </c>
      <c r="O34" s="529">
        <v>0</v>
      </c>
      <c r="P34" s="783">
        <f t="shared" si="15"/>
        <v>0</v>
      </c>
      <c r="Q34" s="801">
        <f t="shared" si="6"/>
        <v>0</v>
      </c>
      <c r="R34" s="534"/>
      <c r="S34" s="637"/>
    </row>
    <row r="35" spans="1:33" ht="13.5" thickBot="1">
      <c r="A35" s="638" t="s">
        <v>1591</v>
      </c>
      <c r="B35" s="530" t="s">
        <v>357</v>
      </c>
      <c r="C35" s="529">
        <v>790025.10399999993</v>
      </c>
      <c r="D35" s="529">
        <v>764287.478</v>
      </c>
      <c r="E35" s="529">
        <v>830990.55900000001</v>
      </c>
      <c r="F35" s="529">
        <v>884977.46600000001</v>
      </c>
      <c r="G35" s="529">
        <v>753987.45899999992</v>
      </c>
      <c r="H35" s="529">
        <v>969491.78099999996</v>
      </c>
      <c r="I35" s="674">
        <f t="shared" si="1"/>
        <v>4993759.8469999991</v>
      </c>
      <c r="J35" s="529">
        <v>1159079.9110000001</v>
      </c>
      <c r="K35" s="529">
        <v>953240.42499999993</v>
      </c>
      <c r="L35" s="529">
        <v>900791.36600000004</v>
      </c>
      <c r="M35" s="529">
        <v>978404.9439999999</v>
      </c>
      <c r="N35" s="529">
        <v>933925.26299999992</v>
      </c>
      <c r="O35" s="529">
        <v>809795.34100000013</v>
      </c>
      <c r="P35" s="783">
        <f t="shared" si="15"/>
        <v>5735237.25</v>
      </c>
      <c r="Q35" s="801">
        <f t="shared" si="6"/>
        <v>10728997.096999999</v>
      </c>
      <c r="R35" s="534"/>
      <c r="S35" s="637"/>
    </row>
    <row r="36" spans="1:33" ht="13.5" thickBot="1">
      <c r="A36" s="638" t="s">
        <v>1592</v>
      </c>
      <c r="B36" s="528" t="s">
        <v>358</v>
      </c>
      <c r="C36" s="529">
        <f t="shared" ref="C36:H36" si="18">SUM(C37:C38)</f>
        <v>0</v>
      </c>
      <c r="D36" s="529">
        <f t="shared" si="18"/>
        <v>0</v>
      </c>
      <c r="E36" s="529">
        <f t="shared" si="18"/>
        <v>0</v>
      </c>
      <c r="F36" s="529">
        <f t="shared" si="18"/>
        <v>0</v>
      </c>
      <c r="G36" s="529">
        <f t="shared" si="18"/>
        <v>0</v>
      </c>
      <c r="H36" s="529">
        <f t="shared" si="18"/>
        <v>0</v>
      </c>
      <c r="I36" s="674">
        <f t="shared" si="1"/>
        <v>0</v>
      </c>
      <c r="J36" s="529">
        <f t="shared" ref="J36:O36" si="19">SUM(J37:J38)</f>
        <v>0</v>
      </c>
      <c r="K36" s="529">
        <f t="shared" si="19"/>
        <v>0</v>
      </c>
      <c r="L36" s="529">
        <f t="shared" si="19"/>
        <v>0</v>
      </c>
      <c r="M36" s="529">
        <f t="shared" si="19"/>
        <v>0</v>
      </c>
      <c r="N36" s="529">
        <f t="shared" si="19"/>
        <v>0</v>
      </c>
      <c r="O36" s="529">
        <f t="shared" si="19"/>
        <v>0</v>
      </c>
      <c r="P36" s="783">
        <f t="shared" si="15"/>
        <v>0</v>
      </c>
      <c r="Q36" s="801">
        <f t="shared" si="6"/>
        <v>0</v>
      </c>
      <c r="R36" s="533">
        <f>SUM(R37:R38)</f>
        <v>0</v>
      </c>
      <c r="S36" s="637"/>
    </row>
    <row r="37" spans="1:33" ht="13.5" thickBot="1">
      <c r="A37" s="638"/>
      <c r="B37" s="530" t="s">
        <v>359</v>
      </c>
      <c r="C37" s="529">
        <v>0</v>
      </c>
      <c r="D37" s="529">
        <v>0</v>
      </c>
      <c r="E37" s="529">
        <v>0</v>
      </c>
      <c r="F37" s="529">
        <v>0</v>
      </c>
      <c r="G37" s="529">
        <v>0</v>
      </c>
      <c r="H37" s="529">
        <v>0</v>
      </c>
      <c r="I37" s="674">
        <f t="shared" si="1"/>
        <v>0</v>
      </c>
      <c r="J37" s="529">
        <v>0</v>
      </c>
      <c r="K37" s="529">
        <v>0</v>
      </c>
      <c r="L37" s="529">
        <v>0</v>
      </c>
      <c r="M37" s="529">
        <v>0</v>
      </c>
      <c r="N37" s="529">
        <v>0</v>
      </c>
      <c r="O37" s="529">
        <v>0</v>
      </c>
      <c r="P37" s="783">
        <f t="shared" si="15"/>
        <v>0</v>
      </c>
      <c r="Q37" s="801">
        <f t="shared" si="6"/>
        <v>0</v>
      </c>
      <c r="R37" s="531"/>
      <c r="S37" s="637"/>
    </row>
    <row r="38" spans="1:33" ht="15" thickBot="1">
      <c r="A38" s="638"/>
      <c r="B38" s="530" t="s">
        <v>360</v>
      </c>
      <c r="C38" s="529">
        <v>0</v>
      </c>
      <c r="D38" s="529">
        <v>0</v>
      </c>
      <c r="E38" s="529">
        <v>0</v>
      </c>
      <c r="F38" s="529">
        <v>0</v>
      </c>
      <c r="G38" s="529">
        <v>0</v>
      </c>
      <c r="H38" s="529">
        <v>0</v>
      </c>
      <c r="I38" s="674">
        <f t="shared" si="1"/>
        <v>0</v>
      </c>
      <c r="J38" s="529">
        <v>0</v>
      </c>
      <c r="K38" s="529">
        <v>0</v>
      </c>
      <c r="L38" s="529">
        <v>0</v>
      </c>
      <c r="M38" s="529">
        <v>0</v>
      </c>
      <c r="N38" s="529">
        <v>0</v>
      </c>
      <c r="O38" s="529">
        <v>0</v>
      </c>
      <c r="P38" s="783">
        <f t="shared" si="15"/>
        <v>0</v>
      </c>
      <c r="Q38" s="801">
        <f t="shared" si="6"/>
        <v>0</v>
      </c>
      <c r="R38" s="533"/>
      <c r="S38" s="637"/>
      <c r="AF38" s="31"/>
      <c r="AG38" s="32"/>
    </row>
    <row r="39" spans="1:33" ht="13.5" thickBot="1">
      <c r="A39" s="638" t="s">
        <v>1593</v>
      </c>
      <c r="B39" s="1595" t="s">
        <v>361</v>
      </c>
      <c r="C39" s="529">
        <v>0</v>
      </c>
      <c r="D39" s="529">
        <v>0</v>
      </c>
      <c r="E39" s="529">
        <v>0</v>
      </c>
      <c r="F39" s="529">
        <v>0</v>
      </c>
      <c r="G39" s="529">
        <v>0</v>
      </c>
      <c r="H39" s="529">
        <v>0</v>
      </c>
      <c r="I39" s="674">
        <f t="shared" si="1"/>
        <v>0</v>
      </c>
      <c r="J39" s="529">
        <v>0</v>
      </c>
      <c r="K39" s="529">
        <v>0</v>
      </c>
      <c r="L39" s="529">
        <v>0</v>
      </c>
      <c r="M39" s="529">
        <v>0</v>
      </c>
      <c r="N39" s="529">
        <v>0</v>
      </c>
      <c r="O39" s="529">
        <v>0</v>
      </c>
      <c r="P39" s="783">
        <f t="shared" si="15"/>
        <v>0</v>
      </c>
      <c r="Q39" s="801">
        <f t="shared" si="6"/>
        <v>0</v>
      </c>
      <c r="R39" s="534"/>
      <c r="S39" s="637"/>
    </row>
    <row r="40" spans="1:33" ht="13.5" thickBot="1">
      <c r="A40" s="638" t="s">
        <v>1594</v>
      </c>
      <c r="B40" s="528" t="s">
        <v>362</v>
      </c>
      <c r="C40" s="529">
        <v>0</v>
      </c>
      <c r="D40" s="529">
        <v>0</v>
      </c>
      <c r="E40" s="529">
        <v>165.20500000000001</v>
      </c>
      <c r="F40" s="529">
        <v>0</v>
      </c>
      <c r="G40" s="529">
        <v>0</v>
      </c>
      <c r="H40" s="529">
        <v>0</v>
      </c>
      <c r="I40" s="674">
        <f t="shared" si="1"/>
        <v>165.20500000000001</v>
      </c>
      <c r="J40" s="529">
        <v>0</v>
      </c>
      <c r="K40" s="529">
        <v>0</v>
      </c>
      <c r="L40" s="529">
        <v>0</v>
      </c>
      <c r="M40" s="529">
        <v>0</v>
      </c>
      <c r="N40" s="529">
        <v>0</v>
      </c>
      <c r="O40" s="529">
        <v>77.92</v>
      </c>
      <c r="P40" s="783">
        <f t="shared" si="15"/>
        <v>77.92</v>
      </c>
      <c r="Q40" s="801">
        <f t="shared" si="6"/>
        <v>243.125</v>
      </c>
      <c r="R40" s="539"/>
      <c r="S40" s="637"/>
    </row>
    <row r="41" spans="1:33" ht="13.5" thickBot="1">
      <c r="A41" s="552" t="s">
        <v>348</v>
      </c>
      <c r="B41" s="537" t="s">
        <v>365</v>
      </c>
      <c r="C41" s="532">
        <f t="shared" ref="C41:H41" si="20">SUM(C42:C45)</f>
        <v>0</v>
      </c>
      <c r="D41" s="532">
        <f t="shared" si="20"/>
        <v>0</v>
      </c>
      <c r="E41" s="532">
        <f t="shared" si="20"/>
        <v>329.64</v>
      </c>
      <c r="F41" s="532">
        <f t="shared" si="20"/>
        <v>252.87</v>
      </c>
      <c r="G41" s="532">
        <f t="shared" si="20"/>
        <v>0</v>
      </c>
      <c r="H41" s="532">
        <f t="shared" si="20"/>
        <v>0</v>
      </c>
      <c r="I41" s="674">
        <f t="shared" si="1"/>
        <v>582.51</v>
      </c>
      <c r="J41" s="532">
        <f t="shared" ref="J41:O41" si="21">SUM(J42:J45)</f>
        <v>0</v>
      </c>
      <c r="K41" s="532">
        <f t="shared" si="21"/>
        <v>0</v>
      </c>
      <c r="L41" s="532">
        <f t="shared" si="21"/>
        <v>0</v>
      </c>
      <c r="M41" s="532">
        <f t="shared" si="21"/>
        <v>631.16999999999996</v>
      </c>
      <c r="N41" s="532">
        <f t="shared" si="21"/>
        <v>0</v>
      </c>
      <c r="O41" s="532">
        <f t="shared" si="21"/>
        <v>0</v>
      </c>
      <c r="P41" s="783">
        <f t="shared" si="15"/>
        <v>631.16999999999996</v>
      </c>
      <c r="Q41" s="801">
        <f t="shared" si="6"/>
        <v>1213.6799999999998</v>
      </c>
      <c r="R41" s="538">
        <f>SUM(R42:R45)</f>
        <v>0</v>
      </c>
      <c r="S41" s="635"/>
    </row>
    <row r="42" spans="1:33" ht="13.5" thickBot="1">
      <c r="A42" s="638" t="s">
        <v>1595</v>
      </c>
      <c r="B42" s="530" t="s">
        <v>366</v>
      </c>
      <c r="C42" s="529">
        <v>0</v>
      </c>
      <c r="D42" s="529">
        <v>0</v>
      </c>
      <c r="E42" s="529">
        <v>0</v>
      </c>
      <c r="F42" s="529">
        <v>0</v>
      </c>
      <c r="G42" s="529">
        <v>0</v>
      </c>
      <c r="H42" s="529">
        <v>0</v>
      </c>
      <c r="I42" s="674">
        <f t="shared" si="1"/>
        <v>0</v>
      </c>
      <c r="J42" s="529">
        <v>0</v>
      </c>
      <c r="K42" s="529">
        <v>0</v>
      </c>
      <c r="L42" s="529">
        <v>0</v>
      </c>
      <c r="M42" s="529">
        <v>0</v>
      </c>
      <c r="N42" s="529">
        <v>0</v>
      </c>
      <c r="O42" s="529">
        <v>0</v>
      </c>
      <c r="P42" s="783">
        <f t="shared" si="15"/>
        <v>0</v>
      </c>
      <c r="Q42" s="801">
        <f t="shared" si="6"/>
        <v>0</v>
      </c>
      <c r="R42" s="535"/>
      <c r="S42" s="637"/>
    </row>
    <row r="43" spans="1:33" ht="13.5" thickBot="1">
      <c r="A43" s="638" t="s">
        <v>1596</v>
      </c>
      <c r="B43" s="530" t="s">
        <v>367</v>
      </c>
      <c r="C43" s="529">
        <v>0</v>
      </c>
      <c r="D43" s="529">
        <v>0</v>
      </c>
      <c r="E43" s="529">
        <v>329.64</v>
      </c>
      <c r="F43" s="529">
        <v>252.87</v>
      </c>
      <c r="G43" s="529">
        <v>0</v>
      </c>
      <c r="H43" s="529">
        <v>0</v>
      </c>
      <c r="I43" s="674">
        <f>SUM(C43:H43)</f>
        <v>582.51</v>
      </c>
      <c r="J43" s="529">
        <v>0</v>
      </c>
      <c r="K43" s="529">
        <v>0</v>
      </c>
      <c r="L43" s="529">
        <v>0</v>
      </c>
      <c r="M43" s="529">
        <v>631.16999999999996</v>
      </c>
      <c r="N43" s="529">
        <v>0</v>
      </c>
      <c r="O43" s="529">
        <v>0</v>
      </c>
      <c r="P43" s="783">
        <f>SUM(J43:O43)</f>
        <v>631.16999999999996</v>
      </c>
      <c r="Q43" s="801">
        <f>+I43+P43</f>
        <v>1213.6799999999998</v>
      </c>
      <c r="R43" s="535"/>
      <c r="S43" s="637"/>
    </row>
    <row r="44" spans="1:33" ht="13.5" thickBot="1">
      <c r="A44" s="639"/>
      <c r="B44" s="530" t="s">
        <v>1558</v>
      </c>
      <c r="C44" s="529">
        <v>0</v>
      </c>
      <c r="D44" s="529">
        <v>0</v>
      </c>
      <c r="E44" s="529">
        <v>0</v>
      </c>
      <c r="F44" s="529">
        <v>0</v>
      </c>
      <c r="G44" s="529">
        <v>0</v>
      </c>
      <c r="H44" s="529">
        <v>0</v>
      </c>
      <c r="I44" s="674">
        <f t="shared" si="1"/>
        <v>0</v>
      </c>
      <c r="J44" s="529">
        <v>0</v>
      </c>
      <c r="K44" s="529">
        <v>0</v>
      </c>
      <c r="L44" s="529">
        <v>0</v>
      </c>
      <c r="M44" s="529">
        <v>0</v>
      </c>
      <c r="N44" s="529">
        <v>0</v>
      </c>
      <c r="O44" s="529">
        <v>0</v>
      </c>
      <c r="P44" s="783">
        <f t="shared" si="15"/>
        <v>0</v>
      </c>
      <c r="Q44" s="801">
        <f t="shared" si="6"/>
        <v>0</v>
      </c>
      <c r="R44" s="535"/>
      <c r="S44" s="637"/>
    </row>
    <row r="45" spans="1:33" ht="13.5" thickBot="1">
      <c r="A45" s="638"/>
      <c r="B45" s="530" t="s">
        <v>1559</v>
      </c>
      <c r="C45" s="529">
        <v>0</v>
      </c>
      <c r="D45" s="529">
        <v>0</v>
      </c>
      <c r="E45" s="529">
        <v>0</v>
      </c>
      <c r="F45" s="529">
        <v>0</v>
      </c>
      <c r="G45" s="529">
        <v>0</v>
      </c>
      <c r="H45" s="529">
        <v>0</v>
      </c>
      <c r="I45" s="674">
        <f t="shared" si="1"/>
        <v>0</v>
      </c>
      <c r="J45" s="529">
        <v>0</v>
      </c>
      <c r="K45" s="529">
        <v>0</v>
      </c>
      <c r="L45" s="529">
        <v>0</v>
      </c>
      <c r="M45" s="529">
        <v>0</v>
      </c>
      <c r="N45" s="529">
        <v>0</v>
      </c>
      <c r="O45" s="529">
        <v>0</v>
      </c>
      <c r="P45" s="783">
        <f t="shared" si="15"/>
        <v>0</v>
      </c>
      <c r="Q45" s="801">
        <f t="shared" si="6"/>
        <v>0</v>
      </c>
      <c r="R45" s="535"/>
      <c r="S45" s="637"/>
    </row>
    <row r="46" spans="1:33" ht="13.5" thickBot="1">
      <c r="A46" s="552" t="s">
        <v>368</v>
      </c>
      <c r="B46" s="537" t="s">
        <v>369</v>
      </c>
      <c r="C46" s="532">
        <f t="shared" ref="C46:L46" si="22">+C47</f>
        <v>65692.951000000001</v>
      </c>
      <c r="D46" s="532">
        <f>+D47</f>
        <v>288791.40899999999</v>
      </c>
      <c r="E46" s="532">
        <f>+E47</f>
        <v>73323.263000000006</v>
      </c>
      <c r="F46" s="532">
        <f t="shared" si="22"/>
        <v>89304.963999999993</v>
      </c>
      <c r="G46" s="532">
        <f t="shared" si="22"/>
        <v>84947.137999999992</v>
      </c>
      <c r="H46" s="532">
        <f t="shared" si="22"/>
        <v>295436.51499999996</v>
      </c>
      <c r="I46" s="674">
        <f t="shared" si="1"/>
        <v>897496.24</v>
      </c>
      <c r="J46" s="532">
        <f t="shared" si="22"/>
        <v>104083.337</v>
      </c>
      <c r="K46" s="532">
        <f t="shared" si="22"/>
        <v>110140.84823999999</v>
      </c>
      <c r="L46" s="532">
        <f t="shared" si="22"/>
        <v>146556.158</v>
      </c>
      <c r="M46" s="532">
        <f>+M47</f>
        <v>133840.75699999998</v>
      </c>
      <c r="N46" s="532">
        <f>+N47</f>
        <v>130656.82399999999</v>
      </c>
      <c r="O46" s="532">
        <f>O47</f>
        <v>135001.14899999998</v>
      </c>
      <c r="P46" s="783">
        <f t="shared" si="15"/>
        <v>760279.07323999994</v>
      </c>
      <c r="Q46" s="801">
        <f t="shared" si="6"/>
        <v>1657775.31324</v>
      </c>
      <c r="R46" s="538">
        <f>+R47</f>
        <v>0</v>
      </c>
      <c r="S46" s="635"/>
    </row>
    <row r="47" spans="1:33" ht="13.5" thickBot="1">
      <c r="A47" s="636" t="s">
        <v>370</v>
      </c>
      <c r="B47" s="528" t="s">
        <v>371</v>
      </c>
      <c r="C47" s="532">
        <f>C48+C49+C50+C51+C52+C53+C54+C55+C56+C57</f>
        <v>65692.951000000001</v>
      </c>
      <c r="D47" s="532">
        <f>SUM(D48:D57)</f>
        <v>288791.40899999999</v>
      </c>
      <c r="E47" s="532">
        <f>SUM(E48:E57)</f>
        <v>73323.263000000006</v>
      </c>
      <c r="F47" s="532">
        <f>SUM(F48:F57)</f>
        <v>89304.963999999993</v>
      </c>
      <c r="G47" s="532">
        <f>SUM(G48:G57)</f>
        <v>84947.137999999992</v>
      </c>
      <c r="H47" s="529">
        <f>H48+H49+H50+H51+H52+H53+H54+H55+H56+H57</f>
        <v>295436.51499999996</v>
      </c>
      <c r="I47" s="674">
        <f t="shared" si="1"/>
        <v>897496.24</v>
      </c>
      <c r="J47" s="532">
        <f t="shared" ref="J47:O47" si="23">SUM(J48:J57)</f>
        <v>104083.337</v>
      </c>
      <c r="K47" s="532">
        <f t="shared" si="23"/>
        <v>110140.84823999999</v>
      </c>
      <c r="L47" s="532">
        <f t="shared" si="23"/>
        <v>146556.158</v>
      </c>
      <c r="M47" s="532">
        <f t="shared" si="23"/>
        <v>133840.75699999998</v>
      </c>
      <c r="N47" s="532">
        <f t="shared" si="23"/>
        <v>130656.82399999999</v>
      </c>
      <c r="O47" s="532">
        <f t="shared" si="23"/>
        <v>135001.14899999998</v>
      </c>
      <c r="P47" s="783">
        <f t="shared" si="15"/>
        <v>760279.07323999994</v>
      </c>
      <c r="Q47" s="801">
        <f t="shared" si="6"/>
        <v>1657775.31324</v>
      </c>
      <c r="R47" s="535"/>
      <c r="S47" s="637"/>
    </row>
    <row r="48" spans="1:33" ht="13.5" thickBot="1">
      <c r="A48" s="638" t="s">
        <v>1592</v>
      </c>
      <c r="B48" s="530" t="s">
        <v>372</v>
      </c>
      <c r="C48" s="529">
        <v>4197.7610000000004</v>
      </c>
      <c r="D48" s="529">
        <v>8907.5380000000005</v>
      </c>
      <c r="E48" s="529">
        <v>6423.8969999999999</v>
      </c>
      <c r="F48" s="529">
        <v>7680.4040000000005</v>
      </c>
      <c r="G48" s="529">
        <v>581</v>
      </c>
      <c r="H48" s="529">
        <v>6859.0730000000003</v>
      </c>
      <c r="I48" s="674">
        <f t="shared" si="1"/>
        <v>34649.672999999995</v>
      </c>
      <c r="J48" s="529">
        <v>9318.7109999999993</v>
      </c>
      <c r="K48" s="529">
        <v>8937.23</v>
      </c>
      <c r="L48" s="529">
        <v>11786.793</v>
      </c>
      <c r="M48" s="529">
        <v>11358.724</v>
      </c>
      <c r="N48" s="529">
        <v>6233.9259999999995</v>
      </c>
      <c r="O48" s="529">
        <v>5724.277</v>
      </c>
      <c r="P48" s="783">
        <f t="shared" si="15"/>
        <v>53359.661</v>
      </c>
      <c r="Q48" s="801">
        <f t="shared" si="6"/>
        <v>88009.334000000003</v>
      </c>
      <c r="R48" s="535"/>
      <c r="S48" s="637"/>
    </row>
    <row r="49" spans="1:23" ht="13.5" thickBot="1">
      <c r="A49" s="638" t="s">
        <v>1597</v>
      </c>
      <c r="B49" s="530" t="s">
        <v>373</v>
      </c>
      <c r="C49" s="529">
        <v>3497</v>
      </c>
      <c r="D49" s="529">
        <v>2210</v>
      </c>
      <c r="E49" s="529">
        <v>3744</v>
      </c>
      <c r="F49" s="891">
        <v>12694.184999999999</v>
      </c>
      <c r="G49" s="529">
        <v>2519.5</v>
      </c>
      <c r="H49" s="529">
        <v>5269</v>
      </c>
      <c r="I49" s="674">
        <f t="shared" si="1"/>
        <v>29933.684999999998</v>
      </c>
      <c r="J49" s="529">
        <v>10009</v>
      </c>
      <c r="K49" s="529">
        <v>19271</v>
      </c>
      <c r="L49" s="529">
        <v>12830</v>
      </c>
      <c r="M49" s="529">
        <v>8592.5</v>
      </c>
      <c r="N49" s="529">
        <v>6085</v>
      </c>
      <c r="O49" s="529">
        <v>23788.666000000001</v>
      </c>
      <c r="P49" s="783">
        <f t="shared" si="15"/>
        <v>80576.165999999997</v>
      </c>
      <c r="Q49" s="801">
        <f t="shared" si="6"/>
        <v>110509.851</v>
      </c>
      <c r="R49" s="535"/>
      <c r="S49" s="637"/>
    </row>
    <row r="50" spans="1:23" ht="13.5" thickBot="1">
      <c r="A50" s="638" t="s">
        <v>1598</v>
      </c>
      <c r="B50" s="530" t="s">
        <v>374</v>
      </c>
      <c r="C50" s="529">
        <v>4184</v>
      </c>
      <c r="D50" s="529">
        <v>5196</v>
      </c>
      <c r="E50" s="529">
        <v>5077</v>
      </c>
      <c r="F50" s="529">
        <v>8239</v>
      </c>
      <c r="G50" s="529">
        <v>1582</v>
      </c>
      <c r="H50" s="529">
        <v>5532.5</v>
      </c>
      <c r="I50" s="674">
        <f t="shared" si="1"/>
        <v>29810.5</v>
      </c>
      <c r="J50" s="529">
        <v>12996.5</v>
      </c>
      <c r="K50" s="529">
        <v>10409.5</v>
      </c>
      <c r="L50" s="529">
        <v>17167</v>
      </c>
      <c r="M50" s="529">
        <v>11799.45</v>
      </c>
      <c r="N50" s="529">
        <v>3529.5</v>
      </c>
      <c r="O50" s="529">
        <v>3432</v>
      </c>
      <c r="P50" s="783">
        <f t="shared" si="15"/>
        <v>59333.95</v>
      </c>
      <c r="Q50" s="801">
        <f t="shared" si="6"/>
        <v>89144.45</v>
      </c>
      <c r="R50" s="535"/>
      <c r="S50" s="637"/>
    </row>
    <row r="51" spans="1:23" ht="13.5" thickBot="1">
      <c r="A51" s="638" t="s">
        <v>1591</v>
      </c>
      <c r="B51" s="530" t="s">
        <v>375</v>
      </c>
      <c r="C51" s="529">
        <v>0</v>
      </c>
      <c r="D51" s="529">
        <v>0</v>
      </c>
      <c r="E51" s="529">
        <v>0</v>
      </c>
      <c r="F51" s="529">
        <v>0</v>
      </c>
      <c r="G51" s="529">
        <v>0</v>
      </c>
      <c r="H51" s="529">
        <v>0</v>
      </c>
      <c r="I51" s="674">
        <f t="shared" si="1"/>
        <v>0</v>
      </c>
      <c r="J51" s="529">
        <v>0</v>
      </c>
      <c r="K51" s="529">
        <v>0</v>
      </c>
      <c r="L51" s="529">
        <v>0</v>
      </c>
      <c r="M51" s="529">
        <v>250</v>
      </c>
      <c r="N51" s="529">
        <v>0</v>
      </c>
      <c r="O51" s="529">
        <v>0</v>
      </c>
      <c r="P51" s="783">
        <f t="shared" si="15"/>
        <v>250</v>
      </c>
      <c r="Q51" s="801">
        <f t="shared" si="6"/>
        <v>250</v>
      </c>
      <c r="R51" s="535"/>
      <c r="S51" s="637"/>
    </row>
    <row r="52" spans="1:23" ht="13.5" thickBot="1">
      <c r="A52" s="638" t="s">
        <v>1599</v>
      </c>
      <c r="B52" s="530" t="s">
        <v>376</v>
      </c>
      <c r="C52" s="529">
        <v>35324.822</v>
      </c>
      <c r="D52" s="529">
        <v>243720.984</v>
      </c>
      <c r="E52" s="529">
        <v>23504.639000000003</v>
      </c>
      <c r="F52" s="529">
        <v>16564.047999999999</v>
      </c>
      <c r="G52" s="529">
        <v>58632.567999999992</v>
      </c>
      <c r="H52" s="529">
        <v>244777.50299999997</v>
      </c>
      <c r="I52" s="674">
        <f t="shared" si="1"/>
        <v>622524.56400000001</v>
      </c>
      <c r="J52" s="529">
        <v>38585.161999999997</v>
      </c>
      <c r="K52" s="529">
        <v>27024.537240000001</v>
      </c>
      <c r="L52" s="529">
        <v>86828.707999999984</v>
      </c>
      <c r="M52" s="529">
        <v>61188.309000000008</v>
      </c>
      <c r="N52" s="529">
        <v>100198.59999999998</v>
      </c>
      <c r="O52" s="529">
        <v>91241.536999999982</v>
      </c>
      <c r="P52" s="783">
        <f t="shared" si="15"/>
        <v>405066.85323999997</v>
      </c>
      <c r="Q52" s="801">
        <f t="shared" si="6"/>
        <v>1027591.41724</v>
      </c>
      <c r="R52" s="535"/>
      <c r="S52" s="637"/>
    </row>
    <row r="53" spans="1:23" ht="13.5" thickBot="1">
      <c r="A53" s="638" t="s">
        <v>1600</v>
      </c>
      <c r="B53" s="530" t="s">
        <v>1560</v>
      </c>
      <c r="C53" s="529">
        <v>0</v>
      </c>
      <c r="D53" s="529">
        <v>657.65</v>
      </c>
      <c r="E53" s="529">
        <v>0</v>
      </c>
      <c r="F53" s="529">
        <v>0</v>
      </c>
      <c r="G53" s="529">
        <v>0</v>
      </c>
      <c r="H53" s="529">
        <v>0</v>
      </c>
      <c r="I53" s="674">
        <f t="shared" si="1"/>
        <v>657.65</v>
      </c>
      <c r="J53" s="529">
        <v>0</v>
      </c>
      <c r="K53" s="529">
        <v>0</v>
      </c>
      <c r="L53" s="529">
        <v>0</v>
      </c>
      <c r="M53" s="529">
        <v>8.1310000000000002</v>
      </c>
      <c r="N53" s="529">
        <v>4149.4059999999999</v>
      </c>
      <c r="O53" s="529">
        <v>0</v>
      </c>
      <c r="P53" s="783">
        <f t="shared" si="15"/>
        <v>4157.5370000000003</v>
      </c>
      <c r="Q53" s="801">
        <f t="shared" si="6"/>
        <v>4815.1869999999999</v>
      </c>
      <c r="R53" s="535"/>
      <c r="S53" s="637"/>
    </row>
    <row r="54" spans="1:23" ht="13.5" thickBot="1">
      <c r="A54" s="638" t="s">
        <v>1601</v>
      </c>
      <c r="B54" s="530" t="s">
        <v>377</v>
      </c>
      <c r="C54" s="529">
        <v>5978.8559999999998</v>
      </c>
      <c r="D54" s="529">
        <v>5885.3590000000004</v>
      </c>
      <c r="E54" s="529">
        <v>18133.923999999999</v>
      </c>
      <c r="F54" s="529">
        <v>21216.547999999999</v>
      </c>
      <c r="G54" s="529">
        <v>0</v>
      </c>
      <c r="H54" s="529">
        <v>19432.7</v>
      </c>
      <c r="I54" s="674">
        <f t="shared" si="1"/>
        <v>70647.387000000002</v>
      </c>
      <c r="J54" s="529">
        <v>19218.488000000001</v>
      </c>
      <c r="K54" s="529">
        <v>23431.727999999999</v>
      </c>
      <c r="L54" s="529">
        <v>0</v>
      </c>
      <c r="M54" s="529">
        <v>0</v>
      </c>
      <c r="N54" s="529">
        <v>20.395</v>
      </c>
      <c r="O54" s="529">
        <v>0</v>
      </c>
      <c r="P54" s="783">
        <f t="shared" si="15"/>
        <v>42670.610999999997</v>
      </c>
      <c r="Q54" s="801">
        <f t="shared" si="6"/>
        <v>113317.99799999999</v>
      </c>
      <c r="R54" s="535"/>
      <c r="S54" s="637"/>
    </row>
    <row r="55" spans="1:23" ht="13.5" thickBot="1">
      <c r="A55" s="638" t="s">
        <v>1602</v>
      </c>
      <c r="B55" s="530" t="s">
        <v>378</v>
      </c>
      <c r="C55" s="529">
        <v>0</v>
      </c>
      <c r="D55" s="529">
        <v>0</v>
      </c>
      <c r="E55" s="529">
        <v>0</v>
      </c>
      <c r="F55" s="529">
        <v>0</v>
      </c>
      <c r="G55" s="529">
        <v>0</v>
      </c>
      <c r="H55" s="529">
        <v>0</v>
      </c>
      <c r="I55" s="674">
        <f t="shared" si="1"/>
        <v>0</v>
      </c>
      <c r="J55" s="529">
        <v>0</v>
      </c>
      <c r="K55" s="529">
        <v>0</v>
      </c>
      <c r="L55" s="529">
        <v>0</v>
      </c>
      <c r="M55" s="529">
        <v>0</v>
      </c>
      <c r="N55" s="529">
        <v>0</v>
      </c>
      <c r="O55" s="529">
        <v>0</v>
      </c>
      <c r="P55" s="783">
        <f t="shared" si="15"/>
        <v>0</v>
      </c>
      <c r="Q55" s="801">
        <f t="shared" si="6"/>
        <v>0</v>
      </c>
      <c r="R55" s="535"/>
      <c r="S55" s="637"/>
    </row>
    <row r="56" spans="1:23" ht="13.5" thickBot="1">
      <c r="A56" s="638" t="s">
        <v>1603</v>
      </c>
      <c r="B56" s="540" t="s">
        <v>379</v>
      </c>
      <c r="C56" s="529">
        <v>4197.7610000000004</v>
      </c>
      <c r="D56" s="529">
        <v>8899.5709999999999</v>
      </c>
      <c r="E56" s="529">
        <v>5317.2510000000002</v>
      </c>
      <c r="F56" s="529">
        <v>7599.4040000000005</v>
      </c>
      <c r="G56" s="529">
        <v>4169.5820000000003</v>
      </c>
      <c r="H56" s="529">
        <v>6595.0969999999998</v>
      </c>
      <c r="I56" s="674">
        <f t="shared" si="1"/>
        <v>36778.666000000005</v>
      </c>
      <c r="J56" s="529">
        <v>9304.1490000000013</v>
      </c>
      <c r="K56" s="529">
        <v>13465.196</v>
      </c>
      <c r="L56" s="529">
        <v>12442.093000000001</v>
      </c>
      <c r="M56" s="529">
        <v>30350.23</v>
      </c>
      <c r="N56" s="529">
        <v>5835.326</v>
      </c>
      <c r="O56" s="529">
        <v>5624.1319999999996</v>
      </c>
      <c r="P56" s="783">
        <f t="shared" si="15"/>
        <v>77021.126000000004</v>
      </c>
      <c r="Q56" s="801">
        <f t="shared" si="6"/>
        <v>113799.79200000002</v>
      </c>
      <c r="R56" s="535"/>
      <c r="S56" s="637"/>
    </row>
    <row r="57" spans="1:23" ht="13.5" thickBot="1">
      <c r="A57" s="640" t="s">
        <v>1604</v>
      </c>
      <c r="B57" s="541" t="s">
        <v>380</v>
      </c>
      <c r="C57" s="529">
        <v>8312.7510000000002</v>
      </c>
      <c r="D57" s="529">
        <v>13314.307000000001</v>
      </c>
      <c r="E57" s="529">
        <v>11122.551999999998</v>
      </c>
      <c r="F57" s="529">
        <v>15311.375</v>
      </c>
      <c r="G57" s="529">
        <v>17462.488000000001</v>
      </c>
      <c r="H57" s="529">
        <v>6970.6419999999998</v>
      </c>
      <c r="I57" s="674">
        <f t="shared" si="1"/>
        <v>72494.114999999991</v>
      </c>
      <c r="J57" s="529">
        <v>4651.3269999999993</v>
      </c>
      <c r="K57" s="529">
        <v>7601.6569999999992</v>
      </c>
      <c r="L57" s="529">
        <v>5501.5640000000003</v>
      </c>
      <c r="M57" s="529">
        <v>10293.412999999999</v>
      </c>
      <c r="N57" s="1484">
        <v>4604.6710000000003</v>
      </c>
      <c r="O57" s="1484">
        <v>5190.5369999999994</v>
      </c>
      <c r="P57" s="803">
        <f t="shared" si="15"/>
        <v>37843.168999999994</v>
      </c>
      <c r="Q57" s="802">
        <f t="shared" si="6"/>
        <v>110337.28399999999</v>
      </c>
      <c r="R57" s="542"/>
      <c r="S57" s="637"/>
    </row>
    <row r="58" spans="1:23" ht="13.5" thickBot="1">
      <c r="A58" s="632"/>
      <c r="B58" s="543" t="s">
        <v>381</v>
      </c>
      <c r="C58" s="1472">
        <f t="shared" ref="C58:K58" si="24">+C9+C26+C30+C41+C46</f>
        <v>2282350.5669999998</v>
      </c>
      <c r="D58" s="544">
        <f>+D9+D26+D30+D41+D46</f>
        <v>2432394.1839999999</v>
      </c>
      <c r="E58" s="544">
        <f>+E9+E26+E30+E41+E46</f>
        <v>3010693.8069999996</v>
      </c>
      <c r="F58" s="544">
        <f t="shared" si="24"/>
        <v>2520442.4130000002</v>
      </c>
      <c r="G58" s="544">
        <f t="shared" si="24"/>
        <v>3337952.6409999998</v>
      </c>
      <c r="H58" s="544">
        <f t="shared" si="24"/>
        <v>7660939.8259999985</v>
      </c>
      <c r="I58" s="674">
        <f t="shared" si="1"/>
        <v>21244773.437999997</v>
      </c>
      <c r="J58" s="544">
        <f t="shared" si="24"/>
        <v>5688730.1280000014</v>
      </c>
      <c r="K58" s="544">
        <f t="shared" si="24"/>
        <v>3203182.2660400001</v>
      </c>
      <c r="L58" s="544">
        <f>+L9+L26+L30+L41+L46</f>
        <v>2682603.7969999998</v>
      </c>
      <c r="M58" s="544">
        <f>+M9+M26+M30+M41+M46</f>
        <v>2794099.659</v>
      </c>
      <c r="N58" s="544">
        <f>+N9+N26+N30+N41+N46</f>
        <v>2210839.0159999998</v>
      </c>
      <c r="O58" s="544">
        <f>O9+O26+O30+O41+O46</f>
        <v>2641550.9939999999</v>
      </c>
      <c r="P58" s="805">
        <f t="shared" si="15"/>
        <v>19221005.860040002</v>
      </c>
      <c r="Q58" s="806">
        <f t="shared" si="6"/>
        <v>40465779.298040003</v>
      </c>
      <c r="R58" s="787">
        <f>+R9+R26+R30+R41+R46</f>
        <v>0</v>
      </c>
      <c r="S58" s="641"/>
      <c r="W58" s="10"/>
    </row>
    <row r="59" spans="1:23" ht="13.5" thickBot="1">
      <c r="A59" s="642" t="s">
        <v>382</v>
      </c>
      <c r="B59" s="545" t="s">
        <v>383</v>
      </c>
      <c r="C59" s="546">
        <f t="shared" ref="C59:M59" si="25">+C60+C68+C69+C70+C71+C72+C73+C74+C78+C79+C80+C81+C82+C83+C84+C85</f>
        <v>34662.337</v>
      </c>
      <c r="D59" s="546">
        <f>+D60+D68+D69+D70+D71+D72+D73+D74+D78+D79+D80+D81+D82+D83+D84+D85</f>
        <v>32327.567000000003</v>
      </c>
      <c r="E59" s="546">
        <f>+E60+E68+E69+E70+E71+E72+E73+E74+E78+E79+E80+E81+E82+E83+E84+E85</f>
        <v>20910.521999999997</v>
      </c>
      <c r="F59" s="546">
        <f t="shared" si="25"/>
        <v>28637.019</v>
      </c>
      <c r="G59" s="546">
        <f t="shared" si="25"/>
        <v>224221.554</v>
      </c>
      <c r="H59" s="546">
        <f t="shared" si="25"/>
        <v>19063.438000000002</v>
      </c>
      <c r="I59" s="674">
        <f t="shared" si="1"/>
        <v>359822.43700000003</v>
      </c>
      <c r="J59" s="546">
        <f t="shared" si="25"/>
        <v>23498.139000000003</v>
      </c>
      <c r="K59" s="546">
        <f t="shared" si="25"/>
        <v>20977.591</v>
      </c>
      <c r="L59" s="546">
        <f t="shared" si="25"/>
        <v>27981.506000000001</v>
      </c>
      <c r="M59" s="546">
        <f t="shared" si="25"/>
        <v>41243.053999999996</v>
      </c>
      <c r="N59" s="1217">
        <f>SUM(N60+N68+N69+N70+N71+N72+N73+N74+N78+N79+N80+N81+N82+N83+N84+N85)</f>
        <v>25620.600000000002</v>
      </c>
      <c r="O59" s="1217">
        <f>SUM(O60+O68+O69+O70+O71+O72+O73+O74+O78+O79+O80+O81+O82+O83+O84+O85)</f>
        <v>23748.601000000002</v>
      </c>
      <c r="P59" s="804">
        <f t="shared" si="15"/>
        <v>163069.49100000001</v>
      </c>
      <c r="Q59" s="801">
        <f t="shared" si="6"/>
        <v>522891.92800000007</v>
      </c>
      <c r="R59" s="564">
        <f>+R60+R68+R69+R70+R71+R72+R73+R74+R78+R79+R80+R81+R82+R83+R84+R85</f>
        <v>0</v>
      </c>
      <c r="S59" s="643"/>
    </row>
    <row r="60" spans="1:23" ht="13.5" thickBot="1">
      <c r="A60" s="644"/>
      <c r="B60" s="547" t="s">
        <v>384</v>
      </c>
      <c r="C60" s="548">
        <f>SUM(C61:C67)</f>
        <v>13466.454</v>
      </c>
      <c r="D60" s="548">
        <f>SUM(D61:D67)</f>
        <v>4439.7759999999998</v>
      </c>
      <c r="E60" s="548">
        <f>SUM(E61:E67)</f>
        <v>8045.646999999999</v>
      </c>
      <c r="F60" s="548">
        <f>SUM(F61:F67)</f>
        <v>4054.328</v>
      </c>
      <c r="G60" s="548">
        <f>+G61+G62+G63+G64+G65+G66+G67</f>
        <v>120170.20300000001</v>
      </c>
      <c r="H60" s="548">
        <f>+H61+H62+H63+H64+H65+H66+H67</f>
        <v>1758.674</v>
      </c>
      <c r="I60" s="674">
        <f t="shared" si="1"/>
        <v>151935.08199999999</v>
      </c>
      <c r="J60" s="548">
        <f t="shared" ref="J60:O60" si="26">+J61+J62+J63+J64+J65+J66+J67</f>
        <v>4955.4900000000007</v>
      </c>
      <c r="K60" s="548">
        <f t="shared" si="26"/>
        <v>10128.424000000001</v>
      </c>
      <c r="L60" s="548">
        <f t="shared" si="26"/>
        <v>22410.034</v>
      </c>
      <c r="M60" s="548">
        <f t="shared" si="26"/>
        <v>23413.234</v>
      </c>
      <c r="N60" s="548">
        <f t="shared" si="26"/>
        <v>13265.586000000001</v>
      </c>
      <c r="O60" s="548">
        <f t="shared" si="26"/>
        <v>11598.779</v>
      </c>
      <c r="P60" s="783">
        <f t="shared" si="15"/>
        <v>85771.546999999991</v>
      </c>
      <c r="Q60" s="801">
        <f t="shared" si="6"/>
        <v>237706.62899999999</v>
      </c>
      <c r="R60" s="560">
        <f>SUM(R61:R67)</f>
        <v>0</v>
      </c>
      <c r="S60" s="637"/>
    </row>
    <row r="61" spans="1:23" ht="13.5" thickBot="1">
      <c r="A61" s="638" t="s">
        <v>1605</v>
      </c>
      <c r="B61" s="549" t="s">
        <v>385</v>
      </c>
      <c r="C61" s="529">
        <v>491.01600000000002</v>
      </c>
      <c r="D61" s="529">
        <v>418.37599999999998</v>
      </c>
      <c r="E61" s="529">
        <v>697.40599999999995</v>
      </c>
      <c r="F61" s="529">
        <v>262.19900000000001</v>
      </c>
      <c r="G61" s="529">
        <v>3648.835</v>
      </c>
      <c r="H61" s="529">
        <v>1032.2629999999999</v>
      </c>
      <c r="I61" s="674">
        <f t="shared" si="1"/>
        <v>6550.0950000000003</v>
      </c>
      <c r="J61" s="529">
        <v>2158.8830000000003</v>
      </c>
      <c r="K61" s="529">
        <v>2635.9450000000002</v>
      </c>
      <c r="L61" s="529">
        <v>3702.9630000000002</v>
      </c>
      <c r="M61" s="529">
        <v>3367.6529999999998</v>
      </c>
      <c r="N61" s="529">
        <v>2380.64</v>
      </c>
      <c r="O61" s="529">
        <v>1303.9059999999999</v>
      </c>
      <c r="P61" s="783">
        <f t="shared" si="15"/>
        <v>15549.990000000002</v>
      </c>
      <c r="Q61" s="801">
        <f t="shared" si="6"/>
        <v>22100.085000000003</v>
      </c>
      <c r="R61" s="788"/>
      <c r="S61" s="637"/>
    </row>
    <row r="62" spans="1:23" ht="13.5" thickBot="1">
      <c r="A62" s="638" t="s">
        <v>1606</v>
      </c>
      <c r="B62" s="549" t="s">
        <v>387</v>
      </c>
      <c r="C62" s="529">
        <v>0</v>
      </c>
      <c r="D62" s="529">
        <v>0</v>
      </c>
      <c r="E62" s="529">
        <v>0</v>
      </c>
      <c r="F62" s="529">
        <v>0</v>
      </c>
      <c r="G62" s="529">
        <v>0</v>
      </c>
      <c r="H62" s="529">
        <v>0</v>
      </c>
      <c r="I62" s="674">
        <f t="shared" si="1"/>
        <v>0</v>
      </c>
      <c r="J62" s="529">
        <v>0</v>
      </c>
      <c r="K62" s="529">
        <v>0</v>
      </c>
      <c r="L62" s="529">
        <v>0</v>
      </c>
      <c r="M62" s="529">
        <v>0</v>
      </c>
      <c r="N62" s="529">
        <v>0</v>
      </c>
      <c r="O62" s="529">
        <v>0</v>
      </c>
      <c r="P62" s="783">
        <f t="shared" si="15"/>
        <v>0</v>
      </c>
      <c r="Q62" s="801">
        <f t="shared" si="6"/>
        <v>0</v>
      </c>
      <c r="R62" s="788"/>
      <c r="S62" s="637"/>
    </row>
    <row r="63" spans="1:23" ht="13.5" thickBot="1">
      <c r="A63" s="638" t="s">
        <v>1607</v>
      </c>
      <c r="B63" s="549" t="s">
        <v>388</v>
      </c>
      <c r="C63" s="529">
        <v>6846.3010000000004</v>
      </c>
      <c r="D63" s="529">
        <v>2000</v>
      </c>
      <c r="E63" s="529">
        <v>2853.1879999999996</v>
      </c>
      <c r="F63" s="529">
        <v>1285.6590000000001</v>
      </c>
      <c r="G63" s="529">
        <v>0</v>
      </c>
      <c r="H63" s="529">
        <v>0</v>
      </c>
      <c r="I63" s="674">
        <f t="shared" si="1"/>
        <v>12985.147999999999</v>
      </c>
      <c r="J63" s="529">
        <v>2304.011</v>
      </c>
      <c r="K63" s="529">
        <v>3330.51</v>
      </c>
      <c r="L63" s="529">
        <v>11120.295</v>
      </c>
      <c r="M63" s="529">
        <v>11446.021000000001</v>
      </c>
      <c r="N63" s="529">
        <v>5729.4669999999996</v>
      </c>
      <c r="O63" s="529">
        <v>6188.5410000000002</v>
      </c>
      <c r="P63" s="783">
        <f t="shared" si="15"/>
        <v>40118.844999999994</v>
      </c>
      <c r="Q63" s="801">
        <f t="shared" si="6"/>
        <v>53103.992999999995</v>
      </c>
      <c r="R63" s="788"/>
      <c r="S63" s="637"/>
    </row>
    <row r="64" spans="1:23" ht="13.5" thickBot="1">
      <c r="A64" s="638" t="s">
        <v>1608</v>
      </c>
      <c r="B64" s="549" t="s">
        <v>389</v>
      </c>
      <c r="C64" s="529">
        <v>1984.0720000000001</v>
      </c>
      <c r="D64" s="529">
        <v>0</v>
      </c>
      <c r="E64" s="529">
        <v>1231.3599999999999</v>
      </c>
      <c r="F64" s="529">
        <v>0</v>
      </c>
      <c r="G64" s="529">
        <v>0</v>
      </c>
      <c r="H64" s="529">
        <v>0</v>
      </c>
      <c r="I64" s="674">
        <f t="shared" si="1"/>
        <v>3215.4319999999998</v>
      </c>
      <c r="J64" s="529">
        <v>83.3</v>
      </c>
      <c r="K64" s="529">
        <v>3088.0740000000001</v>
      </c>
      <c r="L64" s="529">
        <v>2751.6309999999999</v>
      </c>
      <c r="M64" s="529">
        <v>4507.3809999999994</v>
      </c>
      <c r="N64" s="529">
        <v>2503.1419999999998</v>
      </c>
      <c r="O64" s="529">
        <v>2088.848</v>
      </c>
      <c r="P64" s="783">
        <f t="shared" si="15"/>
        <v>15022.375999999998</v>
      </c>
      <c r="Q64" s="801">
        <f t="shared" si="6"/>
        <v>18237.807999999997</v>
      </c>
      <c r="R64" s="788"/>
      <c r="S64" s="637"/>
    </row>
    <row r="65" spans="1:35" ht="13.5" thickBot="1">
      <c r="A65" s="638" t="s">
        <v>1609</v>
      </c>
      <c r="B65" s="549" t="s">
        <v>1561</v>
      </c>
      <c r="C65" s="529">
        <v>1510.6790000000001</v>
      </c>
      <c r="D65" s="529">
        <v>0</v>
      </c>
      <c r="E65" s="529">
        <v>1807.3430000000001</v>
      </c>
      <c r="F65" s="529">
        <v>691.56999999999994</v>
      </c>
      <c r="G65" s="529">
        <v>0</v>
      </c>
      <c r="H65" s="529">
        <v>0</v>
      </c>
      <c r="I65" s="674">
        <f t="shared" si="1"/>
        <v>4009.5919999999996</v>
      </c>
      <c r="J65" s="529">
        <v>0</v>
      </c>
      <c r="K65" s="529">
        <v>738.68</v>
      </c>
      <c r="L65" s="529">
        <v>3916.942</v>
      </c>
      <c r="M65" s="529">
        <v>3828.6819999999998</v>
      </c>
      <c r="N65" s="529">
        <v>1853.3100000000004</v>
      </c>
      <c r="O65" s="529">
        <v>1853.4530000000002</v>
      </c>
      <c r="P65" s="783">
        <f t="shared" si="15"/>
        <v>12191.067000000001</v>
      </c>
      <c r="Q65" s="801">
        <f t="shared" si="6"/>
        <v>16200.659</v>
      </c>
      <c r="R65" s="788"/>
      <c r="S65" s="637"/>
    </row>
    <row r="66" spans="1:35" ht="13.5" thickBot="1">
      <c r="A66" s="636"/>
      <c r="B66" s="549" t="s">
        <v>390</v>
      </c>
      <c r="C66" s="529">
        <v>0</v>
      </c>
      <c r="D66" s="529">
        <v>0</v>
      </c>
      <c r="E66" s="529">
        <v>0</v>
      </c>
      <c r="F66" s="529">
        <v>0</v>
      </c>
      <c r="G66" s="529">
        <v>0</v>
      </c>
      <c r="H66" s="529">
        <v>0</v>
      </c>
      <c r="I66" s="674">
        <f t="shared" si="1"/>
        <v>0</v>
      </c>
      <c r="J66" s="529">
        <v>0</v>
      </c>
      <c r="K66" s="529">
        <v>0</v>
      </c>
      <c r="L66" s="529">
        <v>0</v>
      </c>
      <c r="M66" s="529">
        <v>0</v>
      </c>
      <c r="N66" s="529">
        <v>0</v>
      </c>
      <c r="O66" s="529">
        <v>0</v>
      </c>
      <c r="P66" s="783">
        <f t="shared" si="15"/>
        <v>0</v>
      </c>
      <c r="Q66" s="801">
        <f t="shared" si="6"/>
        <v>0</v>
      </c>
      <c r="R66" s="789"/>
      <c r="S66" s="637"/>
    </row>
    <row r="67" spans="1:35" ht="13.5" thickBot="1">
      <c r="A67" s="636"/>
      <c r="B67" s="549" t="s">
        <v>391</v>
      </c>
      <c r="C67" s="529">
        <v>2634.386</v>
      </c>
      <c r="D67" s="529">
        <v>2021.3999999999999</v>
      </c>
      <c r="E67" s="529">
        <v>1456.35</v>
      </c>
      <c r="F67" s="529">
        <v>1814.9</v>
      </c>
      <c r="G67" s="529">
        <v>116521.368</v>
      </c>
      <c r="H67" s="529">
        <v>726.41100000000006</v>
      </c>
      <c r="I67" s="674">
        <f t="shared" si="1"/>
        <v>125174.815</v>
      </c>
      <c r="J67" s="529">
        <v>409.29599999999999</v>
      </c>
      <c r="K67" s="529">
        <v>335.21499999999997</v>
      </c>
      <c r="L67" s="529">
        <v>918.20299999999997</v>
      </c>
      <c r="M67" s="529">
        <v>263.49700000000001</v>
      </c>
      <c r="N67" s="529">
        <v>799.02700000000004</v>
      </c>
      <c r="O67" s="529">
        <v>164.03100000000001</v>
      </c>
      <c r="P67" s="783">
        <f t="shared" si="15"/>
        <v>2889.2690000000002</v>
      </c>
      <c r="Q67" s="801">
        <f t="shared" si="6"/>
        <v>128064.084</v>
      </c>
      <c r="R67" s="561"/>
      <c r="S67" s="637"/>
      <c r="U67" s="33"/>
    </row>
    <row r="68" spans="1:35" ht="13.5" thickBot="1">
      <c r="A68" s="636"/>
      <c r="B68" s="2192" t="s">
        <v>1563</v>
      </c>
      <c r="C68" s="870">
        <v>0</v>
      </c>
      <c r="D68" s="529">
        <v>0</v>
      </c>
      <c r="E68" s="529">
        <v>0</v>
      </c>
      <c r="F68" s="529">
        <v>0</v>
      </c>
      <c r="G68" s="529">
        <v>392.57100000000003</v>
      </c>
      <c r="H68" s="529">
        <v>182.5</v>
      </c>
      <c r="I68" s="674">
        <f t="shared" si="1"/>
        <v>575.07100000000003</v>
      </c>
      <c r="J68" s="529">
        <v>0</v>
      </c>
      <c r="K68" s="529">
        <v>0</v>
      </c>
      <c r="L68" s="529">
        <v>214.37799999999999</v>
      </c>
      <c r="M68" s="529">
        <v>166.25</v>
      </c>
      <c r="N68" s="529">
        <v>0</v>
      </c>
      <c r="O68" s="529">
        <v>0</v>
      </c>
      <c r="P68" s="783">
        <f t="shared" si="15"/>
        <v>380.62799999999999</v>
      </c>
      <c r="Q68" s="801">
        <f t="shared" si="6"/>
        <v>955.69900000000007</v>
      </c>
      <c r="R68" s="561"/>
      <c r="S68" s="637"/>
    </row>
    <row r="69" spans="1:35" ht="13.5" thickBot="1">
      <c r="A69" s="639" t="s">
        <v>1610</v>
      </c>
      <c r="B69" s="547" t="s">
        <v>1713</v>
      </c>
      <c r="C69" s="529">
        <v>9688.1549999999988</v>
      </c>
      <c r="D69" s="529">
        <v>13469.679</v>
      </c>
      <c r="E69" s="529">
        <v>4921.8969999999999</v>
      </c>
      <c r="F69" s="529">
        <v>5320.5380000000005</v>
      </c>
      <c r="G69" s="529">
        <v>1830.6000000000001</v>
      </c>
      <c r="H69" s="529">
        <v>4675.2139999999999</v>
      </c>
      <c r="I69" s="674">
        <f t="shared" si="1"/>
        <v>39906.082999999999</v>
      </c>
      <c r="J69" s="529">
        <v>2208.8240000000001</v>
      </c>
      <c r="K69" s="529">
        <v>933.37099999999998</v>
      </c>
      <c r="L69" s="529">
        <v>1531.3140000000001</v>
      </c>
      <c r="M69" s="529">
        <v>5937.3770000000004</v>
      </c>
      <c r="N69" s="529">
        <v>5788.3980000000001</v>
      </c>
      <c r="O69" s="529">
        <v>3140.2929999999997</v>
      </c>
      <c r="P69" s="783">
        <f t="shared" si="15"/>
        <v>19539.576999999997</v>
      </c>
      <c r="Q69" s="801">
        <f t="shared" si="6"/>
        <v>59445.659999999996</v>
      </c>
      <c r="R69" s="788"/>
      <c r="S69" s="637"/>
    </row>
    <row r="70" spans="1:35" ht="13.5" thickBot="1">
      <c r="A70" s="636" t="s">
        <v>1714</v>
      </c>
      <c r="B70" s="547" t="s">
        <v>1564</v>
      </c>
      <c r="C70" s="529">
        <v>0</v>
      </c>
      <c r="D70" s="529">
        <v>0</v>
      </c>
      <c r="E70" s="529">
        <v>0</v>
      </c>
      <c r="F70" s="529">
        <v>0</v>
      </c>
      <c r="G70" s="529">
        <v>0</v>
      </c>
      <c r="H70" s="529">
        <v>0</v>
      </c>
      <c r="I70" s="674">
        <f t="shared" si="1"/>
        <v>0</v>
      </c>
      <c r="J70" s="529">
        <v>0</v>
      </c>
      <c r="K70" s="529">
        <v>0</v>
      </c>
      <c r="L70" s="529">
        <v>0</v>
      </c>
      <c r="M70" s="529">
        <v>0</v>
      </c>
      <c r="N70" s="529">
        <v>0</v>
      </c>
      <c r="O70" s="529">
        <v>0</v>
      </c>
      <c r="P70" s="783">
        <f t="shared" si="15"/>
        <v>0</v>
      </c>
      <c r="Q70" s="801">
        <f t="shared" si="6"/>
        <v>0</v>
      </c>
      <c r="R70" s="790"/>
      <c r="S70" s="637"/>
    </row>
    <row r="71" spans="1:35" ht="13.5" thickBot="1">
      <c r="A71" s="636" t="s">
        <v>1715</v>
      </c>
      <c r="B71" s="547" t="s">
        <v>1716</v>
      </c>
      <c r="C71" s="529">
        <v>7505.3320000000003</v>
      </c>
      <c r="D71" s="1484">
        <v>6983.1</v>
      </c>
      <c r="E71" s="529">
        <v>5711.25</v>
      </c>
      <c r="F71" s="529">
        <v>10412.700000000001</v>
      </c>
      <c r="G71" s="529">
        <v>2527.0500000000002</v>
      </c>
      <c r="H71" s="529">
        <v>5064.3</v>
      </c>
      <c r="I71" s="674">
        <f t="shared" si="1"/>
        <v>38203.732000000004</v>
      </c>
      <c r="J71" s="529">
        <v>6514.4500000000007</v>
      </c>
      <c r="K71" s="529">
        <v>3698.85</v>
      </c>
      <c r="L71" s="529">
        <v>649.95000000000005</v>
      </c>
      <c r="M71" s="529">
        <v>5117.1000000000004</v>
      </c>
      <c r="N71" s="529">
        <v>3800.8500000000004</v>
      </c>
      <c r="O71" s="529">
        <v>2178.9</v>
      </c>
      <c r="P71" s="783">
        <f t="shared" si="15"/>
        <v>21960.100000000006</v>
      </c>
      <c r="Q71" s="801">
        <f t="shared" si="6"/>
        <v>60163.832000000009</v>
      </c>
      <c r="R71" s="789"/>
      <c r="S71" s="637"/>
    </row>
    <row r="72" spans="1:35" ht="13.5" thickBot="1">
      <c r="A72" s="636" t="s">
        <v>1717</v>
      </c>
      <c r="B72" s="547" t="s">
        <v>1718</v>
      </c>
      <c r="C72" s="529">
        <v>0</v>
      </c>
      <c r="D72" s="529">
        <v>0</v>
      </c>
      <c r="E72" s="529">
        <v>0</v>
      </c>
      <c r="F72" s="529">
        <v>0</v>
      </c>
      <c r="G72" s="529">
        <v>0</v>
      </c>
      <c r="H72" s="529">
        <v>0</v>
      </c>
      <c r="I72" s="674">
        <f t="shared" si="1"/>
        <v>0</v>
      </c>
      <c r="J72" s="529">
        <v>0</v>
      </c>
      <c r="K72" s="529">
        <v>0</v>
      </c>
      <c r="L72" s="529">
        <v>0</v>
      </c>
      <c r="M72" s="529">
        <v>0</v>
      </c>
      <c r="N72" s="529">
        <v>0</v>
      </c>
      <c r="O72" s="529">
        <v>0</v>
      </c>
      <c r="P72" s="783">
        <f t="shared" si="15"/>
        <v>0</v>
      </c>
      <c r="Q72" s="801">
        <f t="shared" si="6"/>
        <v>0</v>
      </c>
      <c r="R72" s="791"/>
      <c r="S72" s="637"/>
      <c r="AA72" s="34"/>
      <c r="AI72" s="35" t="s">
        <v>0</v>
      </c>
    </row>
    <row r="73" spans="1:35" ht="13.5" thickBot="1">
      <c r="A73" s="636" t="s">
        <v>1</v>
      </c>
      <c r="B73" s="547" t="s">
        <v>1565</v>
      </c>
      <c r="C73" s="529">
        <v>0</v>
      </c>
      <c r="D73" s="529">
        <v>0</v>
      </c>
      <c r="E73" s="529">
        <v>0</v>
      </c>
      <c r="F73" s="529">
        <v>0</v>
      </c>
      <c r="G73" s="529">
        <v>780.17499999999995</v>
      </c>
      <c r="H73" s="529">
        <v>0</v>
      </c>
      <c r="I73" s="674">
        <f t="shared" ref="I73:I108" si="27">SUM(C73:H73)</f>
        <v>780.17499999999995</v>
      </c>
      <c r="J73" s="529">
        <v>0</v>
      </c>
      <c r="K73" s="529">
        <v>0</v>
      </c>
      <c r="L73" s="529">
        <v>0</v>
      </c>
      <c r="M73" s="529">
        <v>0</v>
      </c>
      <c r="N73" s="529">
        <v>0</v>
      </c>
      <c r="O73" s="529">
        <v>0</v>
      </c>
      <c r="P73" s="783">
        <f t="shared" si="15"/>
        <v>0</v>
      </c>
      <c r="Q73" s="801">
        <f t="shared" si="6"/>
        <v>780.17499999999995</v>
      </c>
      <c r="R73" s="791"/>
      <c r="S73" s="637"/>
    </row>
    <row r="74" spans="1:35" ht="13.5" thickBot="1">
      <c r="A74" s="636"/>
      <c r="B74" s="1216" t="s">
        <v>2</v>
      </c>
      <c r="C74" s="1217">
        <f t="shared" ref="C74:H74" si="28">SUM(C75:C77)</f>
        <v>339.05900000000003</v>
      </c>
      <c r="D74" s="1217">
        <f t="shared" si="28"/>
        <v>367.56100000000004</v>
      </c>
      <c r="E74" s="1217">
        <f t="shared" si="28"/>
        <v>747.72800000000007</v>
      </c>
      <c r="F74" s="1217">
        <f t="shared" si="28"/>
        <v>1381.2470000000001</v>
      </c>
      <c r="G74" s="1217">
        <f t="shared" si="28"/>
        <v>1215.3140000000001</v>
      </c>
      <c r="H74" s="1217">
        <f t="shared" si="28"/>
        <v>110</v>
      </c>
      <c r="I74" s="674">
        <f t="shared" si="27"/>
        <v>4160.9090000000006</v>
      </c>
      <c r="J74" s="1217">
        <f t="shared" ref="J74:O74" si="29">SUM(J75:J77)</f>
        <v>1744.905</v>
      </c>
      <c r="K74" s="1217">
        <f t="shared" si="29"/>
        <v>278.90499999999997</v>
      </c>
      <c r="L74" s="1217">
        <f t="shared" si="29"/>
        <v>333.952</v>
      </c>
      <c r="M74" s="1217">
        <f t="shared" si="29"/>
        <v>428.24400000000003</v>
      </c>
      <c r="N74" s="1217">
        <f t="shared" si="29"/>
        <v>128.61500000000001</v>
      </c>
      <c r="O74" s="1217">
        <f t="shared" si="29"/>
        <v>1110.2090000000001</v>
      </c>
      <c r="P74" s="783">
        <f t="shared" si="15"/>
        <v>4024.83</v>
      </c>
      <c r="Q74" s="801">
        <f t="shared" si="6"/>
        <v>8185.7390000000005</v>
      </c>
      <c r="R74" s="560">
        <f>SUM(R75:R77)</f>
        <v>0</v>
      </c>
      <c r="S74" s="637"/>
    </row>
    <row r="75" spans="1:35" ht="13.5" thickBot="1">
      <c r="A75" s="638" t="s">
        <v>1611</v>
      </c>
      <c r="B75" s="549" t="s">
        <v>3</v>
      </c>
      <c r="C75" s="529">
        <v>339.05900000000003</v>
      </c>
      <c r="D75" s="529">
        <v>367.56100000000004</v>
      </c>
      <c r="E75" s="529">
        <v>590.52800000000002</v>
      </c>
      <c r="F75" s="529">
        <v>1381.2470000000001</v>
      </c>
      <c r="G75" s="529">
        <v>971.57499999999993</v>
      </c>
      <c r="H75" s="529">
        <v>110</v>
      </c>
      <c r="I75" s="674">
        <f t="shared" si="27"/>
        <v>3759.9700000000003</v>
      </c>
      <c r="J75" s="529">
        <v>1744.905</v>
      </c>
      <c r="K75" s="529">
        <v>104.392</v>
      </c>
      <c r="L75" s="529">
        <v>333.952</v>
      </c>
      <c r="M75" s="529">
        <v>428.24400000000003</v>
      </c>
      <c r="N75" s="529">
        <v>0</v>
      </c>
      <c r="O75" s="529">
        <v>929.96299999999997</v>
      </c>
      <c r="P75" s="783">
        <f t="shared" si="15"/>
        <v>3541.4560000000001</v>
      </c>
      <c r="Q75" s="801">
        <f t="shared" ref="Q75:Q112" si="30">+I75+P75</f>
        <v>7301.4260000000004</v>
      </c>
      <c r="R75" s="791"/>
      <c r="S75" s="637"/>
      <c r="V75" s="10"/>
    </row>
    <row r="76" spans="1:35" ht="13.5" thickBot="1">
      <c r="A76" s="638" t="s">
        <v>1612</v>
      </c>
      <c r="B76" s="549" t="s">
        <v>1566</v>
      </c>
      <c r="C76" s="529">
        <v>0</v>
      </c>
      <c r="D76" s="529">
        <v>0</v>
      </c>
      <c r="E76" s="529">
        <v>0</v>
      </c>
      <c r="F76" s="529">
        <v>0</v>
      </c>
      <c r="G76" s="529">
        <v>25.338999999999999</v>
      </c>
      <c r="H76" s="529">
        <v>0</v>
      </c>
      <c r="I76" s="674">
        <f t="shared" si="27"/>
        <v>25.338999999999999</v>
      </c>
      <c r="J76" s="529">
        <v>0</v>
      </c>
      <c r="K76" s="529">
        <v>0</v>
      </c>
      <c r="L76" s="529">
        <v>0</v>
      </c>
      <c r="M76" s="529">
        <v>0</v>
      </c>
      <c r="N76" s="529">
        <v>0</v>
      </c>
      <c r="O76" s="529">
        <v>0</v>
      </c>
      <c r="P76" s="783">
        <f t="shared" si="15"/>
        <v>0</v>
      </c>
      <c r="Q76" s="801">
        <f t="shared" si="30"/>
        <v>25.338999999999999</v>
      </c>
      <c r="R76" s="791"/>
      <c r="S76" s="637"/>
      <c r="V76" s="10"/>
    </row>
    <row r="77" spans="1:35" ht="13.5" thickBot="1">
      <c r="A77" s="636"/>
      <c r="B77" s="549" t="s">
        <v>4</v>
      </c>
      <c r="C77" s="529">
        <v>0</v>
      </c>
      <c r="D77" s="529">
        <v>0</v>
      </c>
      <c r="E77" s="529">
        <v>157.19999999999999</v>
      </c>
      <c r="F77" s="529">
        <v>0</v>
      </c>
      <c r="G77" s="529">
        <v>218.4</v>
      </c>
      <c r="H77" s="529">
        <v>0</v>
      </c>
      <c r="I77" s="674">
        <f t="shared" si="27"/>
        <v>375.6</v>
      </c>
      <c r="J77" s="529">
        <v>0</v>
      </c>
      <c r="K77" s="529">
        <v>174.51300000000001</v>
      </c>
      <c r="L77" s="529">
        <v>0</v>
      </c>
      <c r="M77" s="529">
        <v>0</v>
      </c>
      <c r="N77" s="529">
        <v>128.61500000000001</v>
      </c>
      <c r="O77" s="529">
        <v>180.24600000000001</v>
      </c>
      <c r="P77" s="783">
        <f t="shared" ref="P77:P110" si="31">SUM(J77:O77)</f>
        <v>483.37400000000002</v>
      </c>
      <c r="Q77" s="801">
        <f t="shared" si="30"/>
        <v>858.97400000000005</v>
      </c>
      <c r="R77" s="791"/>
      <c r="S77" s="637"/>
      <c r="V77" s="10"/>
    </row>
    <row r="78" spans="1:35" ht="13.5" thickBot="1">
      <c r="A78" s="636"/>
      <c r="B78" s="547" t="s">
        <v>5</v>
      </c>
      <c r="C78" s="529">
        <v>3663.337</v>
      </c>
      <c r="D78" s="529">
        <v>6527.4510000000009</v>
      </c>
      <c r="E78" s="529">
        <v>0</v>
      </c>
      <c r="F78" s="529">
        <v>0</v>
      </c>
      <c r="G78" s="529">
        <v>33.75</v>
      </c>
      <c r="H78" s="529">
        <v>7272.75</v>
      </c>
      <c r="I78" s="674">
        <f t="shared" si="27"/>
        <v>17497.288</v>
      </c>
      <c r="J78" s="529">
        <v>6808.4699999999993</v>
      </c>
      <c r="K78" s="529">
        <v>5938.0410000000002</v>
      </c>
      <c r="L78" s="529">
        <v>0</v>
      </c>
      <c r="M78" s="529">
        <v>622.47900000000004</v>
      </c>
      <c r="N78" s="529">
        <v>709.6</v>
      </c>
      <c r="O78" s="529">
        <v>659.202</v>
      </c>
      <c r="P78" s="783">
        <f t="shared" si="31"/>
        <v>14737.791999999998</v>
      </c>
      <c r="Q78" s="801">
        <f t="shared" si="30"/>
        <v>32235.079999999998</v>
      </c>
      <c r="R78" s="791"/>
      <c r="S78" s="637"/>
    </row>
    <row r="79" spans="1:35" ht="13.5" thickBot="1">
      <c r="A79" s="638" t="s">
        <v>1613</v>
      </c>
      <c r="B79" s="547" t="s">
        <v>6</v>
      </c>
      <c r="C79" s="529">
        <v>0</v>
      </c>
      <c r="D79" s="529">
        <v>0</v>
      </c>
      <c r="E79" s="529">
        <v>1484</v>
      </c>
      <c r="F79" s="529">
        <v>705</v>
      </c>
      <c r="G79" s="529">
        <v>0</v>
      </c>
      <c r="H79" s="529">
        <v>0</v>
      </c>
      <c r="I79" s="674">
        <f t="shared" si="27"/>
        <v>2189</v>
      </c>
      <c r="J79" s="529">
        <v>0</v>
      </c>
      <c r="K79" s="529">
        <v>0</v>
      </c>
      <c r="L79" s="529">
        <v>0</v>
      </c>
      <c r="M79" s="529">
        <v>0</v>
      </c>
      <c r="N79" s="529">
        <v>197.46299999999999</v>
      </c>
      <c r="O79" s="529">
        <v>42.225000000000001</v>
      </c>
      <c r="P79" s="783">
        <f t="shared" si="31"/>
        <v>239.68799999999999</v>
      </c>
      <c r="Q79" s="801">
        <f t="shared" si="30"/>
        <v>2428.6880000000001</v>
      </c>
      <c r="R79" s="788"/>
      <c r="S79" s="637"/>
    </row>
    <row r="80" spans="1:35" ht="13.5" thickBot="1">
      <c r="A80" s="638"/>
      <c r="B80" s="547" t="s">
        <v>7</v>
      </c>
      <c r="C80" s="529">
        <v>0</v>
      </c>
      <c r="D80" s="529">
        <v>540</v>
      </c>
      <c r="E80" s="529">
        <v>0</v>
      </c>
      <c r="F80" s="529">
        <v>529.4</v>
      </c>
      <c r="G80" s="529">
        <v>0</v>
      </c>
      <c r="H80" s="529">
        <v>0</v>
      </c>
      <c r="I80" s="674">
        <f t="shared" si="27"/>
        <v>1069.4000000000001</v>
      </c>
      <c r="J80" s="529">
        <v>540</v>
      </c>
      <c r="K80" s="529">
        <v>0</v>
      </c>
      <c r="L80" s="529">
        <v>972</v>
      </c>
      <c r="M80" s="529">
        <v>0</v>
      </c>
      <c r="N80" s="529">
        <v>0</v>
      </c>
      <c r="O80" s="529">
        <v>0</v>
      </c>
      <c r="P80" s="783">
        <f t="shared" si="31"/>
        <v>1512</v>
      </c>
      <c r="Q80" s="801">
        <f t="shared" si="30"/>
        <v>2581.4</v>
      </c>
      <c r="R80" s="792"/>
      <c r="S80" s="637"/>
    </row>
    <row r="81" spans="1:19" ht="13.5" thickBot="1">
      <c r="A81" s="638" t="s">
        <v>1614</v>
      </c>
      <c r="B81" s="547" t="s">
        <v>8</v>
      </c>
      <c r="C81" s="529">
        <v>0</v>
      </c>
      <c r="D81" s="529">
        <v>0</v>
      </c>
      <c r="E81" s="529">
        <v>0</v>
      </c>
      <c r="F81" s="529">
        <v>6233.8060000000005</v>
      </c>
      <c r="G81" s="529">
        <v>97271.891000000003</v>
      </c>
      <c r="H81" s="529">
        <v>0</v>
      </c>
      <c r="I81" s="674">
        <f t="shared" si="27"/>
        <v>103505.697</v>
      </c>
      <c r="J81" s="529">
        <v>0</v>
      </c>
      <c r="K81" s="529">
        <v>0</v>
      </c>
      <c r="L81" s="529">
        <v>1869.8780000000002</v>
      </c>
      <c r="M81" s="529">
        <v>1235.867</v>
      </c>
      <c r="N81" s="529">
        <v>1631.25</v>
      </c>
      <c r="O81" s="529">
        <v>1397.6680000000001</v>
      </c>
      <c r="P81" s="783">
        <f t="shared" si="31"/>
        <v>6134.6630000000005</v>
      </c>
      <c r="Q81" s="801">
        <f t="shared" si="30"/>
        <v>109640.36</v>
      </c>
      <c r="R81" s="788"/>
      <c r="S81" s="637"/>
    </row>
    <row r="82" spans="1:19" ht="13.5" thickBot="1">
      <c r="A82" s="636"/>
      <c r="B82" s="547" t="s">
        <v>9</v>
      </c>
      <c r="C82" s="529">
        <v>0</v>
      </c>
      <c r="D82" s="529">
        <v>0</v>
      </c>
      <c r="E82" s="529">
        <v>0</v>
      </c>
      <c r="F82" s="529">
        <v>0</v>
      </c>
      <c r="G82" s="529">
        <v>0</v>
      </c>
      <c r="H82" s="529">
        <v>0</v>
      </c>
      <c r="I82" s="674">
        <f t="shared" si="27"/>
        <v>0</v>
      </c>
      <c r="J82" s="529">
        <v>0</v>
      </c>
      <c r="K82" s="529">
        <v>0</v>
      </c>
      <c r="L82" s="529">
        <v>0</v>
      </c>
      <c r="M82" s="529">
        <v>3681.2</v>
      </c>
      <c r="N82" s="529">
        <v>0</v>
      </c>
      <c r="O82" s="529">
        <v>2506.8069999999998</v>
      </c>
      <c r="P82" s="783">
        <f t="shared" si="31"/>
        <v>6188.0069999999996</v>
      </c>
      <c r="Q82" s="801">
        <f t="shared" si="30"/>
        <v>6188.0069999999996</v>
      </c>
      <c r="R82" s="792"/>
      <c r="S82" s="637"/>
    </row>
    <row r="83" spans="1:19" ht="13.5" thickBot="1">
      <c r="A83" s="636"/>
      <c r="B83" s="547" t="s">
        <v>10</v>
      </c>
      <c r="C83" s="529">
        <v>0</v>
      </c>
      <c r="D83" s="529">
        <v>0</v>
      </c>
      <c r="E83" s="529">
        <v>0</v>
      </c>
      <c r="F83" s="529">
        <v>0</v>
      </c>
      <c r="G83" s="529">
        <v>0</v>
      </c>
      <c r="H83" s="529">
        <v>0</v>
      </c>
      <c r="I83" s="674">
        <f t="shared" si="27"/>
        <v>0</v>
      </c>
      <c r="J83" s="529">
        <v>726</v>
      </c>
      <c r="K83" s="529">
        <v>0</v>
      </c>
      <c r="L83" s="529">
        <v>0</v>
      </c>
      <c r="M83" s="529">
        <v>0</v>
      </c>
      <c r="N83" s="529">
        <v>0</v>
      </c>
      <c r="O83" s="529">
        <v>0</v>
      </c>
      <c r="P83" s="783">
        <f t="shared" si="31"/>
        <v>726</v>
      </c>
      <c r="Q83" s="801">
        <f t="shared" si="30"/>
        <v>726</v>
      </c>
      <c r="R83" s="788"/>
      <c r="S83" s="637"/>
    </row>
    <row r="84" spans="1:19" ht="13.5" thickBot="1">
      <c r="A84" s="636"/>
      <c r="B84" s="547" t="s">
        <v>11</v>
      </c>
      <c r="C84" s="529">
        <v>0</v>
      </c>
      <c r="D84" s="529">
        <v>0</v>
      </c>
      <c r="E84" s="529">
        <v>0</v>
      </c>
      <c r="F84" s="529">
        <v>0</v>
      </c>
      <c r="G84" s="529">
        <v>0</v>
      </c>
      <c r="H84" s="529">
        <v>0</v>
      </c>
      <c r="I84" s="674">
        <f t="shared" si="27"/>
        <v>0</v>
      </c>
      <c r="J84" s="529">
        <v>0</v>
      </c>
      <c r="K84" s="529">
        <v>0</v>
      </c>
      <c r="L84" s="529">
        <v>0</v>
      </c>
      <c r="M84" s="529">
        <v>0</v>
      </c>
      <c r="N84" s="529">
        <v>0</v>
      </c>
      <c r="O84" s="529">
        <v>0</v>
      </c>
      <c r="P84" s="783">
        <f t="shared" si="31"/>
        <v>0</v>
      </c>
      <c r="Q84" s="801">
        <f t="shared" si="30"/>
        <v>0</v>
      </c>
      <c r="R84" s="788"/>
      <c r="S84" s="637"/>
    </row>
    <row r="85" spans="1:19" ht="13.5" thickBot="1">
      <c r="A85" s="640" t="s">
        <v>1615</v>
      </c>
      <c r="B85" s="550" t="s">
        <v>12</v>
      </c>
      <c r="C85" s="529">
        <v>0</v>
      </c>
      <c r="D85" s="529">
        <v>0</v>
      </c>
      <c r="E85" s="529">
        <v>0</v>
      </c>
      <c r="F85" s="529">
        <v>0</v>
      </c>
      <c r="G85" s="529">
        <v>0</v>
      </c>
      <c r="H85" s="529">
        <v>0</v>
      </c>
      <c r="I85" s="674">
        <f t="shared" si="27"/>
        <v>0</v>
      </c>
      <c r="J85" s="529">
        <v>0</v>
      </c>
      <c r="K85" s="529">
        <v>0</v>
      </c>
      <c r="L85" s="529">
        <v>0</v>
      </c>
      <c r="M85" s="529">
        <v>641.303</v>
      </c>
      <c r="N85" s="529">
        <v>98.837999999999994</v>
      </c>
      <c r="O85" s="529">
        <v>1114.518</v>
      </c>
      <c r="P85" s="783">
        <f t="shared" si="31"/>
        <v>1854.6590000000001</v>
      </c>
      <c r="Q85" s="801">
        <f t="shared" si="30"/>
        <v>1854.6590000000001</v>
      </c>
      <c r="R85" s="793"/>
      <c r="S85" s="637"/>
    </row>
    <row r="86" spans="1:19" ht="13.5" thickBot="1">
      <c r="A86" s="552"/>
      <c r="B86" s="1607" t="s">
        <v>13</v>
      </c>
      <c r="C86" s="553">
        <f t="shared" ref="C86:H86" si="32">+C87+C88+C89+C90+C91+C96+C104+C105+C106+C107+C108</f>
        <v>133849.89499999999</v>
      </c>
      <c r="D86" s="553">
        <f>+D87+D88+D89+D90+D91+D96+D104+D105+D106+D107+D108</f>
        <v>270965.929</v>
      </c>
      <c r="E86" s="553">
        <f>+E87+E88+E89+E90+E91+E96+E104+E105+E106+E107+E108</f>
        <v>120221.42700000001</v>
      </c>
      <c r="F86" s="553">
        <f t="shared" si="32"/>
        <v>140832.15099999998</v>
      </c>
      <c r="G86" s="553">
        <f t="shared" si="32"/>
        <v>115878.861</v>
      </c>
      <c r="H86" s="553">
        <f t="shared" si="32"/>
        <v>173232.44799999997</v>
      </c>
      <c r="I86" s="674">
        <f t="shared" si="27"/>
        <v>954980.71100000001</v>
      </c>
      <c r="J86" s="553">
        <f t="shared" ref="J86:O86" si="33">+J87+J88+J89+J90+J91+J96+J104+J105+J106+J107+J108</f>
        <v>221472.44200000001</v>
      </c>
      <c r="K86" s="553">
        <f t="shared" si="33"/>
        <v>142206.76500000001</v>
      </c>
      <c r="L86" s="553">
        <f t="shared" si="33"/>
        <v>133562.93599999999</v>
      </c>
      <c r="M86" s="553">
        <f t="shared" si="33"/>
        <v>163100.878</v>
      </c>
      <c r="N86" s="553">
        <f t="shared" si="33"/>
        <v>130342.41100000001</v>
      </c>
      <c r="O86" s="553">
        <f t="shared" si="33"/>
        <v>161256.266</v>
      </c>
      <c r="P86" s="783">
        <f t="shared" si="31"/>
        <v>951941.69800000009</v>
      </c>
      <c r="Q86" s="801">
        <f t="shared" si="30"/>
        <v>1906922.409</v>
      </c>
      <c r="R86" s="794">
        <f>+R87+R88+R89+R91+R95+R96+R104+R105+R106+R107+R108</f>
        <v>0</v>
      </c>
      <c r="S86" s="645"/>
    </row>
    <row r="87" spans="1:19" ht="13.5" thickBot="1">
      <c r="A87" s="634" t="s">
        <v>14</v>
      </c>
      <c r="B87" s="554" t="s">
        <v>15</v>
      </c>
      <c r="C87" s="529">
        <v>0</v>
      </c>
      <c r="D87" s="529">
        <v>0</v>
      </c>
      <c r="E87" s="529">
        <v>0</v>
      </c>
      <c r="F87" s="529">
        <v>0</v>
      </c>
      <c r="G87" s="529">
        <v>0</v>
      </c>
      <c r="H87" s="529">
        <v>0</v>
      </c>
      <c r="I87" s="674">
        <f t="shared" si="27"/>
        <v>0</v>
      </c>
      <c r="J87" s="529">
        <v>0</v>
      </c>
      <c r="K87" s="529">
        <v>0</v>
      </c>
      <c r="L87" s="529">
        <v>0</v>
      </c>
      <c r="M87" s="529">
        <v>0</v>
      </c>
      <c r="N87" s="529">
        <v>0</v>
      </c>
      <c r="O87" s="529">
        <v>0</v>
      </c>
      <c r="P87" s="783">
        <f t="shared" si="31"/>
        <v>0</v>
      </c>
      <c r="Q87" s="801">
        <f t="shared" si="30"/>
        <v>0</v>
      </c>
      <c r="R87" s="795"/>
      <c r="S87" s="637"/>
    </row>
    <row r="88" spans="1:19" ht="13.5" thickBot="1">
      <c r="A88" s="636"/>
      <c r="B88" s="547" t="s">
        <v>16</v>
      </c>
      <c r="C88" s="529">
        <v>0</v>
      </c>
      <c r="D88" s="529">
        <v>0</v>
      </c>
      <c r="E88" s="529">
        <v>0</v>
      </c>
      <c r="F88" s="529">
        <v>0</v>
      </c>
      <c r="G88" s="529">
        <v>0</v>
      </c>
      <c r="H88" s="529">
        <v>0</v>
      </c>
      <c r="I88" s="674">
        <f t="shared" si="27"/>
        <v>0</v>
      </c>
      <c r="J88" s="529">
        <v>0</v>
      </c>
      <c r="K88" s="529">
        <v>0</v>
      </c>
      <c r="L88" s="529">
        <v>0</v>
      </c>
      <c r="M88" s="529">
        <v>0</v>
      </c>
      <c r="N88" s="529">
        <v>0</v>
      </c>
      <c r="O88" s="529">
        <v>0</v>
      </c>
      <c r="P88" s="783">
        <f t="shared" si="31"/>
        <v>0</v>
      </c>
      <c r="Q88" s="801">
        <f t="shared" si="30"/>
        <v>0</v>
      </c>
      <c r="R88" s="561"/>
      <c r="S88" s="637"/>
    </row>
    <row r="89" spans="1:19" ht="13.5" thickBot="1">
      <c r="A89" s="1396" t="s">
        <v>1567</v>
      </c>
      <c r="B89" s="547" t="s">
        <v>17</v>
      </c>
      <c r="C89" s="529">
        <v>9523.9079999999994</v>
      </c>
      <c r="D89" s="529">
        <v>9721.0519999999997</v>
      </c>
      <c r="E89" s="529">
        <v>9639.33</v>
      </c>
      <c r="F89" s="529">
        <v>9658.5049999999992</v>
      </c>
      <c r="G89" s="529">
        <v>9505.8819999999996</v>
      </c>
      <c r="H89" s="529">
        <v>10209.025</v>
      </c>
      <c r="I89" s="674">
        <f t="shared" si="27"/>
        <v>58257.701999999997</v>
      </c>
      <c r="J89" s="529">
        <v>9514.4560000000001</v>
      </c>
      <c r="K89" s="529">
        <v>10268.102000000001</v>
      </c>
      <c r="L89" s="529">
        <v>10244.499</v>
      </c>
      <c r="M89" s="529">
        <v>9974.9830000000002</v>
      </c>
      <c r="N89" s="529">
        <v>9827.848</v>
      </c>
      <c r="O89" s="529">
        <v>10282.34</v>
      </c>
      <c r="P89" s="783">
        <f t="shared" si="31"/>
        <v>60112.228000000003</v>
      </c>
      <c r="Q89" s="801">
        <f t="shared" si="30"/>
        <v>118369.93</v>
      </c>
      <c r="R89" s="561"/>
      <c r="S89" s="637"/>
    </row>
    <row r="90" spans="1:19" ht="13.5" thickBot="1">
      <c r="A90" s="636" t="s">
        <v>18</v>
      </c>
      <c r="B90" s="547" t="s">
        <v>1568</v>
      </c>
      <c r="C90" s="529">
        <v>0</v>
      </c>
      <c r="D90" s="529">
        <v>0</v>
      </c>
      <c r="E90" s="529">
        <v>0</v>
      </c>
      <c r="F90" s="529">
        <v>0</v>
      </c>
      <c r="G90" s="529">
        <v>0</v>
      </c>
      <c r="H90" s="529">
        <v>0</v>
      </c>
      <c r="I90" s="674">
        <f t="shared" si="27"/>
        <v>0</v>
      </c>
      <c r="J90" s="529">
        <v>0</v>
      </c>
      <c r="K90" s="529">
        <v>0</v>
      </c>
      <c r="L90" s="529">
        <v>0</v>
      </c>
      <c r="M90" s="529">
        <v>0</v>
      </c>
      <c r="N90" s="529">
        <v>0</v>
      </c>
      <c r="O90" s="529">
        <v>0</v>
      </c>
      <c r="P90" s="783">
        <f t="shared" si="31"/>
        <v>0</v>
      </c>
      <c r="Q90" s="801">
        <f t="shared" si="30"/>
        <v>0</v>
      </c>
      <c r="R90" s="561"/>
      <c r="S90" s="637"/>
    </row>
    <row r="91" spans="1:19" ht="13.5" thickBot="1">
      <c r="A91" s="636"/>
      <c r="B91" s="547" t="s">
        <v>19</v>
      </c>
      <c r="C91" s="555">
        <f t="shared" ref="C91:H91" si="34">SUM(C92:C94)</f>
        <v>104696.4</v>
      </c>
      <c r="D91" s="555">
        <f>SUM(D92:D94)</f>
        <v>145750.41500000001</v>
      </c>
      <c r="E91" s="555">
        <f>SUM(E92:E94)</f>
        <v>102748.247</v>
      </c>
      <c r="F91" s="555">
        <f t="shared" si="34"/>
        <v>125038.52099999999</v>
      </c>
      <c r="G91" s="555">
        <f t="shared" si="34"/>
        <v>103868.00600000001</v>
      </c>
      <c r="H91" s="555">
        <f t="shared" si="34"/>
        <v>155064.83299999998</v>
      </c>
      <c r="I91" s="674">
        <f t="shared" si="27"/>
        <v>737166.42200000002</v>
      </c>
      <c r="J91" s="555">
        <f t="shared" ref="J91:O91" si="35">SUM(J92:J94)</f>
        <v>111093.486</v>
      </c>
      <c r="K91" s="555">
        <f t="shared" si="35"/>
        <v>131175.99799999999</v>
      </c>
      <c r="L91" s="555">
        <f t="shared" si="35"/>
        <v>120323.485</v>
      </c>
      <c r="M91" s="555">
        <f t="shared" si="35"/>
        <v>148361.94699999999</v>
      </c>
      <c r="N91" s="555">
        <f t="shared" si="35"/>
        <v>116020.10500000001</v>
      </c>
      <c r="O91" s="555">
        <f t="shared" si="35"/>
        <v>145930.13099999999</v>
      </c>
      <c r="P91" s="783">
        <f t="shared" si="31"/>
        <v>772905.152</v>
      </c>
      <c r="Q91" s="801">
        <f t="shared" si="30"/>
        <v>1510071.574</v>
      </c>
      <c r="R91" s="562">
        <f>SUM(R92:R93)</f>
        <v>0</v>
      </c>
      <c r="S91" s="637"/>
    </row>
    <row r="92" spans="1:19" ht="13.5" thickBot="1">
      <c r="A92" s="1395" t="s">
        <v>2796</v>
      </c>
      <c r="B92" s="549" t="s">
        <v>20</v>
      </c>
      <c r="C92" s="529">
        <v>104696.4</v>
      </c>
      <c r="D92" s="529">
        <v>145750.41500000001</v>
      </c>
      <c r="E92" s="529">
        <v>102748.247</v>
      </c>
      <c r="F92" s="529">
        <v>125038.52099999999</v>
      </c>
      <c r="G92" s="529">
        <v>103868.00600000001</v>
      </c>
      <c r="H92" s="529">
        <v>155064.83299999998</v>
      </c>
      <c r="I92" s="674">
        <f t="shared" si="27"/>
        <v>737166.42200000002</v>
      </c>
      <c r="J92" s="529">
        <v>111093.486</v>
      </c>
      <c r="K92" s="529">
        <v>131175.99799999999</v>
      </c>
      <c r="L92" s="529">
        <v>120323.485</v>
      </c>
      <c r="M92" s="529">
        <v>148361.94699999999</v>
      </c>
      <c r="N92" s="529">
        <v>116020.10500000001</v>
      </c>
      <c r="O92" s="529">
        <v>145930.13099999999</v>
      </c>
      <c r="P92" s="783">
        <f t="shared" si="31"/>
        <v>772905.152</v>
      </c>
      <c r="Q92" s="801">
        <f t="shared" si="30"/>
        <v>1510071.574</v>
      </c>
      <c r="R92" s="788"/>
      <c r="S92" s="637"/>
    </row>
    <row r="93" spans="1:19" ht="13.5" thickBot="1">
      <c r="A93" s="636"/>
      <c r="B93" s="549" t="s">
        <v>21</v>
      </c>
      <c r="C93" s="529">
        <v>0</v>
      </c>
      <c r="D93" s="529">
        <v>0</v>
      </c>
      <c r="E93" s="529">
        <v>0</v>
      </c>
      <c r="F93" s="529">
        <v>0</v>
      </c>
      <c r="G93" s="529">
        <v>0</v>
      </c>
      <c r="H93" s="529">
        <v>0</v>
      </c>
      <c r="I93" s="674">
        <f t="shared" si="27"/>
        <v>0</v>
      </c>
      <c r="J93" s="529">
        <v>0</v>
      </c>
      <c r="K93" s="529">
        <v>0</v>
      </c>
      <c r="L93" s="529">
        <v>0</v>
      </c>
      <c r="M93" s="529">
        <v>0</v>
      </c>
      <c r="N93" s="529">
        <v>0</v>
      </c>
      <c r="O93" s="529">
        <v>0</v>
      </c>
      <c r="P93" s="783">
        <f t="shared" si="31"/>
        <v>0</v>
      </c>
      <c r="Q93" s="801">
        <f t="shared" si="30"/>
        <v>0</v>
      </c>
      <c r="R93" s="788"/>
      <c r="S93" s="637"/>
    </row>
    <row r="94" spans="1:19" ht="13.5" thickBot="1">
      <c r="A94" s="636" t="s">
        <v>22</v>
      </c>
      <c r="B94" s="549" t="s">
        <v>23</v>
      </c>
      <c r="C94" s="529">
        <v>0</v>
      </c>
      <c r="D94" s="529">
        <v>0</v>
      </c>
      <c r="E94" s="529">
        <v>0</v>
      </c>
      <c r="F94" s="529">
        <v>0</v>
      </c>
      <c r="G94" s="529">
        <v>0</v>
      </c>
      <c r="H94" s="529">
        <v>0</v>
      </c>
      <c r="I94" s="674">
        <f t="shared" si="27"/>
        <v>0</v>
      </c>
      <c r="J94" s="529">
        <v>0</v>
      </c>
      <c r="K94" s="529">
        <v>0</v>
      </c>
      <c r="L94" s="529">
        <v>0</v>
      </c>
      <c r="M94" s="529">
        <v>0</v>
      </c>
      <c r="N94" s="529">
        <v>0</v>
      </c>
      <c r="O94" s="529">
        <v>0</v>
      </c>
      <c r="P94" s="783">
        <f t="shared" si="31"/>
        <v>0</v>
      </c>
      <c r="Q94" s="801">
        <f t="shared" si="30"/>
        <v>0</v>
      </c>
      <c r="R94" s="561"/>
      <c r="S94" s="637"/>
    </row>
    <row r="95" spans="1:19" ht="13.5" thickBot="1">
      <c r="A95" s="636"/>
      <c r="B95" s="547" t="s">
        <v>24</v>
      </c>
      <c r="C95" s="529">
        <v>0</v>
      </c>
      <c r="D95" s="529">
        <v>0</v>
      </c>
      <c r="E95" s="529">
        <v>0</v>
      </c>
      <c r="F95" s="529">
        <v>0</v>
      </c>
      <c r="G95" s="529">
        <v>0</v>
      </c>
      <c r="H95" s="529">
        <v>0</v>
      </c>
      <c r="I95" s="674">
        <f t="shared" si="27"/>
        <v>0</v>
      </c>
      <c r="J95" s="529">
        <v>0</v>
      </c>
      <c r="K95" s="529">
        <v>0</v>
      </c>
      <c r="L95" s="529">
        <v>0</v>
      </c>
      <c r="M95" s="529">
        <v>0</v>
      </c>
      <c r="N95" s="529">
        <v>0</v>
      </c>
      <c r="O95" s="529">
        <v>0</v>
      </c>
      <c r="P95" s="783">
        <f t="shared" si="31"/>
        <v>0</v>
      </c>
      <c r="Q95" s="801">
        <f t="shared" si="30"/>
        <v>0</v>
      </c>
      <c r="R95" s="561"/>
      <c r="S95" s="637"/>
    </row>
    <row r="96" spans="1:19" ht="13.5" thickBot="1">
      <c r="A96" s="636" t="s">
        <v>25</v>
      </c>
      <c r="B96" s="547" t="s">
        <v>26</v>
      </c>
      <c r="C96" s="555">
        <f t="shared" ref="C96:H96" si="36">SUM(C97:C103)-C100-C101-C102</f>
        <v>19629.587</v>
      </c>
      <c r="D96" s="555">
        <f t="shared" si="36"/>
        <v>115494.462</v>
      </c>
      <c r="E96" s="555">
        <f t="shared" si="36"/>
        <v>7833.8499999999995</v>
      </c>
      <c r="F96" s="555">
        <f t="shared" si="36"/>
        <v>6135.125</v>
      </c>
      <c r="G96" s="555">
        <f t="shared" si="36"/>
        <v>2504.973</v>
      </c>
      <c r="H96" s="555">
        <f t="shared" si="36"/>
        <v>1482.0899999999965</v>
      </c>
      <c r="I96" s="674">
        <f t="shared" si="27"/>
        <v>153080.087</v>
      </c>
      <c r="J96" s="555">
        <f t="shared" ref="J96:O96" si="37">SUM(J97:J103)-J100-J101-J102</f>
        <v>100864.5</v>
      </c>
      <c r="K96" s="555">
        <f t="shared" si="37"/>
        <v>762.66499999999996</v>
      </c>
      <c r="L96" s="555">
        <f t="shared" si="37"/>
        <v>2994.9520000000002</v>
      </c>
      <c r="M96" s="555">
        <f t="shared" si="37"/>
        <v>4763.9480000000003</v>
      </c>
      <c r="N96" s="555">
        <f t="shared" si="37"/>
        <v>4494.4580000000005</v>
      </c>
      <c r="O96" s="555">
        <f t="shared" si="37"/>
        <v>5043.7950000000001</v>
      </c>
      <c r="P96" s="783">
        <f t="shared" si="31"/>
        <v>118924.318</v>
      </c>
      <c r="Q96" s="801">
        <f t="shared" si="30"/>
        <v>272004.40500000003</v>
      </c>
      <c r="R96" s="562">
        <f>SUM(R97:R103)</f>
        <v>0</v>
      </c>
      <c r="S96" s="637"/>
    </row>
    <row r="97" spans="1:23" ht="13.5" thickBot="1">
      <c r="A97" s="638" t="s">
        <v>1616</v>
      </c>
      <c r="B97" s="556" t="s">
        <v>27</v>
      </c>
      <c r="C97" s="529">
        <v>0</v>
      </c>
      <c r="D97" s="529">
        <v>0</v>
      </c>
      <c r="E97" s="529">
        <v>0</v>
      </c>
      <c r="F97" s="529">
        <v>0</v>
      </c>
      <c r="G97" s="529">
        <v>0</v>
      </c>
      <c r="H97" s="529">
        <v>0</v>
      </c>
      <c r="I97" s="674">
        <f t="shared" si="27"/>
        <v>0</v>
      </c>
      <c r="J97" s="529">
        <v>0</v>
      </c>
      <c r="K97" s="529">
        <v>0</v>
      </c>
      <c r="L97" s="529">
        <v>0</v>
      </c>
      <c r="M97" s="529">
        <v>0</v>
      </c>
      <c r="N97" s="529">
        <v>0</v>
      </c>
      <c r="O97" s="529">
        <v>0</v>
      </c>
      <c r="P97" s="783">
        <f t="shared" si="31"/>
        <v>0</v>
      </c>
      <c r="Q97" s="801">
        <f t="shared" si="30"/>
        <v>0</v>
      </c>
      <c r="R97" s="788"/>
      <c r="S97" s="637"/>
    </row>
    <row r="98" spans="1:23" ht="13.5" thickBot="1">
      <c r="A98" s="638" t="s">
        <v>1617</v>
      </c>
      <c r="B98" s="556" t="s">
        <v>28</v>
      </c>
      <c r="C98" s="529">
        <v>530</v>
      </c>
      <c r="D98" s="529">
        <v>271.815</v>
      </c>
      <c r="E98" s="529">
        <v>205.5</v>
      </c>
      <c r="F98" s="529">
        <v>650</v>
      </c>
      <c r="G98" s="529">
        <v>150</v>
      </c>
      <c r="H98" s="529">
        <v>135</v>
      </c>
      <c r="I98" s="674">
        <f t="shared" si="27"/>
        <v>1942.3150000000001</v>
      </c>
      <c r="J98" s="529">
        <v>209</v>
      </c>
      <c r="K98" s="529">
        <v>19.625</v>
      </c>
      <c r="L98" s="529">
        <v>1287.75</v>
      </c>
      <c r="M98" s="529">
        <v>3766.75</v>
      </c>
      <c r="N98" s="529">
        <v>0</v>
      </c>
      <c r="O98" s="529">
        <v>0</v>
      </c>
      <c r="P98" s="783">
        <f t="shared" si="31"/>
        <v>5283.125</v>
      </c>
      <c r="Q98" s="801">
        <f t="shared" si="30"/>
        <v>7225.4400000000005</v>
      </c>
      <c r="R98" s="788"/>
      <c r="S98" s="637"/>
    </row>
    <row r="99" spans="1:23" ht="13.5" thickBot="1">
      <c r="A99" s="638" t="s">
        <v>1618</v>
      </c>
      <c r="B99" s="556" t="s">
        <v>29</v>
      </c>
      <c r="C99" s="529">
        <v>18176.599999999999</v>
      </c>
      <c r="D99" s="529">
        <v>113659.446</v>
      </c>
      <c r="E99" s="529">
        <v>7354.15</v>
      </c>
      <c r="F99" s="529">
        <v>4749.4000000000005</v>
      </c>
      <c r="G99" s="529">
        <v>2354.973</v>
      </c>
      <c r="H99" s="529">
        <v>1347.0900000000001</v>
      </c>
      <c r="I99" s="674">
        <f t="shared" si="27"/>
        <v>147641.65899999999</v>
      </c>
      <c r="J99" s="529">
        <v>100601.5</v>
      </c>
      <c r="K99" s="529">
        <v>743.04</v>
      </c>
      <c r="L99" s="529">
        <v>1707.202</v>
      </c>
      <c r="M99" s="529">
        <v>876.79700000000003</v>
      </c>
      <c r="N99" s="529">
        <v>1329.2179999999998</v>
      </c>
      <c r="O99" s="529">
        <v>4428.3999999999996</v>
      </c>
      <c r="P99" s="783">
        <f t="shared" si="31"/>
        <v>109686.15699999999</v>
      </c>
      <c r="Q99" s="801">
        <f t="shared" si="30"/>
        <v>257327.81599999999</v>
      </c>
      <c r="R99" s="788"/>
      <c r="S99" s="637"/>
      <c r="W99" s="10">
        <f>4697631-G110</f>
        <v>1019577.9440000001</v>
      </c>
    </row>
    <row r="100" spans="1:23" ht="13.5" thickBot="1">
      <c r="A100" s="638"/>
      <c r="B100" s="2208" t="s">
        <v>3468</v>
      </c>
      <c r="C100" s="1392">
        <v>0</v>
      </c>
      <c r="D100" s="1392">
        <v>0</v>
      </c>
      <c r="E100" s="1392">
        <v>0</v>
      </c>
      <c r="F100" s="1392">
        <v>0</v>
      </c>
      <c r="G100" s="1392">
        <v>0</v>
      </c>
      <c r="H100" s="1392">
        <v>100000</v>
      </c>
      <c r="I100" s="674">
        <f t="shared" si="27"/>
        <v>100000</v>
      </c>
      <c r="J100" s="1392"/>
      <c r="K100" s="1392"/>
      <c r="L100" s="1392"/>
      <c r="M100" s="1392"/>
      <c r="N100" s="1392"/>
      <c r="O100" s="1392"/>
      <c r="P100" s="783">
        <f>SUM(J100:O100)</f>
        <v>0</v>
      </c>
      <c r="Q100" s="801">
        <f>+I100+P100</f>
        <v>100000</v>
      </c>
      <c r="R100" s="788"/>
      <c r="S100" s="637"/>
      <c r="W100" s="10"/>
    </row>
    <row r="101" spans="1:23" ht="13.5" thickBot="1">
      <c r="A101" s="638" t="s">
        <v>1619</v>
      </c>
      <c r="B101" s="556" t="s">
        <v>1572</v>
      </c>
      <c r="C101" s="529">
        <v>0</v>
      </c>
      <c r="D101" s="529">
        <v>0</v>
      </c>
      <c r="E101" s="1484">
        <v>0</v>
      </c>
      <c r="F101" s="529">
        <v>0</v>
      </c>
      <c r="G101" s="1392">
        <v>0</v>
      </c>
      <c r="H101" s="529">
        <v>0</v>
      </c>
      <c r="I101" s="674">
        <f t="shared" si="27"/>
        <v>0</v>
      </c>
      <c r="J101" s="529">
        <v>0</v>
      </c>
      <c r="K101" s="529">
        <v>0</v>
      </c>
      <c r="L101" s="529">
        <v>0</v>
      </c>
      <c r="M101" s="529">
        <v>0</v>
      </c>
      <c r="N101" s="529">
        <v>0</v>
      </c>
      <c r="O101" s="529">
        <v>0</v>
      </c>
      <c r="P101" s="783">
        <f t="shared" si="31"/>
        <v>0</v>
      </c>
      <c r="Q101" s="801">
        <f t="shared" si="30"/>
        <v>0</v>
      </c>
      <c r="R101" s="788"/>
      <c r="S101" s="637"/>
      <c r="W101" s="10">
        <f>+G101+2394594</f>
        <v>2394594</v>
      </c>
    </row>
    <row r="102" spans="1:23" ht="13.5" thickBot="1">
      <c r="A102" s="636" t="s">
        <v>30</v>
      </c>
      <c r="B102" s="556" t="s">
        <v>31</v>
      </c>
      <c r="C102" s="529">
        <v>0</v>
      </c>
      <c r="D102" s="529">
        <v>0</v>
      </c>
      <c r="E102" s="529">
        <v>0</v>
      </c>
      <c r="F102" s="529">
        <v>0</v>
      </c>
      <c r="G102" s="529">
        <v>0</v>
      </c>
      <c r="H102" s="529">
        <v>0</v>
      </c>
      <c r="I102" s="674">
        <f t="shared" si="27"/>
        <v>0</v>
      </c>
      <c r="J102" s="529">
        <v>0</v>
      </c>
      <c r="K102" s="529">
        <v>0</v>
      </c>
      <c r="L102" s="529">
        <v>0</v>
      </c>
      <c r="M102" s="529">
        <v>120.401</v>
      </c>
      <c r="N102" s="1473"/>
      <c r="O102" s="529"/>
      <c r="P102" s="783">
        <f t="shared" si="31"/>
        <v>120.401</v>
      </c>
      <c r="Q102" s="801">
        <f t="shared" si="30"/>
        <v>120.401</v>
      </c>
      <c r="R102" s="788"/>
      <c r="S102" s="637"/>
    </row>
    <row r="103" spans="1:23" ht="13.5" thickBot="1">
      <c r="A103" s="636"/>
      <c r="B103" s="556" t="s">
        <v>1573</v>
      </c>
      <c r="C103" s="529">
        <v>922.98700000000008</v>
      </c>
      <c r="D103" s="529">
        <v>1563.201</v>
      </c>
      <c r="E103" s="529">
        <v>274.2</v>
      </c>
      <c r="F103" s="529">
        <v>735.72499999999991</v>
      </c>
      <c r="G103" s="529">
        <v>0</v>
      </c>
      <c r="H103" s="529">
        <v>0</v>
      </c>
      <c r="I103" s="674">
        <f t="shared" si="27"/>
        <v>3496.1129999999998</v>
      </c>
      <c r="J103" s="529">
        <v>54</v>
      </c>
      <c r="K103" s="529">
        <v>0</v>
      </c>
      <c r="L103" s="529">
        <v>0</v>
      </c>
      <c r="M103" s="529">
        <v>120.401</v>
      </c>
      <c r="N103" s="529">
        <v>3165.2400000000002</v>
      </c>
      <c r="O103" s="529">
        <v>615.39499999999998</v>
      </c>
      <c r="P103" s="783">
        <f t="shared" si="31"/>
        <v>3955.0360000000001</v>
      </c>
      <c r="Q103" s="801">
        <f t="shared" si="30"/>
        <v>7451.1489999999994</v>
      </c>
      <c r="R103" s="792"/>
      <c r="S103" s="637"/>
    </row>
    <row r="104" spans="1:23" ht="13.5" thickBot="1">
      <c r="A104" s="552" t="s">
        <v>32</v>
      </c>
      <c r="B104" s="1534" t="s">
        <v>33</v>
      </c>
      <c r="C104" s="529">
        <v>0</v>
      </c>
      <c r="D104" s="529">
        <v>0</v>
      </c>
      <c r="E104" s="529">
        <v>0</v>
      </c>
      <c r="F104" s="529">
        <v>0</v>
      </c>
      <c r="G104" s="529">
        <v>0</v>
      </c>
      <c r="H104" s="529">
        <v>0</v>
      </c>
      <c r="I104" s="674">
        <f t="shared" si="27"/>
        <v>0</v>
      </c>
      <c r="J104" s="529">
        <v>0</v>
      </c>
      <c r="K104" s="529">
        <v>0</v>
      </c>
      <c r="L104" s="529">
        <v>0</v>
      </c>
      <c r="M104" s="529">
        <v>0</v>
      </c>
      <c r="N104" s="529">
        <v>0</v>
      </c>
      <c r="O104" s="529">
        <v>0</v>
      </c>
      <c r="P104" s="783">
        <f t="shared" si="31"/>
        <v>0</v>
      </c>
      <c r="Q104" s="801">
        <f t="shared" si="30"/>
        <v>0</v>
      </c>
      <c r="R104" s="791"/>
      <c r="S104" s="637"/>
    </row>
    <row r="105" spans="1:23" ht="13.5" thickBot="1">
      <c r="A105" s="552" t="s">
        <v>34</v>
      </c>
      <c r="B105" s="547" t="s">
        <v>37</v>
      </c>
      <c r="C105" s="529">
        <v>0</v>
      </c>
      <c r="D105" s="529">
        <v>0</v>
      </c>
      <c r="E105" s="529">
        <v>0</v>
      </c>
      <c r="F105" s="529">
        <v>0</v>
      </c>
      <c r="G105" s="529">
        <v>0</v>
      </c>
      <c r="H105" s="529">
        <v>0</v>
      </c>
      <c r="I105" s="674">
        <f t="shared" si="27"/>
        <v>0</v>
      </c>
      <c r="J105" s="529">
        <v>0</v>
      </c>
      <c r="K105" s="529">
        <v>0</v>
      </c>
      <c r="L105" s="529">
        <v>0</v>
      </c>
      <c r="M105" s="529">
        <v>0</v>
      </c>
      <c r="N105" s="529">
        <v>0</v>
      </c>
      <c r="O105" s="529">
        <v>0</v>
      </c>
      <c r="P105" s="783">
        <f t="shared" si="31"/>
        <v>0</v>
      </c>
      <c r="Q105" s="801">
        <f t="shared" si="30"/>
        <v>0</v>
      </c>
      <c r="R105" s="561"/>
      <c r="S105" s="637"/>
    </row>
    <row r="106" spans="1:23" ht="13.5" thickBot="1">
      <c r="A106" s="552" t="s">
        <v>38</v>
      </c>
      <c r="B106" s="550" t="s">
        <v>39</v>
      </c>
      <c r="C106" s="529">
        <v>0</v>
      </c>
      <c r="D106" s="529">
        <v>0</v>
      </c>
      <c r="E106" s="529">
        <v>0</v>
      </c>
      <c r="F106" s="529">
        <v>0</v>
      </c>
      <c r="G106" s="529">
        <v>0</v>
      </c>
      <c r="H106" s="529">
        <v>6476.5</v>
      </c>
      <c r="I106" s="674">
        <f t="shared" si="27"/>
        <v>6476.5</v>
      </c>
      <c r="J106" s="529">
        <v>0</v>
      </c>
      <c r="K106" s="529">
        <v>0</v>
      </c>
      <c r="L106" s="529">
        <v>0</v>
      </c>
      <c r="M106" s="529">
        <v>0</v>
      </c>
      <c r="N106" s="529">
        <v>0</v>
      </c>
      <c r="O106" s="529">
        <v>0</v>
      </c>
      <c r="P106" s="783">
        <f t="shared" si="31"/>
        <v>0</v>
      </c>
      <c r="Q106" s="801">
        <f t="shared" si="30"/>
        <v>6476.5</v>
      </c>
      <c r="R106" s="796"/>
      <c r="S106" s="637"/>
    </row>
    <row r="107" spans="1:23" ht="13.5" thickBot="1">
      <c r="A107" s="638" t="s">
        <v>1620</v>
      </c>
      <c r="B107" s="550" t="s">
        <v>40</v>
      </c>
      <c r="C107" s="529">
        <v>0</v>
      </c>
      <c r="D107" s="529">
        <v>0</v>
      </c>
      <c r="E107" s="529">
        <v>0</v>
      </c>
      <c r="F107" s="529">
        <v>0</v>
      </c>
      <c r="G107" s="529">
        <v>0</v>
      </c>
      <c r="H107" s="529">
        <v>0</v>
      </c>
      <c r="I107" s="674">
        <f t="shared" si="27"/>
        <v>0</v>
      </c>
      <c r="J107" s="529">
        <v>0</v>
      </c>
      <c r="K107" s="529">
        <v>0</v>
      </c>
      <c r="L107" s="529">
        <v>0</v>
      </c>
      <c r="M107" s="529">
        <v>0</v>
      </c>
      <c r="N107" s="529">
        <v>0</v>
      </c>
      <c r="O107" s="529">
        <v>0</v>
      </c>
      <c r="P107" s="783">
        <f t="shared" si="31"/>
        <v>0</v>
      </c>
      <c r="Q107" s="801">
        <f t="shared" si="30"/>
        <v>0</v>
      </c>
      <c r="R107" s="796"/>
      <c r="S107" s="637"/>
    </row>
    <row r="108" spans="1:23" ht="13.5" thickBot="1">
      <c r="A108" s="646"/>
      <c r="B108" s="550" t="s">
        <v>41</v>
      </c>
      <c r="C108" s="529">
        <v>0</v>
      </c>
      <c r="D108" s="529">
        <v>0</v>
      </c>
      <c r="E108" s="529">
        <v>0</v>
      </c>
      <c r="F108" s="529">
        <v>0</v>
      </c>
      <c r="G108" s="529">
        <v>0</v>
      </c>
      <c r="H108" s="529">
        <v>0</v>
      </c>
      <c r="I108" s="674">
        <f t="shared" si="27"/>
        <v>0</v>
      </c>
      <c r="J108" s="529">
        <v>0</v>
      </c>
      <c r="K108" s="529">
        <v>0</v>
      </c>
      <c r="L108" s="529">
        <v>0</v>
      </c>
      <c r="M108" s="529">
        <v>0</v>
      </c>
      <c r="N108" s="529">
        <v>0</v>
      </c>
      <c r="O108" s="551">
        <v>0</v>
      </c>
      <c r="P108" s="803">
        <f t="shared" si="31"/>
        <v>0</v>
      </c>
      <c r="Q108" s="802">
        <f t="shared" si="30"/>
        <v>0</v>
      </c>
      <c r="R108" s="797"/>
      <c r="S108" s="647"/>
    </row>
    <row r="109" spans="1:23" ht="13.5" thickBot="1">
      <c r="A109" s="807"/>
      <c r="B109" s="557" t="s">
        <v>42</v>
      </c>
      <c r="C109" s="808">
        <f t="shared" ref="C109:H109" si="38">+C59+C86</f>
        <v>168512.23199999999</v>
      </c>
      <c r="D109" s="808">
        <f>+D59+D86</f>
        <v>303293.49599999998</v>
      </c>
      <c r="E109" s="808">
        <f>+E59+E86</f>
        <v>141131.94900000002</v>
      </c>
      <c r="F109" s="808">
        <f t="shared" si="38"/>
        <v>169469.16999999998</v>
      </c>
      <c r="G109" s="808">
        <f t="shared" si="38"/>
        <v>340100.41500000004</v>
      </c>
      <c r="H109" s="808">
        <f t="shared" si="38"/>
        <v>192295.88599999997</v>
      </c>
      <c r="I109" s="809">
        <f t="shared" ref="I109:N109" si="39">+I59+I86</f>
        <v>1314803.148</v>
      </c>
      <c r="J109" s="1648">
        <f>+J59+J86</f>
        <v>244970.58100000001</v>
      </c>
      <c r="K109" s="1648">
        <f t="shared" si="39"/>
        <v>163184.35600000003</v>
      </c>
      <c r="L109" s="1649">
        <f t="shared" si="39"/>
        <v>161544.44199999998</v>
      </c>
      <c r="M109" s="1648">
        <f t="shared" si="39"/>
        <v>204343.932</v>
      </c>
      <c r="N109" s="1648">
        <f t="shared" si="39"/>
        <v>155963.011</v>
      </c>
      <c r="O109" s="1648">
        <f>O59+O86</f>
        <v>185004.867</v>
      </c>
      <c r="P109" s="810">
        <f>SUM(J109:O109)</f>
        <v>1115011.189</v>
      </c>
      <c r="Q109" s="800">
        <f t="shared" si="30"/>
        <v>2429814.3370000003</v>
      </c>
      <c r="R109" s="798">
        <f>+R59+R86</f>
        <v>0</v>
      </c>
      <c r="S109" s="648"/>
    </row>
    <row r="110" spans="1:23" ht="14.25" thickTop="1" thickBot="1">
      <c r="A110" s="811"/>
      <c r="B110" s="823" t="s">
        <v>43</v>
      </c>
      <c r="C110" s="812">
        <f>+C109+C58</f>
        <v>2450862.7989999996</v>
      </c>
      <c r="D110" s="813">
        <f>+D109+D58</f>
        <v>2735687.6799999997</v>
      </c>
      <c r="E110" s="812">
        <f>+E109+E58</f>
        <v>3151825.7559999996</v>
      </c>
      <c r="F110" s="812">
        <f>+F109+F58</f>
        <v>2689911.5830000001</v>
      </c>
      <c r="G110" s="1483">
        <f>+G58+G109</f>
        <v>3678053.0559999999</v>
      </c>
      <c r="H110" s="812">
        <f>+H58+H109</f>
        <v>7853235.7119999984</v>
      </c>
      <c r="I110" s="814">
        <f>SUM(C110:H110)</f>
        <v>22559576.585999999</v>
      </c>
      <c r="J110" s="1650">
        <f t="shared" ref="J110:O110" si="40">+J109+J58</f>
        <v>5933700.7090000017</v>
      </c>
      <c r="K110" s="1650">
        <f t="shared" si="40"/>
        <v>3366366.6220400003</v>
      </c>
      <c r="L110" s="1650">
        <f t="shared" si="40"/>
        <v>2844148.2389999996</v>
      </c>
      <c r="M110" s="1650">
        <f t="shared" si="40"/>
        <v>2998443.591</v>
      </c>
      <c r="N110" s="1650">
        <f t="shared" si="40"/>
        <v>2366802.0269999998</v>
      </c>
      <c r="O110" s="1650">
        <f t="shared" si="40"/>
        <v>2826555.861</v>
      </c>
      <c r="P110" s="815">
        <f t="shared" si="31"/>
        <v>20336017.049040005</v>
      </c>
      <c r="Q110" s="816">
        <f t="shared" si="30"/>
        <v>42895593.63504</v>
      </c>
      <c r="R110" s="785">
        <f>+R109+R58</f>
        <v>0</v>
      </c>
      <c r="S110" s="649"/>
    </row>
    <row r="111" spans="1:23" ht="17.25" thickTop="1" thickBot="1">
      <c r="A111" s="817"/>
      <c r="B111" s="818" t="s">
        <v>2795</v>
      </c>
      <c r="C111" s="1568"/>
      <c r="D111" s="1569"/>
      <c r="E111" s="1568"/>
      <c r="F111" s="1568"/>
      <c r="G111" s="1568"/>
      <c r="H111" s="1568"/>
      <c r="I111" s="820">
        <f>SUM(C111:H111)</f>
        <v>0</v>
      </c>
      <c r="J111" s="819"/>
      <c r="K111" s="819"/>
      <c r="L111" s="819"/>
      <c r="M111" s="819"/>
      <c r="N111" s="819"/>
      <c r="O111" s="819"/>
      <c r="P111" s="1132">
        <f>SUM(J111:O111)</f>
        <v>0</v>
      </c>
      <c r="Q111" s="821">
        <f t="shared" si="30"/>
        <v>0</v>
      </c>
    </row>
    <row r="112" spans="1:23" ht="16.5" thickBot="1">
      <c r="A112" s="702"/>
      <c r="B112" s="1128" t="s">
        <v>2754</v>
      </c>
      <c r="C112" s="822">
        <f>C110-C111</f>
        <v>2450862.7989999996</v>
      </c>
      <c r="D112" s="822">
        <f t="shared" ref="D112:J112" si="41">D110-D111</f>
        <v>2735687.6799999997</v>
      </c>
      <c r="E112" s="822">
        <f t="shared" si="41"/>
        <v>3151825.7559999996</v>
      </c>
      <c r="F112" s="822">
        <f t="shared" si="41"/>
        <v>2689911.5830000001</v>
      </c>
      <c r="G112" s="822">
        <f t="shared" si="41"/>
        <v>3678053.0559999999</v>
      </c>
      <c r="H112" s="822">
        <f t="shared" si="41"/>
        <v>7853235.7119999984</v>
      </c>
      <c r="I112" s="1130">
        <f>+I110-I111</f>
        <v>22559576.585999999</v>
      </c>
      <c r="J112" s="822">
        <f t="shared" si="41"/>
        <v>5933700.7090000017</v>
      </c>
      <c r="K112" s="822">
        <f>K110-K111</f>
        <v>3366366.6220400003</v>
      </c>
      <c r="L112" s="822">
        <f>L110-L111</f>
        <v>2844148.2389999996</v>
      </c>
      <c r="M112" s="822">
        <f>M110-M111</f>
        <v>2998443.591</v>
      </c>
      <c r="N112" s="822">
        <f>N110-N111</f>
        <v>2366802.0269999998</v>
      </c>
      <c r="O112" s="822">
        <f>+O110-O111</f>
        <v>2826555.861</v>
      </c>
      <c r="P112" s="1133">
        <f>+J112+K112+L112+M112+N112+O112</f>
        <v>20336017.049040005</v>
      </c>
      <c r="Q112" s="1208">
        <f t="shared" si="30"/>
        <v>42895593.63504</v>
      </c>
      <c r="R112" s="27"/>
      <c r="S112" s="27"/>
    </row>
    <row r="113" spans="1:21" ht="15.75">
      <c r="A113" s="840"/>
      <c r="B113" s="1129"/>
      <c r="C113" s="1563"/>
      <c r="D113" s="1563"/>
      <c r="E113" s="1563"/>
      <c r="F113" s="1563"/>
      <c r="G113" s="1563"/>
      <c r="H113" s="1127"/>
      <c r="I113" s="1131">
        <f>+C113+D113+E113+F113+G113+H113</f>
        <v>0</v>
      </c>
      <c r="J113" s="1127"/>
      <c r="K113" s="1127"/>
      <c r="L113" s="1127"/>
      <c r="M113" s="1127"/>
      <c r="N113" s="1127"/>
      <c r="O113" s="1127"/>
      <c r="P113" s="1131">
        <f>+J113+K113+L113+M113+N113+O113</f>
        <v>0</v>
      </c>
      <c r="Q113" s="1134">
        <f>+I113+P113</f>
        <v>0</v>
      </c>
      <c r="R113" s="27"/>
      <c r="S113" s="27"/>
      <c r="U113" s="10"/>
    </row>
    <row r="114" spans="1:21">
      <c r="A114" s="840"/>
      <c r="B114" s="840"/>
      <c r="C114" s="884"/>
      <c r="D114" s="884"/>
      <c r="E114" s="884"/>
      <c r="F114" s="884"/>
      <c r="G114" s="884"/>
      <c r="H114" s="841"/>
      <c r="I114" s="706"/>
      <c r="J114" s="841"/>
      <c r="K114" s="841"/>
      <c r="L114" s="841"/>
      <c r="M114" s="841"/>
      <c r="N114" s="841"/>
      <c r="O114" s="841"/>
      <c r="P114" s="884">
        <f>SUM(C114:O114)</f>
        <v>0</v>
      </c>
      <c r="Q114" s="654"/>
      <c r="R114" s="27"/>
      <c r="S114" s="27"/>
    </row>
    <row r="115" spans="1:21">
      <c r="B115" s="1519"/>
      <c r="C115" s="1518">
        <f>DGA!C46/1000</f>
        <v>139709.016</v>
      </c>
      <c r="D115" s="1518">
        <f>DGA!D46/1000</f>
        <v>204794.07699999999</v>
      </c>
      <c r="E115" s="1518">
        <f>DGA!E46/1000</f>
        <v>165907.10500000001</v>
      </c>
      <c r="F115" s="1518">
        <f>DGA!F46/1000</f>
        <v>171306.641</v>
      </c>
      <c r="G115" s="1518">
        <f>DGA!G46/1000</f>
        <v>190722.69500000001</v>
      </c>
      <c r="H115" s="1518">
        <f>DGA!H46/1000</f>
        <v>196377.85200000001</v>
      </c>
      <c r="I115" s="2186">
        <f>DGA!I46/1000</f>
        <v>166768.34</v>
      </c>
      <c r="J115" s="2186">
        <f>DGA!J46/1000</f>
        <v>113199.181</v>
      </c>
      <c r="K115" s="1518">
        <f>DGA!K46/1000</f>
        <v>150383.954</v>
      </c>
      <c r="L115" s="1518">
        <f>DGA!L46/1000</f>
        <v>196720.601</v>
      </c>
      <c r="M115" s="1518">
        <f>DGA!M46/1000</f>
        <v>139310.62599999999</v>
      </c>
      <c r="N115" s="1518">
        <f>DGA!N46/1000</f>
        <v>166618.34899999999</v>
      </c>
      <c r="O115" s="1520">
        <f>SUM(C115:N115)</f>
        <v>2001818.4369999999</v>
      </c>
      <c r="P115" s="1520"/>
      <c r="Q115" s="1520"/>
    </row>
    <row r="116" spans="1:21" s="1375" customFormat="1">
      <c r="B116" s="1521"/>
      <c r="C116" s="1522">
        <f>C15</f>
        <v>153958.614</v>
      </c>
      <c r="D116" s="1522">
        <f t="shared" ref="D116:H116" si="42">D15</f>
        <v>216224.65600000002</v>
      </c>
      <c r="E116" s="1522">
        <f t="shared" si="42"/>
        <v>168891.81799999997</v>
      </c>
      <c r="F116" s="1522">
        <f>F15</f>
        <v>4288.1239999999998</v>
      </c>
      <c r="G116" s="1522">
        <f t="shared" si="42"/>
        <v>224039.90199999997</v>
      </c>
      <c r="H116" s="1522">
        <f t="shared" si="42"/>
        <v>196377.85199999998</v>
      </c>
      <c r="I116" s="2187">
        <f>J15</f>
        <v>168189.67800000001</v>
      </c>
      <c r="J116" s="2187">
        <f t="shared" ref="J116:N116" si="43">K15</f>
        <v>113199.181</v>
      </c>
      <c r="K116" s="1522">
        <f t="shared" si="43"/>
        <v>151834.40700000004</v>
      </c>
      <c r="L116" s="1522">
        <f>M15</f>
        <v>0</v>
      </c>
      <c r="M116" s="1522">
        <f t="shared" si="43"/>
        <v>0</v>
      </c>
      <c r="N116" s="1522">
        <f t="shared" si="43"/>
        <v>0</v>
      </c>
      <c r="O116" s="1520">
        <f>SUM(C116:N116)</f>
        <v>1397004.2320000001</v>
      </c>
      <c r="P116" s="1522"/>
      <c r="Q116" s="1522"/>
    </row>
    <row r="117" spans="1:21">
      <c r="B117" s="1519"/>
      <c r="C117" s="1520"/>
      <c r="D117" s="1520"/>
      <c r="E117" s="1520"/>
      <c r="F117" s="1520"/>
      <c r="G117" s="1520"/>
      <c r="H117" s="1520"/>
      <c r="I117" s="1524"/>
      <c r="J117" s="1524"/>
      <c r="K117" s="1524"/>
      <c r="L117" s="1524"/>
      <c r="M117" s="1524"/>
      <c r="N117" s="1647"/>
      <c r="O117" s="1524"/>
      <c r="P117" s="1519"/>
      <c r="Q117" s="1519"/>
    </row>
    <row r="118" spans="1:21">
      <c r="B118" s="1519"/>
      <c r="C118" s="1520"/>
      <c r="D118" s="1520"/>
      <c r="E118" s="1520"/>
      <c r="F118" s="1520"/>
      <c r="G118" s="1520"/>
      <c r="H118" s="1519"/>
      <c r="I118" s="1524"/>
      <c r="J118" s="1524"/>
      <c r="K118" s="1524"/>
      <c r="L118" s="1524"/>
      <c r="M118" s="1524"/>
      <c r="N118" s="1524"/>
      <c r="O118" s="1524"/>
      <c r="P118" s="1519"/>
      <c r="Q118" s="1519"/>
    </row>
    <row r="119" spans="1:21">
      <c r="A119" s="861"/>
      <c r="B119" s="1519"/>
      <c r="C119" s="1519"/>
      <c r="D119" s="1519"/>
      <c r="E119" s="1519"/>
      <c r="F119" s="1519"/>
      <c r="G119" s="1519"/>
      <c r="H119" s="1519"/>
      <c r="I119" s="1524"/>
      <c r="J119" s="1524"/>
      <c r="K119" s="1524"/>
      <c r="L119" s="1524"/>
      <c r="M119" s="1524"/>
      <c r="N119" s="1524"/>
      <c r="O119" s="1524"/>
      <c r="P119" s="1519"/>
      <c r="Q119" s="1519"/>
    </row>
    <row r="120" spans="1:21">
      <c r="A120" s="861"/>
      <c r="I120" s="1520"/>
      <c r="J120" s="1520"/>
      <c r="K120" s="1520"/>
      <c r="L120" s="1520"/>
      <c r="M120" s="1520"/>
      <c r="N120" s="1520"/>
      <c r="O120" s="1520"/>
    </row>
    <row r="121" spans="1:21">
      <c r="B121" s="559" t="s">
        <v>2849</v>
      </c>
      <c r="C121" s="10">
        <f t="shared" ref="C121:H121" si="44">+C58</f>
        <v>2282350.5669999998</v>
      </c>
      <c r="D121" s="10">
        <f t="shared" si="44"/>
        <v>2432394.1839999999</v>
      </c>
      <c r="E121" s="10">
        <f t="shared" si="44"/>
        <v>3010693.8069999996</v>
      </c>
      <c r="F121" s="10">
        <f t="shared" si="44"/>
        <v>2520442.4130000002</v>
      </c>
      <c r="G121" s="10">
        <f t="shared" si="44"/>
        <v>3337952.6409999998</v>
      </c>
      <c r="H121" s="10">
        <f t="shared" si="44"/>
        <v>7660939.8259999985</v>
      </c>
      <c r="I121" s="10"/>
      <c r="J121" s="10"/>
      <c r="K121" s="10"/>
      <c r="L121" s="10"/>
      <c r="M121" s="10"/>
      <c r="N121" s="10"/>
      <c r="O121" s="10"/>
      <c r="P121" s="10"/>
      <c r="Q121" s="10">
        <f>SUM(C121:P121)</f>
        <v>21244773.437999997</v>
      </c>
    </row>
    <row r="122" spans="1:21">
      <c r="B122" s="559" t="s">
        <v>2850</v>
      </c>
      <c r="C122" s="10">
        <f t="shared" ref="C122:H122" si="45">+C109</f>
        <v>168512.23199999999</v>
      </c>
      <c r="D122" s="10">
        <f t="shared" si="45"/>
        <v>303293.49599999998</v>
      </c>
      <c r="E122" s="10">
        <f t="shared" si="45"/>
        <v>141131.94900000002</v>
      </c>
      <c r="F122" s="10">
        <f t="shared" si="45"/>
        <v>169469.16999999998</v>
      </c>
      <c r="G122" s="10">
        <f t="shared" si="45"/>
        <v>340100.41500000004</v>
      </c>
      <c r="H122" s="10">
        <f t="shared" si="45"/>
        <v>192295.88599999997</v>
      </c>
      <c r="I122" s="10"/>
      <c r="J122" s="10"/>
      <c r="K122" s="10"/>
      <c r="L122" s="10"/>
      <c r="M122" s="10"/>
      <c r="N122" s="10"/>
      <c r="O122" s="10"/>
      <c r="P122" s="10"/>
      <c r="Q122" s="10">
        <f>SUM(C122:P122)</f>
        <v>1314803.148</v>
      </c>
    </row>
    <row r="123" spans="1:21">
      <c r="D123" s="1393"/>
    </row>
    <row r="124" spans="1:21">
      <c r="D124" s="1393"/>
      <c r="N124" s="1523"/>
      <c r="O124" s="1519"/>
      <c r="P124" s="1524"/>
    </row>
    <row r="125" spans="1:21">
      <c r="D125" s="1394"/>
    </row>
    <row r="127" spans="1:21">
      <c r="M127" s="1523"/>
      <c r="N127" s="1519"/>
      <c r="O127" s="1519"/>
      <c r="P127" s="1519"/>
      <c r="Q127" s="1519"/>
      <c r="R127" s="1519"/>
      <c r="S127" s="1519"/>
      <c r="T127" s="1519"/>
      <c r="U127" s="1519"/>
    </row>
  </sheetData>
  <mergeCells count="2">
    <mergeCell ref="B6:S6"/>
    <mergeCell ref="B7:S7"/>
  </mergeCells>
  <phoneticPr fontId="0" type="noConversion"/>
  <printOptions horizontalCentered="1"/>
  <pageMargins left="0.15748031496062992" right="0.15748031496062992" top="0.39370078740157483" bottom="0.15748031496062992" header="0" footer="0"/>
  <pageSetup paperSize="9" scale="70" orientation="landscape" horizontalDpi="300" verticalDpi="300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lha6"/>
  <dimension ref="A1:S6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15" sqref="A15"/>
    </sheetView>
  </sheetViews>
  <sheetFormatPr defaultRowHeight="12.75"/>
  <cols>
    <col min="1" max="1" width="17.28515625" customWidth="1"/>
    <col min="2" max="2" width="13.5703125" customWidth="1"/>
    <col min="3" max="10" width="17" customWidth="1"/>
    <col min="11" max="13" width="15.85546875" style="1519" customWidth="1"/>
    <col min="14" max="14" width="16.140625" style="1519" customWidth="1"/>
    <col min="15" max="15" width="17.7109375" customWidth="1"/>
    <col min="16" max="16" width="15.28515625" customWidth="1"/>
    <col min="17" max="17" width="16.85546875" customWidth="1"/>
    <col min="18" max="18" width="11.140625" customWidth="1"/>
    <col min="19" max="19" width="12" customWidth="1"/>
    <col min="20" max="20" width="12.7109375" customWidth="1"/>
    <col min="21" max="21" width="11.7109375" customWidth="1"/>
  </cols>
  <sheetData>
    <row r="1" spans="1:17" ht="20.25">
      <c r="A1" s="2278" t="s">
        <v>3031</v>
      </c>
      <c r="B1" s="2278"/>
      <c r="C1" s="2278"/>
      <c r="D1" s="2278"/>
      <c r="E1" s="2278"/>
      <c r="F1" s="2278"/>
      <c r="G1" s="2278"/>
      <c r="H1" s="2278"/>
      <c r="I1" s="2278"/>
      <c r="J1" s="2278"/>
      <c r="K1" s="2278"/>
      <c r="L1" s="2278"/>
      <c r="M1" s="2278"/>
      <c r="N1" s="2278"/>
      <c r="O1" s="2278"/>
      <c r="P1" s="2278"/>
      <c r="Q1" s="2278"/>
    </row>
    <row r="2" spans="1:17" ht="3" customHeight="1">
      <c r="A2" s="2277"/>
      <c r="B2" s="2277"/>
      <c r="C2" s="2277"/>
      <c r="D2" s="2277"/>
      <c r="E2" s="2277"/>
      <c r="F2" s="2277"/>
      <c r="G2" s="2277"/>
      <c r="H2" s="2277"/>
      <c r="I2" s="2277"/>
      <c r="J2" s="2277"/>
      <c r="K2" s="2277"/>
      <c r="L2" s="2277"/>
      <c r="M2" s="2277"/>
      <c r="N2" s="2277"/>
      <c r="O2" s="2277"/>
      <c r="P2" s="2277"/>
      <c r="Q2" s="2277"/>
    </row>
    <row r="3" spans="1:17" ht="21.75" customHeight="1">
      <c r="A3" s="720" t="s">
        <v>290</v>
      </c>
      <c r="B3" s="722" t="s">
        <v>1512</v>
      </c>
      <c r="C3" s="2274" t="s">
        <v>3032</v>
      </c>
      <c r="D3" s="2275"/>
      <c r="E3" s="2275"/>
      <c r="F3" s="2275"/>
      <c r="G3" s="2275"/>
      <c r="H3" s="2275"/>
      <c r="I3" s="2275"/>
      <c r="J3" s="2275"/>
      <c r="K3" s="2275"/>
      <c r="L3" s="2275"/>
      <c r="M3" s="2275"/>
      <c r="N3" s="2276"/>
      <c r="O3" s="677" t="s">
        <v>291</v>
      </c>
      <c r="P3" s="676" t="s">
        <v>292</v>
      </c>
      <c r="Q3" s="676" t="s">
        <v>293</v>
      </c>
    </row>
    <row r="4" spans="1:17">
      <c r="A4" s="720" t="s">
        <v>294</v>
      </c>
      <c r="B4" s="720"/>
      <c r="C4" s="721" t="s">
        <v>1513</v>
      </c>
      <c r="D4" s="721" t="s">
        <v>2997</v>
      </c>
      <c r="E4" s="721" t="s">
        <v>1514</v>
      </c>
      <c r="F4" s="721" t="s">
        <v>1515</v>
      </c>
      <c r="G4" s="721" t="s">
        <v>1516</v>
      </c>
      <c r="H4" s="721" t="s">
        <v>1517</v>
      </c>
      <c r="I4" s="721" t="s">
        <v>1518</v>
      </c>
      <c r="J4" s="721" t="s">
        <v>1519</v>
      </c>
      <c r="K4" s="1610" t="s">
        <v>1520</v>
      </c>
      <c r="L4" s="1610" t="s">
        <v>1521</v>
      </c>
      <c r="M4" s="1610" t="s">
        <v>1522</v>
      </c>
      <c r="N4" s="1610" t="s">
        <v>1523</v>
      </c>
      <c r="O4" s="677" t="s">
        <v>295</v>
      </c>
      <c r="P4" s="676" t="s">
        <v>2774</v>
      </c>
      <c r="Q4" s="676" t="s">
        <v>296</v>
      </c>
    </row>
    <row r="5" spans="1:17">
      <c r="A5" s="520" t="s">
        <v>1524</v>
      </c>
      <c r="B5" s="520"/>
      <c r="C5" s="24">
        <f t="shared" ref="C5:H5" si="0">SUM(C6+C7+C8)</f>
        <v>807120743</v>
      </c>
      <c r="D5" s="1471">
        <f t="shared" si="0"/>
        <v>1054923369</v>
      </c>
      <c r="E5" s="24">
        <f>SUM(E6+E7+E8)</f>
        <v>970267114</v>
      </c>
      <c r="F5" s="24">
        <f>SUM(F6+F7+F8)</f>
        <v>803018075</v>
      </c>
      <c r="G5" s="24">
        <f t="shared" si="0"/>
        <v>1210067142</v>
      </c>
      <c r="H5" s="24">
        <f t="shared" si="0"/>
        <v>942069347</v>
      </c>
      <c r="I5" s="24">
        <f>SUM(I8+I7+I6)</f>
        <v>961435069</v>
      </c>
      <c r="J5" s="24">
        <f>SUM(J6+J7+J8)</f>
        <v>764205144</v>
      </c>
      <c r="K5" s="1611">
        <f>SUM(K6+K7+K8)</f>
        <v>873608237</v>
      </c>
      <c r="L5" s="1611">
        <f>SUM(L6+L7+L8)</f>
        <v>1042581468</v>
      </c>
      <c r="M5" s="1611">
        <f>SUM(M6+M7+M8)</f>
        <v>677007043</v>
      </c>
      <c r="N5" s="1611">
        <f>N6+N7+N8</f>
        <v>905389104</v>
      </c>
      <c r="O5" s="24">
        <f>SUM(C5:N5)</f>
        <v>11011691855</v>
      </c>
      <c r="P5" s="24">
        <f>SUM(P6:P8)</f>
        <v>0</v>
      </c>
      <c r="Q5" s="521" t="e">
        <f>SUM(O5*100/P5)</f>
        <v>#DIV/0!</v>
      </c>
    </row>
    <row r="6" spans="1:17">
      <c r="A6" s="522" t="s">
        <v>297</v>
      </c>
      <c r="B6" s="23" t="s">
        <v>1525</v>
      </c>
      <c r="C6" s="25">
        <v>103328047</v>
      </c>
      <c r="D6" s="25">
        <v>66121431</v>
      </c>
      <c r="E6" s="25">
        <v>76276699</v>
      </c>
      <c r="F6" s="25">
        <v>85359817</v>
      </c>
      <c r="G6" s="25">
        <v>109138143</v>
      </c>
      <c r="H6" s="25">
        <v>79478796</v>
      </c>
      <c r="I6" s="25">
        <v>104706045</v>
      </c>
      <c r="J6" s="1562">
        <v>93683192</v>
      </c>
      <c r="K6" s="1612">
        <v>107086446</v>
      </c>
      <c r="L6" s="1612">
        <v>98082490</v>
      </c>
      <c r="M6" s="1612">
        <v>94958611</v>
      </c>
      <c r="N6" s="1612">
        <v>74038801</v>
      </c>
      <c r="O6" s="24">
        <v>74038801</v>
      </c>
      <c r="P6" s="26"/>
      <c r="Q6" s="521" t="e">
        <f>SUM(O6*100/P6)</f>
        <v>#DIV/0!</v>
      </c>
    </row>
    <row r="7" spans="1:17">
      <c r="A7" s="522" t="s">
        <v>298</v>
      </c>
      <c r="B7" s="23" t="s">
        <v>1526</v>
      </c>
      <c r="C7" s="25">
        <v>174630392</v>
      </c>
      <c r="D7" s="25">
        <v>175065847</v>
      </c>
      <c r="E7" s="25">
        <v>177459107</v>
      </c>
      <c r="F7" s="25">
        <v>83532997</v>
      </c>
      <c r="G7" s="25">
        <v>244559452</v>
      </c>
      <c r="H7" s="25">
        <v>125811654</v>
      </c>
      <c r="I7" s="25">
        <v>118612280</v>
      </c>
      <c r="J7" s="1562">
        <v>154990692</v>
      </c>
      <c r="K7" s="600">
        <v>105027404</v>
      </c>
      <c r="L7" s="600">
        <v>177853671</v>
      </c>
      <c r="M7" s="600">
        <v>58874154</v>
      </c>
      <c r="N7" s="600">
        <v>74439854</v>
      </c>
      <c r="O7" s="24">
        <v>74439854</v>
      </c>
      <c r="P7" s="25"/>
      <c r="Q7" s="521" t="e">
        <f>SUM(O7*100/P7)</f>
        <v>#DIV/0!</v>
      </c>
    </row>
    <row r="8" spans="1:17">
      <c r="A8" s="522" t="s">
        <v>299</v>
      </c>
      <c r="B8" s="23" t="s">
        <v>1527</v>
      </c>
      <c r="C8" s="600">
        <v>529162304</v>
      </c>
      <c r="D8" s="25">
        <v>813736091</v>
      </c>
      <c r="E8" s="25">
        <v>716531308</v>
      </c>
      <c r="F8" s="25">
        <v>634125261</v>
      </c>
      <c r="G8" s="25">
        <v>856369547</v>
      </c>
      <c r="H8" s="25">
        <v>736778897</v>
      </c>
      <c r="I8" s="25">
        <v>738116744</v>
      </c>
      <c r="J8" s="1562">
        <v>515531260</v>
      </c>
      <c r="K8" s="600">
        <v>661494387</v>
      </c>
      <c r="L8" s="600">
        <v>766645307</v>
      </c>
      <c r="M8" s="600">
        <v>523174278</v>
      </c>
      <c r="N8" s="600">
        <v>756910449</v>
      </c>
      <c r="O8" s="24">
        <v>756910449</v>
      </c>
      <c r="P8" s="25"/>
      <c r="Q8" s="521" t="e">
        <f t="shared" ref="Q8:Q37" si="1">SUM(O8*100/P8)</f>
        <v>#DIV/0!</v>
      </c>
    </row>
    <row r="9" spans="1:17" ht="6" hidden="1" customHeight="1">
      <c r="A9" s="522"/>
      <c r="B9" s="23"/>
      <c r="C9" s="25">
        <v>0</v>
      </c>
      <c r="D9" s="25">
        <v>21394313</v>
      </c>
      <c r="E9" s="25"/>
      <c r="F9" s="25">
        <v>1001449</v>
      </c>
      <c r="G9" s="25">
        <v>748753992</v>
      </c>
      <c r="H9" s="25">
        <v>2358374626</v>
      </c>
      <c r="I9" s="25">
        <v>1974911254</v>
      </c>
      <c r="J9" s="25">
        <v>947127931</v>
      </c>
      <c r="K9" s="600">
        <v>317895611</v>
      </c>
      <c r="L9" s="600">
        <v>107037036</v>
      </c>
      <c r="M9" s="600"/>
      <c r="N9" s="600"/>
      <c r="O9" s="24">
        <f t="shared" ref="O9:O49" si="2">SUM(C9:N9)</f>
        <v>6476496212</v>
      </c>
      <c r="P9" s="25"/>
      <c r="Q9" s="521" t="e">
        <f t="shared" si="1"/>
        <v>#DIV/0!</v>
      </c>
    </row>
    <row r="10" spans="1:17" ht="12" customHeight="1">
      <c r="A10" s="522"/>
      <c r="B10" s="23"/>
      <c r="C10" s="25">
        <v>0</v>
      </c>
      <c r="D10" s="25">
        <v>0</v>
      </c>
      <c r="E10" s="25"/>
      <c r="F10" s="25">
        <v>0</v>
      </c>
      <c r="G10" s="25"/>
      <c r="H10" s="25"/>
      <c r="I10" s="25"/>
      <c r="J10" s="25"/>
      <c r="K10" s="600"/>
      <c r="L10" s="600"/>
      <c r="M10" s="600"/>
      <c r="N10" s="600"/>
      <c r="O10" s="24">
        <f t="shared" si="2"/>
        <v>0</v>
      </c>
      <c r="P10" s="25"/>
      <c r="Q10" s="521" t="e">
        <f t="shared" si="1"/>
        <v>#DIV/0!</v>
      </c>
    </row>
    <row r="11" spans="1:17">
      <c r="A11" s="520" t="s">
        <v>300</v>
      </c>
      <c r="B11" s="23">
        <v>20103</v>
      </c>
      <c r="C11" s="24">
        <v>0</v>
      </c>
      <c r="D11" s="24">
        <v>21394313</v>
      </c>
      <c r="E11" s="24"/>
      <c r="F11" s="24">
        <v>1001449</v>
      </c>
      <c r="G11" s="24">
        <v>748753992</v>
      </c>
      <c r="H11" s="24">
        <v>2358374626</v>
      </c>
      <c r="I11" s="24">
        <v>1974911254</v>
      </c>
      <c r="J11" s="24">
        <v>947127931</v>
      </c>
      <c r="K11" s="1611">
        <v>317895611</v>
      </c>
      <c r="L11" s="1611">
        <v>107037036</v>
      </c>
      <c r="M11" s="1611">
        <v>5403541</v>
      </c>
      <c r="N11" s="1611">
        <v>33555900</v>
      </c>
      <c r="O11" s="24">
        <f>SUM(C11:N11)</f>
        <v>6515455653</v>
      </c>
      <c r="P11" s="24"/>
      <c r="Q11" s="521" t="e">
        <f t="shared" si="1"/>
        <v>#DIV/0!</v>
      </c>
    </row>
    <row r="12" spans="1:17">
      <c r="A12" s="522"/>
      <c r="B12" s="23">
        <v>20103</v>
      </c>
      <c r="C12" s="25"/>
      <c r="D12" s="25"/>
      <c r="E12" s="25"/>
      <c r="F12" s="25"/>
      <c r="G12" s="25">
        <v>11786675</v>
      </c>
      <c r="H12" s="25"/>
      <c r="I12" s="25"/>
      <c r="J12" s="25"/>
      <c r="K12" s="600"/>
      <c r="L12" s="600"/>
      <c r="M12" s="600"/>
      <c r="N12" s="600"/>
      <c r="O12" s="24">
        <f t="shared" si="2"/>
        <v>11786675</v>
      </c>
      <c r="P12" s="25"/>
      <c r="Q12" s="521" t="e">
        <f t="shared" si="1"/>
        <v>#DIV/0!</v>
      </c>
    </row>
    <row r="13" spans="1:17">
      <c r="A13" s="520" t="s">
        <v>301</v>
      </c>
      <c r="B13" s="23"/>
      <c r="C13" s="24">
        <f t="shared" ref="C13:M13" si="3">SUM(C14+C15+C16)</f>
        <v>1109742976</v>
      </c>
      <c r="D13" s="1471">
        <f t="shared" si="3"/>
        <v>1307935502</v>
      </c>
      <c r="E13" s="24">
        <f>SUM(E14+E15+E16)</f>
        <v>1238804238</v>
      </c>
      <c r="F13" s="24">
        <f>SUM(F14+F15+F16)</f>
        <v>1073020978</v>
      </c>
      <c r="G13" s="24">
        <f t="shared" si="3"/>
        <v>1538877910</v>
      </c>
      <c r="H13" s="24">
        <f t="shared" si="3"/>
        <v>1266106273</v>
      </c>
      <c r="I13" s="24">
        <f>SUM(I14+I15+I16)</f>
        <v>1272964125</v>
      </c>
      <c r="J13" s="24">
        <f t="shared" si="3"/>
        <v>1028036728</v>
      </c>
      <c r="K13" s="1611">
        <f>SUM(K14+K15+K16)</f>
        <v>1087622525</v>
      </c>
      <c r="L13" s="1611">
        <f>SUM(L14+L15+L16)</f>
        <v>1378781111</v>
      </c>
      <c r="M13" s="1611">
        <f t="shared" si="3"/>
        <v>959753050</v>
      </c>
      <c r="N13" s="1611">
        <f>N14+N15+N16</f>
        <v>1134607460</v>
      </c>
      <c r="O13" s="24">
        <f t="shared" si="2"/>
        <v>14396252876</v>
      </c>
      <c r="P13" s="24">
        <f>SUM(P14:P16)</f>
        <v>0</v>
      </c>
      <c r="Q13" s="521" t="e">
        <f t="shared" si="1"/>
        <v>#DIV/0!</v>
      </c>
    </row>
    <row r="14" spans="1:17">
      <c r="A14" s="522" t="s">
        <v>297</v>
      </c>
      <c r="B14" s="23" t="s">
        <v>1528</v>
      </c>
      <c r="C14" s="25">
        <v>237210248</v>
      </c>
      <c r="D14" s="25">
        <v>154817394</v>
      </c>
      <c r="E14" s="25">
        <v>178749614</v>
      </c>
      <c r="F14" s="25">
        <v>105093598</v>
      </c>
      <c r="G14" s="25">
        <v>255676318</v>
      </c>
      <c r="H14" s="25">
        <v>186406864</v>
      </c>
      <c r="I14" s="25">
        <v>244900753</v>
      </c>
      <c r="J14" s="25">
        <v>219216778</v>
      </c>
      <c r="K14" s="600">
        <v>251102497</v>
      </c>
      <c r="L14" s="600">
        <v>230162825</v>
      </c>
      <c r="M14" s="600">
        <v>222832212</v>
      </c>
      <c r="N14" s="600">
        <v>174175787</v>
      </c>
      <c r="O14" s="24">
        <f t="shared" si="2"/>
        <v>2460344888</v>
      </c>
      <c r="P14" s="25"/>
      <c r="Q14" s="521" t="e">
        <f t="shared" si="1"/>
        <v>#DIV/0!</v>
      </c>
    </row>
    <row r="15" spans="1:17">
      <c r="A15" s="522" t="s">
        <v>298</v>
      </c>
      <c r="B15" s="23" t="s">
        <v>1529</v>
      </c>
      <c r="C15" s="25">
        <v>196109931</v>
      </c>
      <c r="D15" s="25">
        <v>196598948</v>
      </c>
      <c r="E15" s="25">
        <v>199286577</v>
      </c>
      <c r="F15" s="601">
        <v>93807555</v>
      </c>
      <c r="G15" s="25">
        <v>274640266</v>
      </c>
      <c r="H15" s="25">
        <v>141286488</v>
      </c>
      <c r="I15" s="25">
        <v>133201593</v>
      </c>
      <c r="J15" s="25">
        <v>174054548</v>
      </c>
      <c r="K15" s="600">
        <v>117945776</v>
      </c>
      <c r="L15" s="600">
        <v>199729675</v>
      </c>
      <c r="M15" s="600">
        <v>66115675</v>
      </c>
      <c r="N15" s="600">
        <v>83595957</v>
      </c>
      <c r="O15" s="24">
        <f t="shared" si="2"/>
        <v>1876372989</v>
      </c>
      <c r="P15" s="25"/>
      <c r="Q15" s="521" t="e">
        <f t="shared" si="1"/>
        <v>#DIV/0!</v>
      </c>
    </row>
    <row r="16" spans="1:17">
      <c r="A16" s="522" t="s">
        <v>299</v>
      </c>
      <c r="B16" s="23" t="s">
        <v>1530</v>
      </c>
      <c r="C16" s="25">
        <v>676422797</v>
      </c>
      <c r="D16" s="25">
        <v>956519160</v>
      </c>
      <c r="E16" s="25">
        <v>860768047</v>
      </c>
      <c r="F16" s="25">
        <v>874119825</v>
      </c>
      <c r="G16" s="25">
        <v>1008561326</v>
      </c>
      <c r="H16" s="25">
        <v>938412921</v>
      </c>
      <c r="I16" s="25">
        <v>894861779</v>
      </c>
      <c r="J16" s="25">
        <v>634765402</v>
      </c>
      <c r="K16" s="600">
        <v>718574252</v>
      </c>
      <c r="L16" s="600">
        <v>948888611</v>
      </c>
      <c r="M16" s="600">
        <v>670805163</v>
      </c>
      <c r="N16" s="600">
        <v>876835716</v>
      </c>
      <c r="O16" s="24">
        <f t="shared" si="2"/>
        <v>10059534999</v>
      </c>
      <c r="P16" s="25"/>
      <c r="Q16" s="521" t="e">
        <f t="shared" si="1"/>
        <v>#DIV/0!</v>
      </c>
    </row>
    <row r="17" spans="1:19" ht="6" hidden="1" customHeight="1">
      <c r="A17" s="522"/>
      <c r="B17" s="23"/>
      <c r="C17" s="25"/>
      <c r="D17" s="25"/>
      <c r="E17" s="25"/>
      <c r="F17" s="25"/>
      <c r="G17" s="25"/>
      <c r="H17" s="25"/>
      <c r="I17" s="25"/>
      <c r="J17" s="25"/>
      <c r="K17" s="600"/>
      <c r="L17" s="600"/>
      <c r="M17" s="600"/>
      <c r="N17" s="600">
        <v>4</v>
      </c>
      <c r="O17" s="24">
        <f>SUM(C17:N17)</f>
        <v>4</v>
      </c>
      <c r="P17" s="25"/>
      <c r="Q17" s="521" t="e">
        <f t="shared" si="1"/>
        <v>#DIV/0!</v>
      </c>
    </row>
    <row r="18" spans="1:19">
      <c r="A18" s="520" t="s">
        <v>302</v>
      </c>
      <c r="B18" s="23"/>
      <c r="C18" s="24">
        <f t="shared" ref="C18:M18" si="4">SUM(C19+C20)</f>
        <v>376623674</v>
      </c>
      <c r="D18" s="1471">
        <f t="shared" si="4"/>
        <v>306134594</v>
      </c>
      <c r="E18" s="24">
        <f>SUM(E19+E20)</f>
        <v>382624506</v>
      </c>
      <c r="F18" s="24">
        <f t="shared" si="4"/>
        <v>367451158</v>
      </c>
      <c r="G18" s="24">
        <f t="shared" si="4"/>
        <v>408296824</v>
      </c>
      <c r="H18" s="24">
        <f t="shared" si="4"/>
        <v>473008297</v>
      </c>
      <c r="I18" s="24">
        <f t="shared" si="4"/>
        <v>470457555</v>
      </c>
      <c r="J18" s="24">
        <f t="shared" si="4"/>
        <v>483241385</v>
      </c>
      <c r="K18" s="1611">
        <f>SUM(K19+K20)</f>
        <v>391480660</v>
      </c>
      <c r="L18" s="1611">
        <f t="shared" si="4"/>
        <v>429241042</v>
      </c>
      <c r="M18" s="1611">
        <f t="shared" si="4"/>
        <v>354493087</v>
      </c>
      <c r="N18" s="1611">
        <f>SUM(N19:N20)</f>
        <v>479777881</v>
      </c>
      <c r="O18" s="24">
        <f t="shared" si="2"/>
        <v>4922830663</v>
      </c>
      <c r="P18" s="24">
        <f>SUM(P19:P20)</f>
        <v>0</v>
      </c>
      <c r="Q18" s="521" t="e">
        <f t="shared" si="1"/>
        <v>#DIV/0!</v>
      </c>
    </row>
    <row r="19" spans="1:19" ht="11.25" customHeight="1">
      <c r="A19" s="522" t="s">
        <v>297</v>
      </c>
      <c r="B19" s="23" t="s">
        <v>1531</v>
      </c>
      <c r="C19" s="25">
        <v>128274428</v>
      </c>
      <c r="D19" s="25">
        <v>66121431</v>
      </c>
      <c r="E19" s="25">
        <v>95513360</v>
      </c>
      <c r="F19" s="25">
        <v>105093598</v>
      </c>
      <c r="G19" s="25">
        <v>134243248</v>
      </c>
      <c r="H19" s="25">
        <v>100337200</v>
      </c>
      <c r="I19" s="25">
        <v>130967898</v>
      </c>
      <c r="J19" s="25">
        <v>114418425</v>
      </c>
      <c r="K19" s="600">
        <v>133874434</v>
      </c>
      <c r="L19" s="600">
        <v>125725588</v>
      </c>
      <c r="M19" s="600">
        <v>119190279</v>
      </c>
      <c r="N19" s="600">
        <v>95583362</v>
      </c>
      <c r="O19" s="24">
        <f t="shared" si="2"/>
        <v>1349343251</v>
      </c>
      <c r="P19" s="25"/>
      <c r="Q19" s="521" t="e">
        <f t="shared" si="1"/>
        <v>#DIV/0!</v>
      </c>
    </row>
    <row r="20" spans="1:19" ht="15" customHeight="1">
      <c r="A20" s="522" t="s">
        <v>299</v>
      </c>
      <c r="B20" s="23" t="s">
        <v>1532</v>
      </c>
      <c r="C20" s="25">
        <v>248349246</v>
      </c>
      <c r="D20" s="25">
        <v>240013163</v>
      </c>
      <c r="E20" s="25">
        <v>287111146</v>
      </c>
      <c r="F20" s="25">
        <v>262357560</v>
      </c>
      <c r="G20" s="25">
        <v>274053576</v>
      </c>
      <c r="H20" s="25">
        <v>372671097</v>
      </c>
      <c r="I20" s="25">
        <v>339489657</v>
      </c>
      <c r="J20" s="25">
        <v>368822960</v>
      </c>
      <c r="K20" s="600">
        <v>257606226</v>
      </c>
      <c r="L20" s="600">
        <v>303515454</v>
      </c>
      <c r="M20" s="600">
        <v>235302808</v>
      </c>
      <c r="N20" s="600">
        <v>384194519</v>
      </c>
      <c r="O20" s="24">
        <f t="shared" si="2"/>
        <v>3573487412</v>
      </c>
      <c r="P20" s="25"/>
      <c r="Q20" s="521" t="e">
        <f t="shared" si="1"/>
        <v>#DIV/0!</v>
      </c>
    </row>
    <row r="21" spans="1:19" ht="12" customHeight="1">
      <c r="A21" s="522" t="s">
        <v>2268</v>
      </c>
      <c r="B21" s="23"/>
      <c r="C21" s="25">
        <v>0</v>
      </c>
      <c r="D21" s="25">
        <v>0</v>
      </c>
      <c r="E21" s="25">
        <v>0</v>
      </c>
      <c r="F21" s="25"/>
      <c r="G21" s="25"/>
      <c r="H21" s="25"/>
      <c r="I21" s="25"/>
      <c r="J21" s="25"/>
      <c r="K21" s="600"/>
      <c r="L21" s="600"/>
      <c r="M21" s="600"/>
      <c r="N21" s="600"/>
      <c r="O21" s="24">
        <f t="shared" si="2"/>
        <v>0</v>
      </c>
      <c r="P21" s="25">
        <v>0</v>
      </c>
      <c r="Q21" s="521" t="e">
        <f t="shared" si="1"/>
        <v>#DIV/0!</v>
      </c>
    </row>
    <row r="22" spans="1:19" ht="12" customHeight="1">
      <c r="A22" s="520" t="s">
        <v>1403</v>
      </c>
      <c r="B22" s="853"/>
      <c r="C22" s="24">
        <f>SUM(C23:C25)</f>
        <v>0</v>
      </c>
      <c r="D22" s="24">
        <f t="shared" ref="D22:N22" si="5">SUM(D23:D25)</f>
        <v>0</v>
      </c>
      <c r="E22" s="24">
        <f t="shared" si="5"/>
        <v>0</v>
      </c>
      <c r="F22" s="24">
        <f t="shared" si="5"/>
        <v>0</v>
      </c>
      <c r="G22" s="24">
        <f t="shared" si="5"/>
        <v>0</v>
      </c>
      <c r="H22" s="24">
        <f t="shared" si="5"/>
        <v>0</v>
      </c>
      <c r="I22" s="24">
        <f t="shared" si="5"/>
        <v>0</v>
      </c>
      <c r="J22" s="24">
        <f t="shared" si="5"/>
        <v>0</v>
      </c>
      <c r="K22" s="1611">
        <f t="shared" si="5"/>
        <v>0</v>
      </c>
      <c r="L22" s="1611">
        <f t="shared" si="5"/>
        <v>0</v>
      </c>
      <c r="M22" s="1611">
        <f t="shared" si="5"/>
        <v>0</v>
      </c>
      <c r="N22" s="1611">
        <f t="shared" si="5"/>
        <v>0</v>
      </c>
      <c r="O22" s="24">
        <f t="shared" si="2"/>
        <v>0</v>
      </c>
      <c r="P22" s="24">
        <f>SUM(P23:P25)</f>
        <v>0</v>
      </c>
      <c r="Q22" s="521" t="e">
        <f t="shared" si="1"/>
        <v>#DIV/0!</v>
      </c>
    </row>
    <row r="23" spans="1:19">
      <c r="A23" s="522" t="s">
        <v>303</v>
      </c>
      <c r="B23" s="23">
        <v>20105</v>
      </c>
      <c r="C23" s="25"/>
      <c r="D23" s="25"/>
      <c r="E23" s="25"/>
      <c r="F23" s="25"/>
      <c r="G23" s="25"/>
      <c r="H23" s="25"/>
      <c r="I23" s="25"/>
      <c r="J23" s="25"/>
      <c r="K23" s="600"/>
      <c r="L23" s="600"/>
      <c r="M23" s="600"/>
      <c r="N23" s="600"/>
      <c r="O23" s="24">
        <f t="shared" si="2"/>
        <v>0</v>
      </c>
      <c r="P23" s="25">
        <v>0</v>
      </c>
      <c r="Q23" s="521" t="e">
        <f t="shared" si="1"/>
        <v>#DIV/0!</v>
      </c>
    </row>
    <row r="24" spans="1:19">
      <c r="A24" s="522" t="s">
        <v>304</v>
      </c>
      <c r="B24" s="23">
        <v>20105</v>
      </c>
      <c r="C24" s="25"/>
      <c r="D24" s="25"/>
      <c r="E24" s="25"/>
      <c r="F24" s="25"/>
      <c r="G24" s="25"/>
      <c r="H24" s="25">
        <v>0</v>
      </c>
      <c r="I24" s="25"/>
      <c r="J24" s="25"/>
      <c r="K24" s="600"/>
      <c r="L24" s="600"/>
      <c r="M24" s="600"/>
      <c r="N24" s="600"/>
      <c r="O24" s="24">
        <f t="shared" si="2"/>
        <v>0</v>
      </c>
      <c r="P24" s="25">
        <v>0</v>
      </c>
      <c r="Q24" s="521" t="e">
        <f t="shared" si="1"/>
        <v>#DIV/0!</v>
      </c>
    </row>
    <row r="25" spans="1:19">
      <c r="A25" s="522" t="s">
        <v>305</v>
      </c>
      <c r="B25" s="23">
        <v>20105</v>
      </c>
      <c r="C25" s="25"/>
      <c r="D25" s="25"/>
      <c r="E25" s="25"/>
      <c r="F25" s="25"/>
      <c r="G25" s="25"/>
      <c r="H25" s="25"/>
      <c r="I25" s="25"/>
      <c r="J25" s="25"/>
      <c r="K25" s="600"/>
      <c r="L25" s="600"/>
      <c r="M25" s="600"/>
      <c r="N25" s="600"/>
      <c r="O25" s="24">
        <f t="shared" si="2"/>
        <v>0</v>
      </c>
      <c r="P25" s="25">
        <v>0</v>
      </c>
      <c r="Q25" s="521" t="e">
        <f t="shared" si="1"/>
        <v>#DIV/0!</v>
      </c>
    </row>
    <row r="26" spans="1:19" ht="11.25" customHeight="1">
      <c r="A26" s="522"/>
      <c r="B26" s="23"/>
      <c r="C26" s="25"/>
      <c r="D26" s="25"/>
      <c r="E26" s="25"/>
      <c r="F26" s="25"/>
      <c r="G26" s="25"/>
      <c r="H26" s="25"/>
      <c r="I26" s="25"/>
      <c r="J26" s="25"/>
      <c r="K26" s="600"/>
      <c r="L26" s="600"/>
      <c r="M26" s="600"/>
      <c r="N26" s="600"/>
      <c r="O26" s="24">
        <f t="shared" si="2"/>
        <v>0</v>
      </c>
      <c r="P26" s="25">
        <v>0</v>
      </c>
      <c r="Q26" s="521" t="e">
        <f t="shared" si="1"/>
        <v>#DIV/0!</v>
      </c>
    </row>
    <row r="27" spans="1:19" ht="11.25" customHeight="1">
      <c r="A27" s="522" t="s">
        <v>1533</v>
      </c>
      <c r="B27" s="23" t="s">
        <v>1534</v>
      </c>
      <c r="C27" s="25"/>
      <c r="D27" s="25"/>
      <c r="E27" s="25"/>
      <c r="F27" s="24"/>
      <c r="G27" s="24"/>
      <c r="H27" s="24"/>
      <c r="I27" s="24"/>
      <c r="J27" s="24"/>
      <c r="K27" s="1611"/>
      <c r="L27" s="1611"/>
      <c r="M27" s="600"/>
      <c r="N27" s="1611"/>
      <c r="O27" s="24">
        <f t="shared" si="2"/>
        <v>0</v>
      </c>
      <c r="P27" s="24">
        <v>0</v>
      </c>
      <c r="Q27" s="886" t="e">
        <f t="shared" si="1"/>
        <v>#DIV/0!</v>
      </c>
      <c r="R27" s="628"/>
      <c r="S27" s="887"/>
    </row>
    <row r="28" spans="1:19">
      <c r="A28" s="522" t="s">
        <v>306</v>
      </c>
      <c r="B28" s="23"/>
      <c r="C28" s="715"/>
      <c r="D28" s="25"/>
      <c r="E28" s="25"/>
      <c r="F28" s="25"/>
      <c r="G28" s="25"/>
      <c r="H28" s="25"/>
      <c r="I28" s="25"/>
      <c r="J28" s="25"/>
      <c r="K28" s="600"/>
      <c r="L28" s="600"/>
      <c r="M28" s="600"/>
      <c r="N28" s="1611"/>
      <c r="O28" s="24">
        <f t="shared" si="2"/>
        <v>0</v>
      </c>
      <c r="P28" s="24"/>
      <c r="Q28" s="521" t="e">
        <f t="shared" si="1"/>
        <v>#DIV/0!</v>
      </c>
    </row>
    <row r="29" spans="1:19">
      <c r="A29" s="522" t="s">
        <v>307</v>
      </c>
      <c r="B29" s="23" t="s">
        <v>1535</v>
      </c>
      <c r="C29" s="25">
        <v>0</v>
      </c>
      <c r="D29" s="25">
        <v>0</v>
      </c>
      <c r="E29" s="25">
        <v>3000</v>
      </c>
      <c r="F29" s="25">
        <v>1000</v>
      </c>
      <c r="G29" s="25">
        <v>5500</v>
      </c>
      <c r="H29" s="25">
        <v>13500</v>
      </c>
      <c r="I29" s="25"/>
      <c r="J29" s="25"/>
      <c r="K29" s="600"/>
      <c r="L29" s="600"/>
      <c r="M29" s="600"/>
      <c r="N29" s="1611"/>
      <c r="O29" s="24">
        <f t="shared" si="2"/>
        <v>23000</v>
      </c>
      <c r="P29" s="24"/>
      <c r="Q29" s="521" t="e">
        <f t="shared" si="1"/>
        <v>#DIV/0!</v>
      </c>
    </row>
    <row r="30" spans="1:19">
      <c r="A30" s="522" t="s">
        <v>308</v>
      </c>
      <c r="B30" s="23" t="s">
        <v>1536</v>
      </c>
      <c r="C30" s="25"/>
      <c r="D30" s="25"/>
      <c r="E30" s="25"/>
      <c r="F30" s="25"/>
      <c r="G30" s="24"/>
      <c r="H30" s="24"/>
      <c r="I30" s="24"/>
      <c r="J30" s="24"/>
      <c r="K30" s="1611"/>
      <c r="L30" s="1611"/>
      <c r="M30" s="600"/>
      <c r="N30" s="1611"/>
      <c r="O30" s="24">
        <f t="shared" si="2"/>
        <v>0</v>
      </c>
      <c r="P30" s="24"/>
      <c r="Q30" s="521" t="e">
        <f t="shared" si="1"/>
        <v>#DIV/0!</v>
      </c>
    </row>
    <row r="31" spans="1:19">
      <c r="A31" s="523" t="s">
        <v>309</v>
      </c>
      <c r="B31" s="23" t="s">
        <v>1537</v>
      </c>
      <c r="C31" s="25"/>
      <c r="D31" s="25"/>
      <c r="E31" s="25"/>
      <c r="F31" s="25"/>
      <c r="G31" s="1560"/>
      <c r="H31" s="24"/>
      <c r="I31" s="24"/>
      <c r="J31" s="24"/>
      <c r="K31" s="1611"/>
      <c r="L31" s="1611"/>
      <c r="M31" s="600"/>
      <c r="N31" s="1611"/>
      <c r="O31" s="24">
        <f t="shared" si="2"/>
        <v>0</v>
      </c>
      <c r="P31" s="24"/>
      <c r="Q31" s="521" t="e">
        <f t="shared" si="1"/>
        <v>#DIV/0!</v>
      </c>
    </row>
    <row r="32" spans="1:19">
      <c r="A32" s="522" t="s">
        <v>310</v>
      </c>
      <c r="B32" s="23" t="s">
        <v>1538</v>
      </c>
      <c r="C32" s="25">
        <v>640448</v>
      </c>
      <c r="D32" s="25">
        <v>980441</v>
      </c>
      <c r="E32" s="25">
        <v>385520</v>
      </c>
      <c r="F32" s="25">
        <v>649018</v>
      </c>
      <c r="G32" s="25">
        <v>749215</v>
      </c>
      <c r="H32" s="25">
        <v>829002</v>
      </c>
      <c r="I32" s="24">
        <v>153228</v>
      </c>
      <c r="J32" s="24">
        <v>120000</v>
      </c>
      <c r="K32" s="1611">
        <v>0</v>
      </c>
      <c r="L32" s="1611">
        <v>396000</v>
      </c>
      <c r="M32" s="600">
        <v>555846</v>
      </c>
      <c r="N32" s="1611">
        <v>410368</v>
      </c>
      <c r="O32" s="24">
        <f t="shared" si="2"/>
        <v>5869086</v>
      </c>
      <c r="P32" s="24"/>
      <c r="Q32" s="521" t="e">
        <f t="shared" si="1"/>
        <v>#DIV/0!</v>
      </c>
    </row>
    <row r="33" spans="1:19">
      <c r="A33" s="522" t="s">
        <v>311</v>
      </c>
      <c r="B33" s="23" t="s">
        <v>1539</v>
      </c>
      <c r="C33" s="25"/>
      <c r="D33" s="25"/>
      <c r="E33" s="25"/>
      <c r="F33" s="1560"/>
      <c r="G33" s="25"/>
      <c r="H33" s="24"/>
      <c r="I33" s="24"/>
      <c r="J33" s="24"/>
      <c r="K33" s="1611"/>
      <c r="L33" s="1611"/>
      <c r="M33" s="600"/>
      <c r="N33" s="1611">
        <v>37150</v>
      </c>
      <c r="O33" s="24">
        <f t="shared" si="2"/>
        <v>37150</v>
      </c>
      <c r="P33" s="24"/>
      <c r="Q33" s="521" t="e">
        <f t="shared" si="1"/>
        <v>#DIV/0!</v>
      </c>
    </row>
    <row r="34" spans="1:19">
      <c r="A34" s="523" t="s">
        <v>316</v>
      </c>
      <c r="B34" s="23" t="s">
        <v>1540</v>
      </c>
      <c r="C34" s="707">
        <v>31423425</v>
      </c>
      <c r="D34" s="24">
        <v>37130092</v>
      </c>
      <c r="E34" s="24">
        <v>43108432</v>
      </c>
      <c r="F34" s="24">
        <v>27926262</v>
      </c>
      <c r="G34" s="24">
        <v>90608092</v>
      </c>
      <c r="H34" s="24">
        <v>181431937</v>
      </c>
      <c r="I34" s="24">
        <v>147390804</v>
      </c>
      <c r="J34" s="24">
        <v>81221874</v>
      </c>
      <c r="K34" s="1611">
        <v>56465131</v>
      </c>
      <c r="L34" s="1611">
        <v>41375849</v>
      </c>
      <c r="M34" s="1611">
        <v>25270702</v>
      </c>
      <c r="N34" s="1611">
        <v>35808630</v>
      </c>
      <c r="O34" s="24">
        <f t="shared" si="2"/>
        <v>799161230</v>
      </c>
      <c r="P34" s="24"/>
      <c r="Q34" s="521" t="e">
        <f t="shared" si="1"/>
        <v>#DIV/0!</v>
      </c>
    </row>
    <row r="35" spans="1:19">
      <c r="A35" s="523" t="s">
        <v>317</v>
      </c>
      <c r="B35" s="23" t="s">
        <v>1541</v>
      </c>
      <c r="C35" s="707">
        <v>106071769</v>
      </c>
      <c r="D35" s="24">
        <v>122668426</v>
      </c>
      <c r="E35" s="24">
        <v>144978146</v>
      </c>
      <c r="F35" s="24">
        <v>92239953</v>
      </c>
      <c r="G35" s="24">
        <v>249780938</v>
      </c>
      <c r="H35" s="24">
        <v>421203364</v>
      </c>
      <c r="I35" s="24">
        <v>348131523</v>
      </c>
      <c r="J35" s="24">
        <v>206555689</v>
      </c>
      <c r="K35" s="1611">
        <v>166937945</v>
      </c>
      <c r="L35" s="1611">
        <v>131104991</v>
      </c>
      <c r="M35" s="1611">
        <v>83662055</v>
      </c>
      <c r="N35" s="1611">
        <v>116353455</v>
      </c>
      <c r="O35" s="24">
        <f t="shared" si="2"/>
        <v>2189688254</v>
      </c>
      <c r="P35" s="24"/>
      <c r="Q35" s="521" t="e">
        <f t="shared" si="1"/>
        <v>#DIV/0!</v>
      </c>
      <c r="S35" s="10"/>
    </row>
    <row r="36" spans="1:19">
      <c r="A36" s="522" t="s">
        <v>1542</v>
      </c>
      <c r="B36" s="23" t="s">
        <v>1543</v>
      </c>
      <c r="C36" s="715">
        <v>1961249</v>
      </c>
      <c r="D36" s="25">
        <v>847893</v>
      </c>
      <c r="E36" s="25">
        <v>142750</v>
      </c>
      <c r="F36" s="24">
        <v>93750</v>
      </c>
      <c r="G36" s="24">
        <v>462000</v>
      </c>
      <c r="H36" s="24">
        <v>413739</v>
      </c>
      <c r="I36" s="24">
        <v>976072</v>
      </c>
      <c r="J36" s="24">
        <v>993750</v>
      </c>
      <c r="K36" s="1611">
        <v>1200140</v>
      </c>
      <c r="L36" s="1611">
        <v>1178177</v>
      </c>
      <c r="M36" s="600">
        <v>122495</v>
      </c>
      <c r="N36" s="1611">
        <v>196020</v>
      </c>
      <c r="O36" s="24">
        <f t="shared" si="2"/>
        <v>8588035</v>
      </c>
      <c r="P36" s="24"/>
      <c r="Q36" s="521" t="e">
        <f t="shared" si="1"/>
        <v>#DIV/0!</v>
      </c>
    </row>
    <row r="37" spans="1:19">
      <c r="A37" s="522" t="s">
        <v>2262</v>
      </c>
      <c r="B37" s="854" t="s">
        <v>1544</v>
      </c>
      <c r="C37" s="25">
        <v>0</v>
      </c>
      <c r="D37" s="25">
        <v>1033615</v>
      </c>
      <c r="E37" s="25">
        <v>603060</v>
      </c>
      <c r="F37" s="25">
        <v>646479</v>
      </c>
      <c r="G37" s="25">
        <v>1662826</v>
      </c>
      <c r="H37" s="25">
        <v>766875</v>
      </c>
      <c r="I37" s="24">
        <v>1525208</v>
      </c>
      <c r="J37" s="24">
        <v>62500</v>
      </c>
      <c r="K37" s="1611">
        <v>203789</v>
      </c>
      <c r="L37" s="1611">
        <v>75007</v>
      </c>
      <c r="M37" s="600">
        <v>0</v>
      </c>
      <c r="N37" s="1611">
        <v>64120</v>
      </c>
      <c r="O37" s="24">
        <f t="shared" si="2"/>
        <v>6643479</v>
      </c>
      <c r="P37" s="24"/>
      <c r="Q37" s="521" t="e">
        <f t="shared" si="1"/>
        <v>#DIV/0!</v>
      </c>
    </row>
    <row r="38" spans="1:19" ht="13.5" customHeight="1">
      <c r="A38" s="522"/>
      <c r="B38" s="23"/>
      <c r="C38" s="24"/>
      <c r="D38" s="24"/>
      <c r="E38" s="25"/>
      <c r="F38" s="24"/>
      <c r="G38" s="24"/>
      <c r="H38" s="24"/>
      <c r="I38" s="24"/>
      <c r="J38" s="24"/>
      <c r="K38" s="1611"/>
      <c r="L38" s="1611"/>
      <c r="M38" s="600"/>
      <c r="N38" s="1611"/>
      <c r="O38" s="24">
        <f t="shared" si="2"/>
        <v>0</v>
      </c>
      <c r="P38" s="24">
        <v>0</v>
      </c>
      <c r="Q38" s="520"/>
    </row>
    <row r="39" spans="1:19">
      <c r="A39" s="522" t="s">
        <v>1545</v>
      </c>
      <c r="B39" s="855"/>
      <c r="C39" s="524"/>
      <c r="D39" s="524"/>
      <c r="E39" s="24"/>
      <c r="F39" s="24"/>
      <c r="G39" s="24"/>
      <c r="H39" s="24"/>
      <c r="I39" s="24"/>
      <c r="J39" s="24"/>
      <c r="K39" s="1611"/>
      <c r="L39" s="1611"/>
      <c r="M39" s="600"/>
      <c r="N39" s="1611"/>
      <c r="O39" s="24">
        <f t="shared" si="2"/>
        <v>0</v>
      </c>
      <c r="P39" s="24">
        <v>0</v>
      </c>
      <c r="Q39" s="520"/>
    </row>
    <row r="40" spans="1:19">
      <c r="A40" s="522" t="s">
        <v>312</v>
      </c>
      <c r="B40" s="23"/>
      <c r="C40" s="25"/>
      <c r="D40" s="25"/>
      <c r="E40" s="25"/>
      <c r="F40" s="25"/>
      <c r="G40" s="25"/>
      <c r="H40" s="25"/>
      <c r="I40" s="25"/>
      <c r="J40" s="25"/>
      <c r="K40" s="600"/>
      <c r="L40" s="600"/>
      <c r="M40" s="600">
        <v>0</v>
      </c>
      <c r="N40" s="600"/>
      <c r="O40" s="24">
        <f t="shared" si="2"/>
        <v>0</v>
      </c>
      <c r="P40" s="25">
        <v>0</v>
      </c>
      <c r="Q40" s="522"/>
    </row>
    <row r="41" spans="1:19">
      <c r="A41" s="522" t="s">
        <v>313</v>
      </c>
      <c r="B41" s="23"/>
      <c r="C41" s="25"/>
      <c r="D41" s="25"/>
      <c r="E41" s="25"/>
      <c r="F41" s="25"/>
      <c r="G41" s="25"/>
      <c r="H41" s="25"/>
      <c r="I41" s="25"/>
      <c r="J41" s="25"/>
      <c r="K41" s="600"/>
      <c r="L41" s="600"/>
      <c r="M41" s="600"/>
      <c r="N41" s="600"/>
      <c r="O41" s="24">
        <f t="shared" si="2"/>
        <v>0</v>
      </c>
      <c r="P41" s="25">
        <v>0</v>
      </c>
      <c r="Q41" s="522"/>
    </row>
    <row r="42" spans="1:19">
      <c r="A42" s="522" t="s">
        <v>305</v>
      </c>
      <c r="B42" s="23"/>
      <c r="C42" s="25"/>
      <c r="D42" s="25"/>
      <c r="E42" s="25"/>
      <c r="F42" s="25"/>
      <c r="G42" s="25"/>
      <c r="H42" s="25"/>
      <c r="I42" s="25"/>
      <c r="J42" s="25"/>
      <c r="K42" s="600"/>
      <c r="L42" s="600"/>
      <c r="M42" s="600"/>
      <c r="N42" s="600"/>
      <c r="O42" s="24">
        <f t="shared" si="2"/>
        <v>0</v>
      </c>
      <c r="P42" s="25">
        <v>0</v>
      </c>
      <c r="Q42" s="522"/>
    </row>
    <row r="43" spans="1:19">
      <c r="A43" s="522" t="s">
        <v>2840</v>
      </c>
      <c r="B43" s="23"/>
      <c r="C43" s="25">
        <v>0</v>
      </c>
      <c r="D43" s="25">
        <v>0</v>
      </c>
      <c r="E43" s="25"/>
      <c r="F43" s="25">
        <v>0</v>
      </c>
      <c r="G43" s="25"/>
      <c r="H43" s="25"/>
      <c r="I43" s="25">
        <v>220402</v>
      </c>
      <c r="J43" s="25">
        <v>793446</v>
      </c>
      <c r="K43" s="600">
        <v>0</v>
      </c>
      <c r="L43" s="600"/>
      <c r="M43" s="600"/>
      <c r="N43" s="600">
        <v>0</v>
      </c>
      <c r="O43" s="24">
        <f t="shared" si="2"/>
        <v>1013848</v>
      </c>
      <c r="P43" s="25"/>
      <c r="Q43" s="25">
        <f>P45-33185893000</f>
        <v>-33185893000</v>
      </c>
    </row>
    <row r="44" spans="1:19">
      <c r="A44" s="522"/>
      <c r="B44" s="23"/>
      <c r="C44" s="25"/>
      <c r="D44" s="25"/>
      <c r="E44" s="25"/>
      <c r="F44" s="25"/>
      <c r="G44" s="25"/>
      <c r="H44" s="25"/>
      <c r="I44" s="25">
        <v>0</v>
      </c>
      <c r="J44" s="25"/>
      <c r="K44" s="600"/>
      <c r="L44" s="600"/>
      <c r="M44" s="600"/>
      <c r="N44" s="600"/>
      <c r="O44" s="24">
        <f t="shared" si="2"/>
        <v>0</v>
      </c>
      <c r="P44" s="25">
        <v>0</v>
      </c>
      <c r="Q44" s="522"/>
    </row>
    <row r="45" spans="1:19">
      <c r="A45" s="520" t="s">
        <v>1546</v>
      </c>
      <c r="B45" s="563"/>
      <c r="C45" s="24">
        <f t="shared" ref="C45:N45" si="6">SUM(C5+C11+C13+C18+C22+C27+C28+C29+C30+C31+C32+C33+C34+C35+C36+C43+C37+C39+C44)</f>
        <v>2433584284</v>
      </c>
      <c r="D45" s="24">
        <f t="shared" si="6"/>
        <v>2853048245</v>
      </c>
      <c r="E45" s="24">
        <f t="shared" si="6"/>
        <v>2780916766</v>
      </c>
      <c r="F45" s="24">
        <f t="shared" si="6"/>
        <v>2366048122</v>
      </c>
      <c r="G45" s="24">
        <f t="shared" si="6"/>
        <v>4249264439</v>
      </c>
      <c r="H45" s="24">
        <f t="shared" si="6"/>
        <v>5644216960</v>
      </c>
      <c r="I45" s="24">
        <f t="shared" si="6"/>
        <v>5178165240</v>
      </c>
      <c r="J45" s="24">
        <f t="shared" si="6"/>
        <v>3512358447</v>
      </c>
      <c r="K45" s="1611">
        <f t="shared" si="6"/>
        <v>2895414038</v>
      </c>
      <c r="L45" s="1611">
        <f t="shared" si="6"/>
        <v>3131770681</v>
      </c>
      <c r="M45" s="1611">
        <f t="shared" si="6"/>
        <v>2106267819</v>
      </c>
      <c r="N45" s="1611">
        <f t="shared" si="6"/>
        <v>2706200088</v>
      </c>
      <c r="O45" s="24">
        <f t="shared" si="2"/>
        <v>39857255129</v>
      </c>
      <c r="P45" s="24">
        <f>SUM(P5+P11+P13+P18+P22+P27+P28+P29+P30+P31+P32+P33+P34+P35+P43+P37+P39+P44)</f>
        <v>0</v>
      </c>
      <c r="Q45" s="521" t="e">
        <f>SUM(O45*100/P45)</f>
        <v>#DIV/0!</v>
      </c>
      <c r="R45" s="10"/>
    </row>
    <row r="46" spans="1:19">
      <c r="A46" s="523" t="s">
        <v>314</v>
      </c>
      <c r="B46" s="23"/>
      <c r="C46" s="25">
        <v>139709016</v>
      </c>
      <c r="D46" s="25">
        <v>204794077</v>
      </c>
      <c r="E46" s="717">
        <v>165907105</v>
      </c>
      <c r="F46" s="25">
        <v>171306641</v>
      </c>
      <c r="G46" s="25">
        <v>190722695</v>
      </c>
      <c r="H46" s="25">
        <v>196377852</v>
      </c>
      <c r="I46" s="25">
        <v>166768340</v>
      </c>
      <c r="J46" s="25">
        <v>113199181</v>
      </c>
      <c r="K46" s="600">
        <v>150383954</v>
      </c>
      <c r="L46" s="600">
        <v>196720601</v>
      </c>
      <c r="M46" s="600">
        <v>139310626</v>
      </c>
      <c r="N46" s="600">
        <v>166618349</v>
      </c>
      <c r="O46" s="24">
        <f t="shared" si="2"/>
        <v>2001818437</v>
      </c>
      <c r="P46" s="874"/>
      <c r="Q46" s="521"/>
    </row>
    <row r="47" spans="1:19">
      <c r="A47" s="523" t="s">
        <v>315</v>
      </c>
      <c r="B47" s="23" t="s">
        <v>1547</v>
      </c>
      <c r="C47" s="25">
        <v>53311128</v>
      </c>
      <c r="D47" s="25">
        <v>79942726</v>
      </c>
      <c r="E47" s="25">
        <v>79912448</v>
      </c>
      <c r="F47" s="25">
        <v>51608437</v>
      </c>
      <c r="G47" s="25">
        <v>85085703</v>
      </c>
      <c r="H47" s="25">
        <v>59147451</v>
      </c>
      <c r="I47" s="25">
        <v>66730910</v>
      </c>
      <c r="J47" s="25">
        <v>48810797</v>
      </c>
      <c r="K47" s="600">
        <v>67996127</v>
      </c>
      <c r="L47" s="600">
        <v>70945624</v>
      </c>
      <c r="M47" s="600">
        <v>37876623</v>
      </c>
      <c r="N47" s="600">
        <v>59155161</v>
      </c>
      <c r="O47" s="24">
        <f t="shared" si="2"/>
        <v>760523135</v>
      </c>
      <c r="P47" s="25"/>
      <c r="Q47" s="521" t="e">
        <f>SUM(O47*100/P47)</f>
        <v>#DIV/0!</v>
      </c>
      <c r="S47" s="10"/>
    </row>
    <row r="48" spans="1:19">
      <c r="A48" s="522" t="s">
        <v>1548</v>
      </c>
      <c r="B48" s="23" t="s">
        <v>1549</v>
      </c>
      <c r="C48" s="25">
        <v>41812332</v>
      </c>
      <c r="D48" s="25">
        <v>63043622</v>
      </c>
      <c r="E48" s="25">
        <v>62540230</v>
      </c>
      <c r="F48" s="25">
        <v>39813137</v>
      </c>
      <c r="G48" s="25">
        <v>65799686</v>
      </c>
      <c r="H48" s="25">
        <v>45400546</v>
      </c>
      <c r="I48" s="25">
        <v>52182546</v>
      </c>
      <c r="J48" s="25">
        <v>38478807</v>
      </c>
      <c r="K48" s="600">
        <v>53721669</v>
      </c>
      <c r="L48" s="600">
        <v>56361577</v>
      </c>
      <c r="M48" s="600">
        <v>30033223</v>
      </c>
      <c r="N48" s="600">
        <v>47016337</v>
      </c>
      <c r="O48" s="24">
        <f t="shared" si="2"/>
        <v>596203712</v>
      </c>
      <c r="P48" s="25"/>
      <c r="Q48" s="521" t="e">
        <f>SUM(O48*100/P48)</f>
        <v>#DIV/0!</v>
      </c>
    </row>
    <row r="49" spans="1:17">
      <c r="A49" s="522" t="s">
        <v>1550</v>
      </c>
      <c r="B49" s="23" t="s">
        <v>1551</v>
      </c>
      <c r="C49" s="25">
        <v>32275169</v>
      </c>
      <c r="D49" s="25">
        <v>44265702</v>
      </c>
      <c r="E49" s="25">
        <v>44173056</v>
      </c>
      <c r="F49" s="25">
        <v>30596878</v>
      </c>
      <c r="G49" s="25">
        <v>49540457</v>
      </c>
      <c r="H49" s="1562">
        <v>35021503</v>
      </c>
      <c r="I49" s="25">
        <v>41092695</v>
      </c>
      <c r="J49" s="25">
        <v>29538784</v>
      </c>
      <c r="K49" s="600">
        <v>41165949</v>
      </c>
      <c r="L49" s="600">
        <v>40549263</v>
      </c>
      <c r="M49" s="600">
        <v>24076828</v>
      </c>
      <c r="N49" s="600">
        <v>34592050</v>
      </c>
      <c r="O49" s="24">
        <f t="shared" si="2"/>
        <v>446888334</v>
      </c>
      <c r="P49" s="25"/>
      <c r="Q49" s="521" t="e">
        <f>SUM(O49*100/P49)</f>
        <v>#DIV/0!</v>
      </c>
    </row>
    <row r="50" spans="1:17">
      <c r="A50" s="520" t="s">
        <v>318</v>
      </c>
      <c r="B50" s="520"/>
      <c r="C50" s="624">
        <f t="shared" ref="C50:L50" si="7">SUM(C45+C46+C47+C48+C49)</f>
        <v>2700691929</v>
      </c>
      <c r="D50" s="1590">
        <f>SUM(D45+D46+D47+D48+D49)</f>
        <v>3245094372</v>
      </c>
      <c r="E50" s="624">
        <f>SUM(E45+E46+E47+E48+E49)</f>
        <v>3133449605</v>
      </c>
      <c r="F50" s="1590">
        <f t="shared" si="7"/>
        <v>2659373215</v>
      </c>
      <c r="G50" s="1590">
        <f t="shared" si="7"/>
        <v>4640412980</v>
      </c>
      <c r="H50" s="624">
        <f>SUM(H45+H46+H47+H48+H49)</f>
        <v>5980164312</v>
      </c>
      <c r="I50" s="624">
        <f t="shared" si="7"/>
        <v>5504939731</v>
      </c>
      <c r="J50" s="624">
        <f t="shared" si="7"/>
        <v>3742386016</v>
      </c>
      <c r="K50" s="1613">
        <f t="shared" si="7"/>
        <v>3208681737</v>
      </c>
      <c r="L50" s="1611">
        <f t="shared" si="7"/>
        <v>3496347746</v>
      </c>
      <c r="M50" s="1611">
        <f>SUM(M45:M49)</f>
        <v>2337565119</v>
      </c>
      <c r="N50" s="1611">
        <f>N45+N46+N47+N48+N49</f>
        <v>3013581985</v>
      </c>
      <c r="O50" s="24">
        <f>SUM(O45:O49)</f>
        <v>43662688747</v>
      </c>
      <c r="P50" s="24">
        <f>SUM(P45:P49)</f>
        <v>0</v>
      </c>
      <c r="Q50" s="521" t="e">
        <f>SUM(O50*100/P50)</f>
        <v>#DIV/0!</v>
      </c>
    </row>
    <row r="51" spans="1:17">
      <c r="A51" t="s">
        <v>1552</v>
      </c>
      <c r="C51" s="860">
        <f t="shared" ref="C51:N51" si="8">+C50-C46</f>
        <v>2560982913</v>
      </c>
      <c r="D51" s="860">
        <f t="shared" si="8"/>
        <v>3040300295</v>
      </c>
      <c r="E51" s="860">
        <f t="shared" si="8"/>
        <v>2967542500</v>
      </c>
      <c r="F51" s="860">
        <f t="shared" si="8"/>
        <v>2488066574</v>
      </c>
      <c r="G51" s="860">
        <f t="shared" si="8"/>
        <v>4449690285</v>
      </c>
      <c r="H51" s="860">
        <f t="shared" si="8"/>
        <v>5783786460</v>
      </c>
      <c r="I51" s="860">
        <f t="shared" si="8"/>
        <v>5338171391</v>
      </c>
      <c r="J51" s="860">
        <f t="shared" si="8"/>
        <v>3629186835</v>
      </c>
      <c r="K51" s="1614">
        <f t="shared" si="8"/>
        <v>3058297783</v>
      </c>
      <c r="L51" s="1614">
        <f t="shared" si="8"/>
        <v>3299627145</v>
      </c>
      <c r="M51" s="1614">
        <f t="shared" si="8"/>
        <v>2198254493</v>
      </c>
      <c r="N51" s="1614">
        <f t="shared" si="8"/>
        <v>2846963636</v>
      </c>
      <c r="O51" s="10">
        <f>+O50-O46</f>
        <v>41660870310</v>
      </c>
    </row>
    <row r="52" spans="1:17" s="1375" customFormat="1">
      <c r="A52" s="1474" t="s">
        <v>3030</v>
      </c>
      <c r="C52" s="1609">
        <v>2149000000</v>
      </c>
      <c r="D52" s="1609">
        <v>2804000000</v>
      </c>
      <c r="E52" s="1609">
        <v>4319000000</v>
      </c>
      <c r="F52" s="1609">
        <v>3963000000</v>
      </c>
      <c r="G52" s="1609">
        <v>5652000000</v>
      </c>
      <c r="H52" s="1609">
        <v>9433000000</v>
      </c>
      <c r="I52" s="1609">
        <v>6153000000</v>
      </c>
      <c r="J52" s="1609">
        <v>4844000000</v>
      </c>
      <c r="K52" s="1615" t="s">
        <v>3033</v>
      </c>
      <c r="L52" s="1615" t="s">
        <v>3027</v>
      </c>
      <c r="M52" s="1615" t="s">
        <v>3028</v>
      </c>
      <c r="N52" s="1521" t="s">
        <v>3029</v>
      </c>
    </row>
    <row r="53" spans="1:17" hidden="1"/>
    <row r="54" spans="1:17" s="1375" customFormat="1" hidden="1">
      <c r="A54" s="1375" t="s">
        <v>2899</v>
      </c>
      <c r="C54" s="1126"/>
      <c r="D54" s="1126"/>
      <c r="E54" s="1126"/>
      <c r="F54" s="1126"/>
      <c r="G54" s="1126"/>
      <c r="H54" s="1126"/>
      <c r="I54" s="1126"/>
      <c r="J54" s="1126"/>
      <c r="K54" s="1522"/>
      <c r="L54" s="1522"/>
      <c r="M54" s="1522"/>
      <c r="N54" s="1522">
        <f>+N53-N50</f>
        <v>-3013581985</v>
      </c>
      <c r="O54" s="1126">
        <f>+O53-O50</f>
        <v>-43662688747</v>
      </c>
    </row>
    <row r="55" spans="1:17" hidden="1"/>
    <row r="56" spans="1:17" ht="15.75">
      <c r="C56" s="860">
        <f>+C50-C52</f>
        <v>551691929</v>
      </c>
      <c r="D56" s="860">
        <f t="shared" ref="D56:J56" si="9">+D50-D52</f>
        <v>441094372</v>
      </c>
      <c r="E56" s="860">
        <f t="shared" si="9"/>
        <v>-1185550395</v>
      </c>
      <c r="F56" s="860">
        <f t="shared" si="9"/>
        <v>-1303626785</v>
      </c>
      <c r="G56" s="860">
        <f t="shared" si="9"/>
        <v>-1011587020</v>
      </c>
      <c r="H56" s="860">
        <f t="shared" si="9"/>
        <v>-3452835688</v>
      </c>
      <c r="I56" s="860">
        <f t="shared" si="9"/>
        <v>-648060269</v>
      </c>
      <c r="J56" s="860">
        <f t="shared" si="9"/>
        <v>-1101613984</v>
      </c>
      <c r="K56" s="1614">
        <f>+K50-K51</f>
        <v>150383954</v>
      </c>
      <c r="L56" s="1614">
        <f>+L50-L51</f>
        <v>196720601</v>
      </c>
      <c r="M56" s="1614">
        <f>+M50-M51</f>
        <v>139310626</v>
      </c>
      <c r="N56" s="1614">
        <f>+N50-N51</f>
        <v>166618349</v>
      </c>
      <c r="O56" s="1589">
        <f>SUM(C56:N56)</f>
        <v>-7057454310</v>
      </c>
    </row>
    <row r="57" spans="1:17">
      <c r="C57" s="10"/>
      <c r="D57" s="10"/>
      <c r="E57" s="10"/>
    </row>
    <row r="58" spans="1:17">
      <c r="C58" s="10">
        <f>+C50-C46</f>
        <v>2560982913</v>
      </c>
      <c r="D58" s="10">
        <f t="shared" ref="D58:N58" si="10">+D50-D46</f>
        <v>3040300295</v>
      </c>
      <c r="E58" s="1403">
        <f t="shared" si="10"/>
        <v>2967542500</v>
      </c>
      <c r="F58" s="1403">
        <f t="shared" si="10"/>
        <v>2488066574</v>
      </c>
      <c r="G58" s="1403">
        <f t="shared" si="10"/>
        <v>4449690285</v>
      </c>
      <c r="H58" s="1403">
        <f t="shared" si="10"/>
        <v>5783786460</v>
      </c>
      <c r="I58" s="1403">
        <f t="shared" si="10"/>
        <v>5338171391</v>
      </c>
      <c r="J58" s="1403">
        <f t="shared" si="10"/>
        <v>3629186835</v>
      </c>
      <c r="K58" s="1403">
        <f t="shared" si="10"/>
        <v>3058297783</v>
      </c>
      <c r="L58" s="1403">
        <f t="shared" si="10"/>
        <v>3299627145</v>
      </c>
      <c r="M58" s="1403">
        <f t="shared" si="10"/>
        <v>2198254493</v>
      </c>
      <c r="N58" s="1403">
        <f t="shared" si="10"/>
        <v>2846963636</v>
      </c>
      <c r="O58" s="1403">
        <f>SUM(C58:N58)</f>
        <v>41660870310</v>
      </c>
      <c r="P58" t="s">
        <v>3463</v>
      </c>
    </row>
    <row r="60" spans="1:17"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O60" s="10">
        <f>O58-O50</f>
        <v>-2001818437</v>
      </c>
    </row>
  </sheetData>
  <mergeCells count="3">
    <mergeCell ref="C3:N3"/>
    <mergeCell ref="A2:Q2"/>
    <mergeCell ref="A1:Q1"/>
  </mergeCells>
  <phoneticPr fontId="0" type="noConversion"/>
  <printOptions horizontalCentered="1" verticalCentered="1"/>
  <pageMargins left="0.19685039370078741" right="0.19685039370078741" top="0.55118110236220474" bottom="0.19685039370078741" header="0.23622047244094491" footer="0.15748031496062992"/>
  <pageSetup paperSize="9" scale="75" orientation="landscape" horizontalDpi="300" verticalDpi="300" r:id="rId1"/>
  <headerFooter alignWithMargins="0"/>
  <ignoredErrors>
    <ignoredError sqref="O22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31</vt:i4>
      </vt:variant>
      <vt:variant>
        <vt:lpstr>Intervalos com nome</vt:lpstr>
      </vt:variant>
      <vt:variant>
        <vt:i4>24</vt:i4>
      </vt:variant>
    </vt:vector>
  </HeadingPairs>
  <TitlesOfParts>
    <vt:vector size="55" baseType="lpstr">
      <vt:lpstr>ÍNDICE</vt:lpstr>
      <vt:lpstr>cash-Flow</vt:lpstr>
      <vt:lpstr>T.O.F.E</vt:lpstr>
      <vt:lpstr>cash-Flow(2)</vt:lpstr>
      <vt:lpstr>Tofe</vt:lpstr>
      <vt:lpstr>TofeVI</vt:lpstr>
      <vt:lpstr>Receitas (mensais)</vt:lpstr>
      <vt:lpstr>DGCI </vt:lpstr>
      <vt:lpstr>DGA</vt:lpstr>
      <vt:lpstr>Tofe Versão de controle</vt:lpstr>
      <vt:lpstr>LICENCA PESCA</vt:lpstr>
      <vt:lpstr>PNT</vt:lpstr>
      <vt:lpstr>Ordon-Dep</vt:lpstr>
      <vt:lpstr>Appui-Projets</vt:lpstr>
      <vt:lpstr>Appui-Bud</vt:lpstr>
      <vt:lpstr>Fin-Int</vt:lpstr>
      <vt:lpstr>Dettes</vt:lpstr>
      <vt:lpstr>ARRIERE</vt:lpstr>
      <vt:lpstr>LICENCAS TELEM. e OUTRAS </vt:lpstr>
      <vt:lpstr>OUT. PASSIVOS FINANC. -DIVERSOS</vt:lpstr>
      <vt:lpstr>Rend Diversos -Juros S P BCEAO</vt:lpstr>
      <vt:lpstr>Dividendos</vt:lpstr>
      <vt:lpstr>Multas e Penali-Apreensao Barco</vt:lpstr>
      <vt:lpstr>Plan1</vt:lpstr>
      <vt:lpstr>Recettes détaillées</vt:lpstr>
      <vt:lpstr>Charges, Classif. economique</vt:lpstr>
      <vt:lpstr>ANF, AF &amp; Passifs détaillés</vt:lpstr>
      <vt:lpstr>TOFE resumé MSFP2001</vt:lpstr>
      <vt:lpstr>Feuil2</vt:lpstr>
      <vt:lpstr>Plan2</vt:lpstr>
      <vt:lpstr>Plan3</vt:lpstr>
      <vt:lpstr>'Appui-Bud'!Área_de_Impressão</vt:lpstr>
      <vt:lpstr>ARRIERE!Área_de_Impressão</vt:lpstr>
      <vt:lpstr>Dettes!Área_de_Impressão</vt:lpstr>
      <vt:lpstr>DGA!Área_de_Impressão</vt:lpstr>
      <vt:lpstr>'DGCI '!Área_de_Impressão</vt:lpstr>
      <vt:lpstr>'Fin-Int'!Área_de_Impressão</vt:lpstr>
      <vt:lpstr>'Ordon-Dep'!Área_de_Impressão</vt:lpstr>
      <vt:lpstr>PNT!Área_de_Impressão</vt:lpstr>
      <vt:lpstr>'Receitas (mensais)'!Área_de_Impressão</vt:lpstr>
      <vt:lpstr>T.O.F.E!Área_de_Impressão</vt:lpstr>
      <vt:lpstr>Tofe!Área_de_Impressão</vt:lpstr>
      <vt:lpstr>'Tofe Versão de controle'!Área_de_Impressão</vt:lpstr>
      <vt:lpstr>TofeVI!Área_de_Impressão</vt:lpstr>
      <vt:lpstr>'Appui-Bud'!Títulos_de_Impressão</vt:lpstr>
      <vt:lpstr>ARRIERE!Títulos_de_Impressão</vt:lpstr>
      <vt:lpstr>'cash-Flow'!Títulos_de_Impressão</vt:lpstr>
      <vt:lpstr>'cash-Flow(2)'!Títulos_de_Impressão</vt:lpstr>
      <vt:lpstr>Dettes!Títulos_de_Impressão</vt:lpstr>
      <vt:lpstr>'DGCI '!Títulos_de_Impressão</vt:lpstr>
      <vt:lpstr>'Receitas (mensais)'!Títulos_de_Impressão</vt:lpstr>
      <vt:lpstr>T.O.F.E!Títulos_de_Impressão</vt:lpstr>
      <vt:lpstr>Tofe!Títulos_de_Impressão</vt:lpstr>
      <vt:lpstr>'Tofe Versão de controle'!Títulos_de_Impressão</vt:lpstr>
      <vt:lpstr>TofeVI!Títulos_de_Impressão</vt:lpstr>
    </vt:vector>
  </TitlesOfParts>
  <Company>personnel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Issa SAWADOGO</dc:creator>
  <cp:lastModifiedBy>hp</cp:lastModifiedBy>
  <cp:lastPrinted>2020-03-13T09:49:18Z</cp:lastPrinted>
  <dcterms:created xsi:type="dcterms:W3CDTF">2004-09-19T20:29:55Z</dcterms:created>
  <dcterms:modified xsi:type="dcterms:W3CDTF">2020-08-20T13:53:45Z</dcterms:modified>
</cp:coreProperties>
</file>