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333" activeTab="0"/>
  </bookViews>
  <sheets>
    <sheet name="ÍNDICE" sheetId="1" r:id="rId1"/>
    <sheet name="SMI" sheetId="2" r:id="rId2"/>
    <sheet name="BOP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<sst xmlns="http://schemas.openxmlformats.org/spreadsheetml/2006/main" count="191" uniqueCount="160">
  <si>
    <t>AGREGATS DE MONNAIE - GUINNEE BISSAU</t>
  </si>
  <si>
    <t>Encours en milliards de FCFA</t>
  </si>
  <si>
    <t>Code Poste</t>
  </si>
  <si>
    <t>Poste</t>
  </si>
  <si>
    <t>déc-20</t>
  </si>
  <si>
    <t>déc-21</t>
  </si>
  <si>
    <t>Monnaie au sens large et ses composantes</t>
  </si>
  <si>
    <t>65459MA..R...{Z}</t>
  </si>
  <si>
    <t>Circulation fiduciaire</t>
  </si>
  <si>
    <t>65414A.N.R...{Z}</t>
  </si>
  <si>
    <t xml:space="preserve">Billets et monnaies mis en circulation  </t>
  </si>
  <si>
    <t>65420A.N.R...{Z}</t>
  </si>
  <si>
    <t>Encaisses des banques (à déduire)</t>
  </si>
  <si>
    <t>65416DAA.R...{Z}</t>
  </si>
  <si>
    <t>Encaisses des Trésors (à déduire)</t>
  </si>
  <si>
    <t>654AGM01</t>
  </si>
  <si>
    <t>Dépôts transférables</t>
  </si>
  <si>
    <t>65414.A..R...{Z}</t>
  </si>
  <si>
    <t>BCEAO</t>
  </si>
  <si>
    <t>65424.A..R...{Z}</t>
  </si>
  <si>
    <t>Banques</t>
  </si>
  <si>
    <t>65459MD..R...{Z}</t>
  </si>
  <si>
    <t>CCP et CNE</t>
  </si>
  <si>
    <t>654AGM02</t>
  </si>
  <si>
    <t>M1</t>
  </si>
  <si>
    <t>654AGM03</t>
  </si>
  <si>
    <t>Autres dépôts inclus dans la masse monétaire (1)</t>
  </si>
  <si>
    <t>65415.A..R...{Z}</t>
  </si>
  <si>
    <t>65425.A..R...{Z}</t>
  </si>
  <si>
    <t>654AGM04</t>
  </si>
  <si>
    <t>Masse monétaire (M2)</t>
  </si>
  <si>
    <t>Contreparties de la masse monétaire</t>
  </si>
  <si>
    <t>65431N...J...{M}</t>
  </si>
  <si>
    <t>Actifs extérieurs nets</t>
  </si>
  <si>
    <t>65411N...K...{Z}</t>
  </si>
  <si>
    <t>65421N...K...{Z}</t>
  </si>
  <si>
    <t>654AGM05</t>
  </si>
  <si>
    <t>Créances intérieures</t>
  </si>
  <si>
    <t>654AGM06</t>
  </si>
  <si>
    <t>Créances nettes sur l'Administration Centrale</t>
  </si>
  <si>
    <t>654AGM07</t>
  </si>
  <si>
    <t>65422AN..K...{Z}</t>
  </si>
  <si>
    <t>65432S...J...{M}</t>
  </si>
  <si>
    <t>Créances sur l'économie</t>
  </si>
  <si>
    <t>65412S...K...{Z}</t>
  </si>
  <si>
    <t>65422S...K...{Z}</t>
  </si>
  <si>
    <t>654AGM08</t>
  </si>
  <si>
    <t>Passifs à caractère non monétaire (2)</t>
  </si>
  <si>
    <t>65437A...J...{M}</t>
  </si>
  <si>
    <t>Actions et autres participations dans les ID</t>
  </si>
  <si>
    <t>65417A...J...{M}</t>
  </si>
  <si>
    <t>65427A...J...{M}</t>
  </si>
  <si>
    <t>654AGM09</t>
  </si>
  <si>
    <t>Engagements non monétaires des ID</t>
  </si>
  <si>
    <t>65436B...J...{M}</t>
  </si>
  <si>
    <t>Dépôts exclus de M2</t>
  </si>
  <si>
    <t>65436L...J...{M}</t>
  </si>
  <si>
    <t>Emprunts</t>
  </si>
  <si>
    <t>65436S...J...{M}</t>
  </si>
  <si>
    <t>Titres autres q'actions exclus de M2</t>
  </si>
  <si>
    <t>65437R...J...{M}</t>
  </si>
  <si>
    <t>Autres postes nets (3)</t>
  </si>
  <si>
    <t>dont contrepartie des dépôts auprès des CCP</t>
  </si>
  <si>
    <t>654AGM10</t>
  </si>
  <si>
    <t>Total des contreparties de M2 (4)</t>
  </si>
  <si>
    <t>Vérification verticale</t>
  </si>
  <si>
    <t>(1) Dépôts à terme et comptes d'épargne à régime spécial ouverts auprès des banques, dépôts rémunérés ouverts dans les livres de la Banque Centrale.</t>
  </si>
  <si>
    <t>(2) Composés des actions et autres participations dans les institutions de dépôt et de leurs engagements non-monétaires envers les autres secteurs.</t>
  </si>
  <si>
    <t>(3) Composé des ajustements de consolidation et de la balance nette des actifs non-classifiés notamment les éléments divers et les actifs non financiers</t>
  </si>
  <si>
    <t>(4) Total des contreparties = Actifs extérieurs nets + Créances intérieures - Passifs à caractère non-monétaire - Autres postes nets.</t>
  </si>
  <si>
    <t>TABLEAU 1 : EVOLUTION DE LA BALANCE DES PAIEMENTS_GUINEE-BISSAU</t>
  </si>
  <si>
    <t>en milliards de FCFA</t>
  </si>
  <si>
    <t>LIBELLE POSTE</t>
  </si>
  <si>
    <t>2019 (***)</t>
  </si>
  <si>
    <t>2020 (****)</t>
  </si>
  <si>
    <t>2021 (****)</t>
  </si>
  <si>
    <t>2022 (****)</t>
  </si>
  <si>
    <t>2023 (****)</t>
  </si>
  <si>
    <t>2024 (****)</t>
  </si>
  <si>
    <t>2025 (****)</t>
  </si>
  <si>
    <t>Est</t>
  </si>
  <si>
    <t>Estim.</t>
  </si>
  <si>
    <t>Proj.</t>
  </si>
  <si>
    <t>a- Compte des transactions courantes (1+2+3)</t>
  </si>
  <si>
    <t xml:space="preserve">   1- Biens et services</t>
  </si>
  <si>
    <t>DON</t>
  </si>
  <si>
    <t>Empres</t>
  </si>
  <si>
    <t xml:space="preserve">      Balance des biens</t>
  </si>
  <si>
    <t xml:space="preserve">         Exportations de biens FOB dont :</t>
  </si>
  <si>
    <t>FBC</t>
  </si>
  <si>
    <t>Noix d'anacarde</t>
  </si>
  <si>
    <t>funcionqmento</t>
  </si>
  <si>
    <t>Poissons et crevettes</t>
  </si>
  <si>
    <t>Bois</t>
  </si>
  <si>
    <t>Coton</t>
  </si>
  <si>
    <t>Divers</t>
  </si>
  <si>
    <t xml:space="preserve">        Importations de biens FOB</t>
  </si>
  <si>
    <t xml:space="preserve">         Importions de biens CAF dont :</t>
  </si>
  <si>
    <t>Produits alimentaires</t>
  </si>
  <si>
    <t>Autres biens de consommation courante</t>
  </si>
  <si>
    <t>Produits pétroliers</t>
  </si>
  <si>
    <t>Biens intermédiaires</t>
  </si>
  <si>
    <t>Biens d’équipement</t>
  </si>
  <si>
    <t>Autres importations</t>
  </si>
  <si>
    <t xml:space="preserve">         Dont intra-UEMOA</t>
  </si>
  <si>
    <t xml:space="preserve">      Balance des services</t>
  </si>
  <si>
    <t xml:space="preserve">        Crédit</t>
  </si>
  <si>
    <t xml:space="preserve">            Dont voyage</t>
  </si>
  <si>
    <t xml:space="preserve">        Débit</t>
  </si>
  <si>
    <t xml:space="preserve">            Dont fret et assurances</t>
  </si>
  <si>
    <t xml:space="preserve">   2- Revenu primaire</t>
  </si>
  <si>
    <t xml:space="preserve">         Dont intérêts sur la dette</t>
  </si>
  <si>
    <t xml:space="preserve">   3- Revenu secondaire</t>
  </si>
  <si>
    <t xml:space="preserve">         - Administrations publiques</t>
  </si>
  <si>
    <t xml:space="preserve">         - Autres secteurs</t>
  </si>
  <si>
    <t>b- Compte de capital (4+5)</t>
  </si>
  <si>
    <t xml:space="preserve">   4- Acquisition/cessions d'actifs non financiers</t>
  </si>
  <si>
    <t xml:space="preserve">   5- Transferts de capital</t>
  </si>
  <si>
    <t>Funcion</t>
  </si>
  <si>
    <t xml:space="preserve">                         Remises de dette</t>
  </si>
  <si>
    <t xml:space="preserve">                         Autres transferts de capital</t>
  </si>
  <si>
    <t>c. Solde des comptes des transactions courantes et de capital (a+b)</t>
  </si>
  <si>
    <t>d- Compte financier (6+7+8+9)</t>
  </si>
  <si>
    <t xml:space="preserve">   6- Investissement direct</t>
  </si>
  <si>
    <t xml:space="preserve">   7- Investissements de portefeuille</t>
  </si>
  <si>
    <t xml:space="preserve">   8- Dérivés financiers</t>
  </si>
  <si>
    <t xml:space="preserve">   9- Autres investissements</t>
  </si>
  <si>
    <t xml:space="preserve">                   - Tirages</t>
  </si>
  <si>
    <t xml:space="preserve">                   - Variations des arriérés</t>
  </si>
  <si>
    <t xml:space="preserve">                      - Réechelonnement</t>
  </si>
  <si>
    <t xml:space="preserve">                   - Autre financement exceptionnel</t>
  </si>
  <si>
    <t xml:space="preserve">                   - Amortissements</t>
  </si>
  <si>
    <t>Pour mémoire : financement exceptionnel</t>
  </si>
  <si>
    <t xml:space="preserve">                   - Remise de dettes</t>
  </si>
  <si>
    <t xml:space="preserve">                   - Autres (financement à rechercher)</t>
  </si>
  <si>
    <t>e- Erreurs et omissions nettes</t>
  </si>
  <si>
    <t>f- Solde global (a+b-c+d)</t>
  </si>
  <si>
    <t>g- Ecart d'évaluation</t>
  </si>
  <si>
    <t>h- Variation des avoirs extérieurs nets</t>
  </si>
  <si>
    <t>Taux de couverture : Export b&amp;s/Import b&amp;s(%)</t>
  </si>
  <si>
    <t>Degré d'ouverture : (Export b&amp;s+ Import b&amp;s)/(2*PIB) (%)</t>
  </si>
  <si>
    <t>Balance courante/PIB (%)</t>
  </si>
  <si>
    <t>Balance courante hors dons/PIB (%)</t>
  </si>
  <si>
    <t>Balance courante hors dons publics (en milliards de FCFA)</t>
  </si>
  <si>
    <t>Investissements directs étrangers/PIB (%)</t>
  </si>
  <si>
    <t>Taux de progression des IDE (%)</t>
  </si>
  <si>
    <t xml:space="preserve"> P.I.B.</t>
  </si>
  <si>
    <t>Solde global/PIB (%)</t>
  </si>
  <si>
    <t>Cours $/FCFA</t>
  </si>
  <si>
    <t>Cours Noix de cajou $/tonne</t>
  </si>
  <si>
    <t>Cours pétrole $/baril</t>
  </si>
  <si>
    <t>Source : BCEAO</t>
  </si>
  <si>
    <t xml:space="preserve"> (*) Données issues des conversions réalisées en rapport avec les Services du FMI.</t>
  </si>
  <si>
    <t xml:space="preserve"> (**) Données directement compilées au format MBP, issues de la nouvelle application BPT.</t>
  </si>
  <si>
    <t xml:space="preserve"> (***) Estimations et projections à actualiser.</t>
  </si>
  <si>
    <t>Quadro 1</t>
  </si>
  <si>
    <t>Quadro 2</t>
  </si>
  <si>
    <t>EVOLUÇÃO DE BALANÇA DE PAGAMENTO</t>
  </si>
  <si>
    <t xml:space="preserve">AGREGADOS MONETÁRIOS </t>
  </si>
  <si>
    <t>BALANÇA DE PAGAMENTO GUINÉ-BISSAU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</si>
</sst>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mmm\-yy;@"/>
    <numFmt numFmtId="166" formatCode="0.0"/>
    <numFmt numFmtId="167" formatCode="#,###.0"/>
    <numFmt numFmtId="168" formatCode="0.0%"/>
    <numFmt numFmtId="169" formatCode="#,###.00"/>
    <numFmt numFmtId="170" formatCode="_-* #,##0\ _C_F_A_-;\-* #,##0\ _C_F_A_-;_-* &quot;- &quot;_C_F_A_-;_-@_-"/>
    <numFmt numFmtId="171" formatCode="#,##0.000"/>
    <numFmt numFmtId="172" formatCode="#,##0.0000"/>
  </numFmts>
  <fonts count="61"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37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16"/>
      <name val="Arial"/>
      <family val="2"/>
    </font>
    <font>
      <b/>
      <i/>
      <sz val="9"/>
      <color indexed="8"/>
      <name val="Arial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9" fontId="9" fillId="0" borderId="0">
      <alignment/>
      <protection/>
    </xf>
    <xf numFmtId="0" fontId="54" fillId="20" borderId="7" applyNumberFormat="0" applyAlignment="0" applyProtection="0"/>
    <xf numFmtId="170" fontId="1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3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164" fontId="2" fillId="0" borderId="0" xfId="16" applyNumberFormat="1" applyFont="1" applyFill="1" applyBorder="1" applyAlignment="1" applyProtection="1">
      <alignment vertical="center"/>
      <protection/>
    </xf>
    <xf numFmtId="164" fontId="2" fillId="0" borderId="0" xfId="16" applyNumberFormat="1" applyFont="1" applyFill="1" applyBorder="1" applyAlignment="1" applyProtection="1">
      <alignment vertical="center" wrapText="1"/>
      <protection/>
    </xf>
    <xf numFmtId="164" fontId="2" fillId="33" borderId="0" xfId="16" applyNumberFormat="1" applyFont="1" applyFill="1" applyBorder="1" applyAlignment="1" applyProtection="1">
      <alignment vertical="center" wrapText="1"/>
      <protection/>
    </xf>
    <xf numFmtId="164" fontId="3" fillId="0" borderId="0" xfId="16" applyNumberFormat="1" applyFont="1" applyFill="1" applyBorder="1" applyAlignment="1" applyProtection="1">
      <alignment horizontal="left" vertical="center"/>
      <protection/>
    </xf>
    <xf numFmtId="164" fontId="4" fillId="0" borderId="0" xfId="16" applyNumberFormat="1" applyFont="1" applyFill="1" applyBorder="1" applyAlignment="1" applyProtection="1">
      <alignment horizontal="left" vertical="center"/>
      <protection/>
    </xf>
    <xf numFmtId="1" fontId="3" fillId="0" borderId="0" xfId="16" applyNumberFormat="1" applyFont="1" applyFill="1" applyBorder="1" applyAlignment="1" applyProtection="1">
      <alignment/>
      <protection/>
    </xf>
    <xf numFmtId="1" fontId="3" fillId="33" borderId="0" xfId="16" applyNumberFormat="1" applyFont="1" applyFill="1" applyBorder="1" applyAlignment="1" applyProtection="1">
      <alignment/>
      <protection/>
    </xf>
    <xf numFmtId="165" fontId="5" fillId="0" borderId="10" xfId="16" applyNumberFormat="1" applyFont="1" applyFill="1" applyBorder="1" applyAlignment="1" applyProtection="1">
      <alignment vertical="center"/>
      <protection/>
    </xf>
    <xf numFmtId="165" fontId="5" fillId="0" borderId="11" xfId="16" applyNumberFormat="1" applyFont="1" applyFill="1" applyBorder="1" applyAlignment="1" applyProtection="1">
      <alignment vertical="center"/>
      <protection/>
    </xf>
    <xf numFmtId="165" fontId="5" fillId="0" borderId="11" xfId="16" applyNumberFormat="1" applyFont="1" applyFill="1" applyBorder="1" applyAlignment="1" applyProtection="1">
      <alignment horizontal="right" vertical="center"/>
      <protection/>
    </xf>
    <xf numFmtId="165" fontId="5" fillId="33" borderId="11" xfId="16" applyNumberFormat="1" applyFont="1" applyFill="1" applyBorder="1" applyAlignment="1" applyProtection="1">
      <alignment horizontal="right" vertical="center"/>
      <protection/>
    </xf>
    <xf numFmtId="164" fontId="6" fillId="34" borderId="12" xfId="16" applyNumberFormat="1" applyFont="1" applyFill="1" applyBorder="1" applyAlignment="1" applyProtection="1">
      <alignment vertical="center"/>
      <protection/>
    </xf>
    <xf numFmtId="164" fontId="6" fillId="34" borderId="13" xfId="16" applyNumberFormat="1" applyFont="1" applyFill="1" applyBorder="1" applyAlignment="1" applyProtection="1">
      <alignment vertical="center"/>
      <protection/>
    </xf>
    <xf numFmtId="164" fontId="6" fillId="34" borderId="13" xfId="16" applyNumberFormat="1" applyFont="1" applyFill="1" applyBorder="1" applyAlignment="1" applyProtection="1">
      <alignment horizontal="right" vertical="center"/>
      <protection/>
    </xf>
    <xf numFmtId="164" fontId="6" fillId="33" borderId="13" xfId="16" applyNumberFormat="1" applyFont="1" applyFill="1" applyBorder="1" applyAlignment="1" applyProtection="1">
      <alignment horizontal="right" vertical="center"/>
      <protection/>
    </xf>
    <xf numFmtId="164" fontId="5" fillId="0" borderId="10" xfId="16" applyNumberFormat="1" applyFont="1" applyFill="1" applyBorder="1" applyAlignment="1" applyProtection="1">
      <alignment/>
      <protection/>
    </xf>
    <xf numFmtId="164" fontId="5" fillId="0" borderId="0" xfId="16" applyNumberFormat="1" applyFont="1" applyFill="1" applyBorder="1" applyAlignment="1" applyProtection="1">
      <alignment/>
      <protection/>
    </xf>
    <xf numFmtId="164" fontId="5" fillId="0" borderId="0" xfId="16" applyNumberFormat="1" applyFont="1" applyFill="1" applyBorder="1" applyAlignment="1" applyProtection="1">
      <alignment horizontal="right"/>
      <protection/>
    </xf>
    <xf numFmtId="164" fontId="5" fillId="33" borderId="0" xfId="16" applyNumberFormat="1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64" fontId="1" fillId="0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164" fontId="1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4" fontId="7" fillId="35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indent="3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33" borderId="16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4" fontId="1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9" fillId="33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vertical="center" wrapText="1"/>
    </xf>
    <xf numFmtId="166" fontId="9" fillId="0" borderId="0" xfId="49" applyNumberFormat="1" applyFont="1" applyFill="1" applyBorder="1" applyAlignment="1" applyProtection="1">
      <alignment/>
      <protection/>
    </xf>
    <xf numFmtId="166" fontId="12" fillId="0" borderId="0" xfId="49" applyNumberFormat="1" applyFont="1" applyFill="1" applyBorder="1" applyAlignment="1" applyProtection="1">
      <alignment/>
      <protection/>
    </xf>
    <xf numFmtId="166" fontId="12" fillId="33" borderId="0" xfId="49" applyNumberFormat="1" applyFont="1" applyFill="1" applyBorder="1" applyAlignment="1" applyProtection="1">
      <alignment/>
      <protection/>
    </xf>
    <xf numFmtId="167" fontId="12" fillId="0" borderId="0" xfId="49" applyNumberFormat="1" applyFont="1" applyFill="1" applyBorder="1" applyAlignment="1" applyProtection="1">
      <alignment horizontal="center"/>
      <protection/>
    </xf>
    <xf numFmtId="167" fontId="12" fillId="33" borderId="0" xfId="49" applyNumberFormat="1" applyFont="1" applyFill="1" applyBorder="1" applyAlignment="1" applyProtection="1">
      <alignment horizontal="center"/>
      <protection/>
    </xf>
    <xf numFmtId="2" fontId="1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vertical="center" wrapText="1"/>
    </xf>
    <xf numFmtId="167" fontId="13" fillId="0" borderId="0" xfId="49" applyNumberFormat="1" applyFont="1" applyFill="1" applyBorder="1" applyAlignment="1" applyProtection="1">
      <alignment horizontal="center"/>
      <protection/>
    </xf>
    <xf numFmtId="168" fontId="12" fillId="0" borderId="0" xfId="57" applyNumberFormat="1" applyFont="1" applyFill="1" applyBorder="1" applyAlignment="1" applyProtection="1">
      <alignment horizontal="center"/>
      <protection/>
    </xf>
    <xf numFmtId="169" fontId="13" fillId="0" borderId="0" xfId="49" applyNumberFormat="1" applyFont="1" applyFill="1" applyBorder="1" applyAlignment="1" applyProtection="1">
      <alignment horizontal="center"/>
      <protection/>
    </xf>
    <xf numFmtId="2" fontId="14" fillId="33" borderId="0" xfId="0" applyNumberFormat="1" applyFont="1" applyFill="1" applyBorder="1" applyAlignment="1">
      <alignment/>
    </xf>
    <xf numFmtId="164" fontId="14" fillId="33" borderId="0" xfId="0" applyNumberFormat="1" applyFont="1" applyFill="1" applyBorder="1" applyAlignment="1">
      <alignment vertical="center" wrapText="1"/>
    </xf>
    <xf numFmtId="166" fontId="15" fillId="33" borderId="0" xfId="49" applyNumberFormat="1" applyFont="1" applyFill="1" applyBorder="1" applyAlignment="1" applyProtection="1">
      <alignment/>
      <protection/>
    </xf>
    <xf numFmtId="166" fontId="13" fillId="33" borderId="0" xfId="49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>
      <alignment/>
    </xf>
    <xf numFmtId="0" fontId="14" fillId="33" borderId="18" xfId="0" applyNumberFormat="1" applyFont="1" applyFill="1" applyBorder="1" applyAlignment="1">
      <alignment/>
    </xf>
    <xf numFmtId="0" fontId="14" fillId="33" borderId="19" xfId="0" applyNumberFormat="1" applyFont="1" applyFill="1" applyBorder="1" applyAlignment="1">
      <alignment horizontal="center"/>
    </xf>
    <xf numFmtId="0" fontId="14" fillId="0" borderId="19" xfId="0" applyNumberFormat="1" applyFont="1" applyFill="1" applyBorder="1" applyAlignment="1">
      <alignment horizontal="center"/>
    </xf>
    <xf numFmtId="0" fontId="14" fillId="33" borderId="20" xfId="0" applyNumberFormat="1" applyFont="1" applyFill="1" applyBorder="1" applyAlignment="1">
      <alignment/>
    </xf>
    <xf numFmtId="164" fontId="14" fillId="33" borderId="21" xfId="0" applyNumberFormat="1" applyFont="1" applyFill="1" applyBorder="1" applyAlignment="1">
      <alignment horizontal="center"/>
    </xf>
    <xf numFmtId="0" fontId="14" fillId="33" borderId="21" xfId="0" applyNumberFormat="1" applyFont="1" applyFill="1" applyBorder="1" applyAlignment="1">
      <alignment horizontal="center"/>
    </xf>
    <xf numFmtId="167" fontId="14" fillId="33" borderId="21" xfId="0" applyNumberFormat="1" applyFont="1" applyFill="1" applyBorder="1" applyAlignment="1">
      <alignment horizontal="center"/>
    </xf>
    <xf numFmtId="167" fontId="14" fillId="0" borderId="21" xfId="0" applyNumberFormat="1" applyFont="1" applyFill="1" applyBorder="1" applyAlignment="1">
      <alignment horizontal="center"/>
    </xf>
    <xf numFmtId="0" fontId="14" fillId="33" borderId="22" xfId="0" applyNumberFormat="1" applyFont="1" applyFill="1" applyBorder="1" applyAlignment="1">
      <alignment horizontal="left" vertical="center" wrapText="1"/>
    </xf>
    <xf numFmtId="4" fontId="14" fillId="33" borderId="23" xfId="0" applyNumberFormat="1" applyFont="1" applyFill="1" applyBorder="1" applyAlignment="1">
      <alignment vertical="center" wrapText="1"/>
    </xf>
    <xf numFmtId="164" fontId="14" fillId="33" borderId="23" xfId="0" applyNumberFormat="1" applyFont="1" applyFill="1" applyBorder="1" applyAlignment="1">
      <alignment vertical="center" wrapText="1"/>
    </xf>
    <xf numFmtId="164" fontId="14" fillId="33" borderId="24" xfId="0" applyNumberFormat="1" applyFont="1" applyFill="1" applyBorder="1" applyAlignment="1">
      <alignment vertical="center" wrapText="1"/>
    </xf>
    <xf numFmtId="164" fontId="14" fillId="33" borderId="25" xfId="0" applyNumberFormat="1" applyFont="1" applyFill="1" applyBorder="1" applyAlignment="1">
      <alignment vertical="center" wrapText="1"/>
    </xf>
    <xf numFmtId="164" fontId="14" fillId="0" borderId="25" xfId="0" applyNumberFormat="1" applyFont="1" applyFill="1" applyBorder="1" applyAlignment="1">
      <alignment vertical="center" wrapText="1"/>
    </xf>
    <xf numFmtId="164" fontId="14" fillId="0" borderId="26" xfId="0" applyNumberFormat="1" applyFont="1" applyFill="1" applyBorder="1" applyAlignment="1">
      <alignment vertical="center" wrapText="1"/>
    </xf>
    <xf numFmtId="164" fontId="14" fillId="0" borderId="23" xfId="0" applyNumberFormat="1" applyFont="1" applyFill="1" applyBorder="1" applyAlignment="1">
      <alignment vertical="center" wrapText="1"/>
    </xf>
    <xf numFmtId="164" fontId="14" fillId="0" borderId="27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0" fillId="33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2" fillId="33" borderId="0" xfId="0" applyNumberFormat="1" applyFont="1" applyFill="1" applyAlignment="1">
      <alignment/>
    </xf>
    <xf numFmtId="0" fontId="13" fillId="33" borderId="22" xfId="0" applyNumberFormat="1" applyFont="1" applyFill="1" applyBorder="1" applyAlignment="1">
      <alignment horizontal="left" vertical="center" wrapText="1" indent="5"/>
    </xf>
    <xf numFmtId="164" fontId="13" fillId="33" borderId="0" xfId="0" applyNumberFormat="1" applyFont="1" applyFill="1" applyBorder="1" applyAlignment="1">
      <alignment/>
    </xf>
    <xf numFmtId="164" fontId="13" fillId="33" borderId="23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/>
    </xf>
    <xf numFmtId="164" fontId="15" fillId="33" borderId="23" xfId="0" applyNumberFormat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>
      <alignment vertical="center" wrapText="1"/>
    </xf>
    <xf numFmtId="164" fontId="15" fillId="0" borderId="27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/>
    </xf>
    <xf numFmtId="0" fontId="14" fillId="33" borderId="0" xfId="0" applyNumberFormat="1" applyFont="1" applyFill="1" applyBorder="1" applyAlignment="1">
      <alignment/>
    </xf>
    <xf numFmtId="0" fontId="13" fillId="33" borderId="22" xfId="0" applyNumberFormat="1" applyFont="1" applyFill="1" applyBorder="1" applyAlignment="1">
      <alignment horizontal="left" vertical="center" wrapText="1" indent="4"/>
    </xf>
    <xf numFmtId="164" fontId="13" fillId="33" borderId="23" xfId="0" applyNumberFormat="1" applyFont="1" applyFill="1" applyBorder="1" applyAlignment="1">
      <alignment vertical="center" wrapText="1"/>
    </xf>
    <xf numFmtId="164" fontId="13" fillId="33" borderId="24" xfId="0" applyNumberFormat="1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horizontal="left" vertical="center" wrapText="1"/>
    </xf>
    <xf numFmtId="0" fontId="15" fillId="33" borderId="22" xfId="0" applyNumberFormat="1" applyFont="1" applyFill="1" applyBorder="1" applyAlignment="1">
      <alignment horizontal="left" vertical="center" wrapText="1"/>
    </xf>
    <xf numFmtId="164" fontId="15" fillId="33" borderId="24" xfId="0" applyNumberFormat="1" applyFont="1" applyFill="1" applyBorder="1" applyAlignment="1">
      <alignment vertical="center" wrapText="1"/>
    </xf>
    <xf numFmtId="4" fontId="15" fillId="0" borderId="27" xfId="0" applyNumberFormat="1" applyFont="1" applyFill="1" applyBorder="1" applyAlignment="1">
      <alignment vertical="center" wrapText="1"/>
    </xf>
    <xf numFmtId="164" fontId="15" fillId="33" borderId="22" xfId="0" applyNumberFormat="1" applyFont="1" applyFill="1" applyBorder="1" applyAlignment="1">
      <alignment vertical="center" wrapText="1"/>
    </xf>
    <xf numFmtId="166" fontId="15" fillId="33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center"/>
    </xf>
    <xf numFmtId="164" fontId="14" fillId="33" borderId="23" xfId="0" applyNumberFormat="1" applyFont="1" applyFill="1" applyBorder="1" applyAlignment="1">
      <alignment/>
    </xf>
    <xf numFmtId="164" fontId="14" fillId="33" borderId="24" xfId="0" applyNumberFormat="1" applyFont="1" applyFill="1" applyBorder="1" applyAlignment="1">
      <alignment/>
    </xf>
    <xf numFmtId="164" fontId="15" fillId="33" borderId="23" xfId="0" applyNumberFormat="1" applyFont="1" applyFill="1" applyBorder="1" applyAlignment="1">
      <alignment/>
    </xf>
    <xf numFmtId="164" fontId="15" fillId="33" borderId="24" xfId="0" applyNumberFormat="1" applyFont="1" applyFill="1" applyBorder="1" applyAlignment="1">
      <alignment/>
    </xf>
    <xf numFmtId="164" fontId="14" fillId="33" borderId="23" xfId="0" applyNumberFormat="1" applyFont="1" applyFill="1" applyBorder="1" applyAlignment="1">
      <alignment horizontal="right" vertical="center" wrapText="1"/>
    </xf>
    <xf numFmtId="164" fontId="14" fillId="33" borderId="24" xfId="0" applyNumberFormat="1" applyFont="1" applyFill="1" applyBorder="1" applyAlignment="1">
      <alignment horizontal="right" vertical="center" wrapText="1"/>
    </xf>
    <xf numFmtId="170" fontId="10" fillId="0" borderId="0" xfId="59" applyFont="1" applyFill="1" applyBorder="1" applyAlignment="1" applyProtection="1">
      <alignment/>
      <protection/>
    </xf>
    <xf numFmtId="0" fontId="10" fillId="0" borderId="0" xfId="0" applyNumberFormat="1" applyFont="1" applyFill="1" applyAlignment="1">
      <alignment horizontal="right"/>
    </xf>
    <xf numFmtId="166" fontId="9" fillId="0" borderId="0" xfId="0" applyNumberFormat="1" applyFont="1" applyFill="1" applyAlignment="1">
      <alignment/>
    </xf>
    <xf numFmtId="4" fontId="15" fillId="33" borderId="23" xfId="0" applyNumberFormat="1" applyFont="1" applyFill="1" applyBorder="1" applyAlignment="1">
      <alignment vertical="center" wrapText="1"/>
    </xf>
    <xf numFmtId="164" fontId="9" fillId="0" borderId="0" xfId="0" applyNumberFormat="1" applyFont="1" applyFill="1" applyAlignment="1">
      <alignment/>
    </xf>
    <xf numFmtId="171" fontId="14" fillId="33" borderId="23" xfId="0" applyNumberFormat="1" applyFont="1" applyFill="1" applyBorder="1" applyAlignment="1">
      <alignment/>
    </xf>
    <xf numFmtId="4" fontId="15" fillId="33" borderId="24" xfId="0" applyNumberFormat="1" applyFont="1" applyFill="1" applyBorder="1" applyAlignment="1">
      <alignment vertical="center" wrapText="1"/>
    </xf>
    <xf numFmtId="4" fontId="14" fillId="33" borderId="23" xfId="0" applyNumberFormat="1" applyFont="1" applyFill="1" applyBorder="1" applyAlignment="1">
      <alignment/>
    </xf>
    <xf numFmtId="164" fontId="14" fillId="33" borderId="28" xfId="0" applyNumberFormat="1" applyFont="1" applyFill="1" applyBorder="1" applyAlignment="1">
      <alignment vertical="center" wrapText="1"/>
    </xf>
    <xf numFmtId="164" fontId="14" fillId="0" borderId="28" xfId="0" applyNumberFormat="1" applyFont="1" applyFill="1" applyBorder="1" applyAlignment="1">
      <alignment vertical="center" wrapText="1"/>
    </xf>
    <xf numFmtId="164" fontId="14" fillId="0" borderId="29" xfId="0" applyNumberFormat="1" applyFont="1" applyFill="1" applyBorder="1" applyAlignment="1">
      <alignment vertical="center" wrapText="1"/>
    </xf>
    <xf numFmtId="0" fontId="14" fillId="33" borderId="30" xfId="0" applyNumberFormat="1" applyFont="1" applyFill="1" applyBorder="1" applyAlignment="1">
      <alignment horizontal="left" vertical="center" wrapText="1"/>
    </xf>
    <xf numFmtId="4" fontId="14" fillId="33" borderId="28" xfId="0" applyNumberFormat="1" applyFont="1" applyFill="1" applyBorder="1" applyAlignment="1">
      <alignment vertical="center" wrapText="1"/>
    </xf>
    <xf numFmtId="164" fontId="14" fillId="33" borderId="31" xfId="0" applyNumberFormat="1" applyFont="1" applyFill="1" applyBorder="1" applyAlignment="1">
      <alignment vertical="center" wrapText="1"/>
    </xf>
    <xf numFmtId="164" fontId="16" fillId="0" borderId="0" xfId="15" applyNumberFormat="1" applyFont="1" applyFill="1" applyBorder="1" applyAlignment="1" applyProtection="1">
      <alignment vertical="center" wrapText="1"/>
      <protection/>
    </xf>
    <xf numFmtId="0" fontId="14" fillId="33" borderId="32" xfId="0" applyNumberFormat="1" applyFont="1" applyFill="1" applyBorder="1" applyAlignment="1">
      <alignment horizontal="left" vertical="center" wrapText="1"/>
    </xf>
    <xf numFmtId="0" fontId="14" fillId="33" borderId="33" xfId="0" applyNumberFormat="1" applyFont="1" applyFill="1" applyBorder="1" applyAlignment="1">
      <alignment horizontal="left" vertical="center" wrapText="1"/>
    </xf>
    <xf numFmtId="164" fontId="14" fillId="33" borderId="34" xfId="0" applyNumberFormat="1" applyFont="1" applyFill="1" applyBorder="1" applyAlignment="1">
      <alignment vertical="center" wrapText="1"/>
    </xf>
    <xf numFmtId="164" fontId="14" fillId="33" borderId="35" xfId="0" applyNumberFormat="1" applyFont="1" applyFill="1" applyBorder="1" applyAlignment="1">
      <alignment vertical="center" wrapText="1"/>
    </xf>
    <xf numFmtId="164" fontId="14" fillId="33" borderId="36" xfId="0" applyNumberFormat="1" applyFont="1" applyFill="1" applyBorder="1" applyAlignment="1">
      <alignment vertical="center" wrapText="1"/>
    </xf>
    <xf numFmtId="164" fontId="14" fillId="0" borderId="34" xfId="0" applyNumberFormat="1" applyFont="1" applyFill="1" applyBorder="1" applyAlignment="1">
      <alignment vertical="center" wrapText="1"/>
    </xf>
    <xf numFmtId="164" fontId="14" fillId="0" borderId="37" xfId="0" applyNumberFormat="1" applyFont="1" applyFill="1" applyBorder="1" applyAlignment="1">
      <alignment vertical="center" wrapText="1"/>
    </xf>
    <xf numFmtId="164" fontId="15" fillId="33" borderId="17" xfId="0" applyNumberFormat="1" applyFont="1" applyFill="1" applyBorder="1" applyAlignment="1">
      <alignment vertical="center" wrapText="1"/>
    </xf>
    <xf numFmtId="164" fontId="14" fillId="33" borderId="16" xfId="0" applyNumberFormat="1" applyFont="1" applyFill="1" applyBorder="1" applyAlignment="1">
      <alignment vertical="center" wrapText="1"/>
    </xf>
    <xf numFmtId="164" fontId="15" fillId="33" borderId="34" xfId="0" applyNumberFormat="1" applyFont="1" applyFill="1" applyBorder="1" applyAlignment="1">
      <alignment vertical="center" wrapText="1"/>
    </xf>
    <xf numFmtId="164" fontId="15" fillId="33" borderId="36" xfId="0" applyNumberFormat="1" applyFont="1" applyFill="1" applyBorder="1" applyAlignment="1">
      <alignment vertical="center" wrapText="1"/>
    </xf>
    <xf numFmtId="164" fontId="15" fillId="0" borderId="34" xfId="0" applyNumberFormat="1" applyFont="1" applyFill="1" applyBorder="1" applyAlignment="1">
      <alignment vertical="center" wrapText="1"/>
    </xf>
    <xf numFmtId="164" fontId="15" fillId="0" borderId="37" xfId="0" applyNumberFormat="1" applyFont="1" applyFill="1" applyBorder="1" applyAlignment="1">
      <alignment vertical="center" wrapText="1"/>
    </xf>
    <xf numFmtId="0" fontId="17" fillId="33" borderId="0" xfId="0" applyNumberFormat="1" applyFont="1" applyFill="1" applyBorder="1" applyAlignment="1">
      <alignment horizontal="left" vertical="center" wrapText="1"/>
    </xf>
    <xf numFmtId="164" fontId="18" fillId="33" borderId="0" xfId="0" applyNumberFormat="1" applyFont="1" applyFill="1" applyBorder="1" applyAlignment="1">
      <alignment vertical="center" wrapText="1"/>
    </xf>
    <xf numFmtId="164" fontId="19" fillId="33" borderId="0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10" fillId="33" borderId="0" xfId="0" applyNumberFormat="1" applyFont="1" applyFill="1" applyAlignment="1">
      <alignment horizontal="left" vertical="center" wrapText="1"/>
    </xf>
    <xf numFmtId="164" fontId="10" fillId="33" borderId="0" xfId="0" applyNumberFormat="1" applyFont="1" applyFill="1" applyAlignment="1">
      <alignment vertical="center" wrapText="1"/>
    </xf>
    <xf numFmtId="164" fontId="9" fillId="33" borderId="0" xfId="0" applyNumberFormat="1" applyFont="1" applyFill="1" applyAlignment="1">
      <alignment vertical="center" wrapText="1"/>
    </xf>
    <xf numFmtId="167" fontId="10" fillId="33" borderId="0" xfId="0" applyNumberFormat="1" applyFont="1" applyFill="1" applyAlignment="1">
      <alignment/>
    </xf>
    <xf numFmtId="0" fontId="20" fillId="33" borderId="0" xfId="0" applyNumberFormat="1" applyFont="1" applyFill="1" applyAlignment="1">
      <alignment/>
    </xf>
    <xf numFmtId="172" fontId="10" fillId="33" borderId="0" xfId="0" applyNumberFormat="1" applyFont="1" applyFill="1" applyAlignment="1">
      <alignment vertical="center" wrapText="1"/>
    </xf>
    <xf numFmtId="4" fontId="10" fillId="33" borderId="0" xfId="0" applyNumberFormat="1" applyFont="1" applyFill="1" applyAlignment="1">
      <alignment vertical="center" wrapText="1"/>
    </xf>
    <xf numFmtId="167" fontId="10" fillId="33" borderId="0" xfId="0" applyNumberFormat="1" applyFont="1" applyFill="1" applyAlignment="1">
      <alignment vertical="center" wrapText="1"/>
    </xf>
    <xf numFmtId="2" fontId="14" fillId="33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60" fillId="0" borderId="0" xfId="50" applyFont="1" applyAlignment="1">
      <alignment/>
    </xf>
  </cellXfs>
  <cellStyles count="52">
    <cellStyle name="Normal" xfId="0"/>
    <cellStyle name="?_x001D_?½_x000C_'ÿ-&#10; ÿU_x0001_?_x0005_ˆ_x0008__x0007__x0001__x0001_" xfId="15"/>
    <cellStyle name="??½'ÿ-&#10; ÿU?ˆ" xfId="16"/>
    <cellStyle name="20% - Cor1" xfId="17"/>
    <cellStyle name="20% - Cor2" xfId="18"/>
    <cellStyle name="20% - Cor3" xfId="19"/>
    <cellStyle name="20% - Cor4" xfId="20"/>
    <cellStyle name="20% - Cor5" xfId="21"/>
    <cellStyle name="20% - Cor6" xfId="22"/>
    <cellStyle name="40% - Cor1" xfId="23"/>
    <cellStyle name="40% - Cor2" xfId="24"/>
    <cellStyle name="40% - Cor3" xfId="25"/>
    <cellStyle name="40% - Cor4" xfId="26"/>
    <cellStyle name="40% - Cor5" xfId="27"/>
    <cellStyle name="40% - Cor6" xfId="28"/>
    <cellStyle name="60% - Cor1" xfId="29"/>
    <cellStyle name="60% - Cor2" xfId="30"/>
    <cellStyle name="60% - Cor3" xfId="31"/>
    <cellStyle name="60% - Cor4" xfId="32"/>
    <cellStyle name="60% - Cor5" xfId="33"/>
    <cellStyle name="60% - Cor6" xfId="34"/>
    <cellStyle name="Cabeçalho 1" xfId="35"/>
    <cellStyle name="Cabeçalho 2" xfId="36"/>
    <cellStyle name="Cabeçalho 3" xfId="37"/>
    <cellStyle name="Cabeçalho 4" xfId="38"/>
    <cellStyle name="Cálculo" xfId="39"/>
    <cellStyle name="Célula Ligada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Entrada" xfId="48"/>
    <cellStyle name="Excel Built-in Normal 1" xfId="49"/>
    <cellStyle name="Hyperlink" xfId="50"/>
    <cellStyle name="Followed Hyperlink" xfId="51"/>
    <cellStyle name="Incorreto" xfId="52"/>
    <cellStyle name="Currency" xfId="53"/>
    <cellStyle name="Currency [0]" xfId="54"/>
    <cellStyle name="Neutro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7A0000"/>
      <rgbColor rgb="00008080"/>
      <rgbColor rgb="000000FF"/>
      <rgbColor rgb="0000CCFF"/>
      <rgbColor rgb="00CCFFFF"/>
      <rgbColor rgb="00E2F0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D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37.7109375" style="0" customWidth="1"/>
  </cols>
  <sheetData>
    <row r="2" spans="2:4" ht="12.75">
      <c r="B2" s="161" t="s">
        <v>159</v>
      </c>
      <c r="C2" s="161"/>
      <c r="D2" s="161"/>
    </row>
    <row r="5" spans="2:3" ht="12.75">
      <c r="B5" t="s">
        <v>155</v>
      </c>
      <c r="C5" s="162" t="s">
        <v>158</v>
      </c>
    </row>
    <row r="7" spans="2:3" ht="12.75">
      <c r="B7" t="s">
        <v>156</v>
      </c>
      <c r="C7" s="162" t="s">
        <v>157</v>
      </c>
    </row>
  </sheetData>
  <sheetProtection/>
  <mergeCells count="1">
    <mergeCell ref="B2:D2"/>
  </mergeCells>
  <hyperlinks>
    <hyperlink ref="C5" location="SMI!A1" display="AGREGADOS MONETÁRIOS "/>
    <hyperlink ref="C7" location="BOP!A1" display="EVOLUÇÃO DE BALANÇA DE PAGAMENT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51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cols>
    <col min="1" max="1" width="15.140625" style="1" customWidth="1"/>
    <col min="2" max="2" width="45.140625" style="1" customWidth="1"/>
    <col min="3" max="169" width="0" style="1" hidden="1" customWidth="1"/>
    <col min="170" max="170" width="11.7109375" style="1" customWidth="1"/>
    <col min="171" max="181" width="0" style="1" hidden="1" customWidth="1"/>
    <col min="182" max="182" width="11.7109375" style="1" customWidth="1"/>
    <col min="183" max="193" width="0" style="1" hidden="1" customWidth="1"/>
    <col min="194" max="194" width="11.8515625" style="1" customWidth="1"/>
    <col min="195" max="196" width="11.8515625" style="2" customWidth="1"/>
    <col min="197" max="197" width="11.8515625" style="1" customWidth="1"/>
    <col min="198" max="198" width="12.00390625" style="1" customWidth="1"/>
  </cols>
  <sheetData>
    <row r="1" spans="1:255" s="4" customFormat="1" ht="12.75">
      <c r="A1" s="3"/>
      <c r="B1" s="3" t="s">
        <v>0</v>
      </c>
      <c r="GM1" s="5"/>
      <c r="GN1" s="5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98" ht="12.75">
      <c r="A2" s="6"/>
      <c r="B2" s="7" t="s">
        <v>1</v>
      </c>
      <c r="C2" s="8" t="str">
        <f aca="true" t="shared" si="0" ref="C2:AH2">+YEAR(C3)&amp;"M"&amp;MONTH(C3)</f>
        <v>2004M1</v>
      </c>
      <c r="D2" s="8" t="str">
        <f t="shared" si="0"/>
        <v>2004M2</v>
      </c>
      <c r="E2" s="8" t="str">
        <f t="shared" si="0"/>
        <v>2004M3</v>
      </c>
      <c r="F2" s="8" t="str">
        <f t="shared" si="0"/>
        <v>2004M4</v>
      </c>
      <c r="G2" s="8" t="str">
        <f t="shared" si="0"/>
        <v>2004M5</v>
      </c>
      <c r="H2" s="8" t="str">
        <f t="shared" si="0"/>
        <v>2004M6</v>
      </c>
      <c r="I2" s="8" t="str">
        <f t="shared" si="0"/>
        <v>2004M7</v>
      </c>
      <c r="J2" s="8" t="str">
        <f t="shared" si="0"/>
        <v>2004M8</v>
      </c>
      <c r="K2" s="8" t="str">
        <f t="shared" si="0"/>
        <v>2004M9</v>
      </c>
      <c r="L2" s="8" t="str">
        <f t="shared" si="0"/>
        <v>2004M10</v>
      </c>
      <c r="M2" s="8" t="str">
        <f t="shared" si="0"/>
        <v>2004M11</v>
      </c>
      <c r="N2" s="8" t="str">
        <f t="shared" si="0"/>
        <v>2004M12</v>
      </c>
      <c r="O2" s="8" t="str">
        <f t="shared" si="0"/>
        <v>2005M1</v>
      </c>
      <c r="P2" s="8" t="str">
        <f t="shared" si="0"/>
        <v>2005M2</v>
      </c>
      <c r="Q2" s="8" t="str">
        <f t="shared" si="0"/>
        <v>2005M3</v>
      </c>
      <c r="R2" s="8" t="str">
        <f t="shared" si="0"/>
        <v>2005M4</v>
      </c>
      <c r="S2" s="8" t="str">
        <f t="shared" si="0"/>
        <v>2005M5</v>
      </c>
      <c r="T2" s="8" t="str">
        <f t="shared" si="0"/>
        <v>2005M6</v>
      </c>
      <c r="U2" s="8" t="str">
        <f t="shared" si="0"/>
        <v>2005M7</v>
      </c>
      <c r="V2" s="8" t="str">
        <f t="shared" si="0"/>
        <v>2005M8</v>
      </c>
      <c r="W2" s="8" t="str">
        <f t="shared" si="0"/>
        <v>2005M9</v>
      </c>
      <c r="X2" s="8" t="str">
        <f t="shared" si="0"/>
        <v>2005M10</v>
      </c>
      <c r="Y2" s="8" t="str">
        <f t="shared" si="0"/>
        <v>2005M11</v>
      </c>
      <c r="Z2" s="8" t="str">
        <f t="shared" si="0"/>
        <v>2005M12</v>
      </c>
      <c r="AA2" s="8" t="str">
        <f t="shared" si="0"/>
        <v>2006M1</v>
      </c>
      <c r="AB2" s="8" t="str">
        <f t="shared" si="0"/>
        <v>2006M2</v>
      </c>
      <c r="AC2" s="8" t="str">
        <f t="shared" si="0"/>
        <v>2006M3</v>
      </c>
      <c r="AD2" s="8" t="str">
        <f t="shared" si="0"/>
        <v>2006M4</v>
      </c>
      <c r="AE2" s="8" t="str">
        <f t="shared" si="0"/>
        <v>2006M5</v>
      </c>
      <c r="AF2" s="8" t="str">
        <f t="shared" si="0"/>
        <v>2006M6</v>
      </c>
      <c r="AG2" s="8" t="str">
        <f t="shared" si="0"/>
        <v>2006M7</v>
      </c>
      <c r="AH2" s="8" t="str">
        <f t="shared" si="0"/>
        <v>2006M8</v>
      </c>
      <c r="AI2" s="8" t="str">
        <f aca="true" t="shared" si="1" ref="AI2:BN2">+YEAR(AI3)&amp;"M"&amp;MONTH(AI3)</f>
        <v>2006M9</v>
      </c>
      <c r="AJ2" s="8" t="str">
        <f t="shared" si="1"/>
        <v>2006M10</v>
      </c>
      <c r="AK2" s="8" t="str">
        <f t="shared" si="1"/>
        <v>2006M11</v>
      </c>
      <c r="AL2" s="8" t="str">
        <f t="shared" si="1"/>
        <v>2006M12</v>
      </c>
      <c r="AM2" s="8" t="str">
        <f t="shared" si="1"/>
        <v>2007M1</v>
      </c>
      <c r="AN2" s="8" t="str">
        <f t="shared" si="1"/>
        <v>2007M2</v>
      </c>
      <c r="AO2" s="8" t="str">
        <f t="shared" si="1"/>
        <v>2007M3</v>
      </c>
      <c r="AP2" s="8" t="str">
        <f t="shared" si="1"/>
        <v>2007M4</v>
      </c>
      <c r="AQ2" s="8" t="str">
        <f t="shared" si="1"/>
        <v>2007M5</v>
      </c>
      <c r="AR2" s="8" t="str">
        <f t="shared" si="1"/>
        <v>2007M6</v>
      </c>
      <c r="AS2" s="8" t="str">
        <f t="shared" si="1"/>
        <v>2007M7</v>
      </c>
      <c r="AT2" s="8" t="str">
        <f t="shared" si="1"/>
        <v>2007M8</v>
      </c>
      <c r="AU2" s="8" t="str">
        <f t="shared" si="1"/>
        <v>2007M9</v>
      </c>
      <c r="AV2" s="8" t="str">
        <f t="shared" si="1"/>
        <v>2007M10</v>
      </c>
      <c r="AW2" s="8" t="str">
        <f t="shared" si="1"/>
        <v>2007M11</v>
      </c>
      <c r="AX2" s="8" t="str">
        <f t="shared" si="1"/>
        <v>2007M12</v>
      </c>
      <c r="AY2" s="8" t="str">
        <f t="shared" si="1"/>
        <v>2008M1</v>
      </c>
      <c r="AZ2" s="8" t="str">
        <f t="shared" si="1"/>
        <v>2008M2</v>
      </c>
      <c r="BA2" s="8" t="str">
        <f t="shared" si="1"/>
        <v>2008M3</v>
      </c>
      <c r="BB2" s="8" t="str">
        <f t="shared" si="1"/>
        <v>2008M4</v>
      </c>
      <c r="BC2" s="8" t="str">
        <f t="shared" si="1"/>
        <v>2008M5</v>
      </c>
      <c r="BD2" s="8" t="str">
        <f t="shared" si="1"/>
        <v>2008M6</v>
      </c>
      <c r="BE2" s="8" t="str">
        <f t="shared" si="1"/>
        <v>2008M7</v>
      </c>
      <c r="BF2" s="8" t="str">
        <f t="shared" si="1"/>
        <v>2008M8</v>
      </c>
      <c r="BG2" s="8" t="str">
        <f t="shared" si="1"/>
        <v>2008M9</v>
      </c>
      <c r="BH2" s="8" t="str">
        <f t="shared" si="1"/>
        <v>2008M10</v>
      </c>
      <c r="BI2" s="8" t="str">
        <f t="shared" si="1"/>
        <v>2008M11</v>
      </c>
      <c r="BJ2" s="8" t="str">
        <f t="shared" si="1"/>
        <v>2008M12</v>
      </c>
      <c r="BK2" s="8" t="str">
        <f t="shared" si="1"/>
        <v>2009M1</v>
      </c>
      <c r="BL2" s="8" t="str">
        <f t="shared" si="1"/>
        <v>2009M2</v>
      </c>
      <c r="BM2" s="8" t="str">
        <f t="shared" si="1"/>
        <v>2009M3</v>
      </c>
      <c r="BN2" s="8" t="str">
        <f t="shared" si="1"/>
        <v>2009M4</v>
      </c>
      <c r="BO2" s="8" t="str">
        <f aca="true" t="shared" si="2" ref="BO2:CT2">+YEAR(BO3)&amp;"M"&amp;MONTH(BO3)</f>
        <v>2009M5</v>
      </c>
      <c r="BP2" s="8" t="str">
        <f t="shared" si="2"/>
        <v>2009M6</v>
      </c>
      <c r="BQ2" s="8" t="str">
        <f t="shared" si="2"/>
        <v>2009M7</v>
      </c>
      <c r="BR2" s="8" t="str">
        <f t="shared" si="2"/>
        <v>2009M8</v>
      </c>
      <c r="BS2" s="8" t="str">
        <f t="shared" si="2"/>
        <v>2009M9</v>
      </c>
      <c r="BT2" s="8" t="str">
        <f t="shared" si="2"/>
        <v>2009M10</v>
      </c>
      <c r="BU2" s="8" t="str">
        <f t="shared" si="2"/>
        <v>2009M11</v>
      </c>
      <c r="BV2" s="8" t="str">
        <f t="shared" si="2"/>
        <v>2009M12</v>
      </c>
      <c r="BW2" s="8" t="str">
        <f t="shared" si="2"/>
        <v>2010M1</v>
      </c>
      <c r="BX2" s="8" t="str">
        <f t="shared" si="2"/>
        <v>2010M2</v>
      </c>
      <c r="BY2" s="8" t="str">
        <f t="shared" si="2"/>
        <v>2010M3</v>
      </c>
      <c r="BZ2" s="8" t="str">
        <f t="shared" si="2"/>
        <v>2010M4</v>
      </c>
      <c r="CA2" s="8" t="str">
        <f t="shared" si="2"/>
        <v>2010M5</v>
      </c>
      <c r="CB2" s="8" t="str">
        <f t="shared" si="2"/>
        <v>2010M6</v>
      </c>
      <c r="CC2" s="8" t="str">
        <f t="shared" si="2"/>
        <v>2010M7</v>
      </c>
      <c r="CD2" s="8" t="str">
        <f t="shared" si="2"/>
        <v>2010M8</v>
      </c>
      <c r="CE2" s="8" t="str">
        <f t="shared" si="2"/>
        <v>2010M9</v>
      </c>
      <c r="CF2" s="8" t="str">
        <f t="shared" si="2"/>
        <v>2010M10</v>
      </c>
      <c r="CG2" s="8" t="str">
        <f t="shared" si="2"/>
        <v>2010M11</v>
      </c>
      <c r="CH2" s="8" t="str">
        <f t="shared" si="2"/>
        <v>2010M12</v>
      </c>
      <c r="CI2" s="8" t="str">
        <f t="shared" si="2"/>
        <v>2011M1</v>
      </c>
      <c r="CJ2" s="8" t="str">
        <f t="shared" si="2"/>
        <v>2011M2</v>
      </c>
      <c r="CK2" s="8" t="str">
        <f t="shared" si="2"/>
        <v>2011M3</v>
      </c>
      <c r="CL2" s="8" t="str">
        <f t="shared" si="2"/>
        <v>2011M4</v>
      </c>
      <c r="CM2" s="8" t="str">
        <f t="shared" si="2"/>
        <v>2011M5</v>
      </c>
      <c r="CN2" s="8" t="str">
        <f t="shared" si="2"/>
        <v>2011M6</v>
      </c>
      <c r="CO2" s="8" t="str">
        <f t="shared" si="2"/>
        <v>2011M7</v>
      </c>
      <c r="CP2" s="8" t="str">
        <f t="shared" si="2"/>
        <v>2011M8</v>
      </c>
      <c r="CQ2" s="8" t="str">
        <f t="shared" si="2"/>
        <v>2011M9</v>
      </c>
      <c r="CR2" s="8" t="str">
        <f t="shared" si="2"/>
        <v>2011M10</v>
      </c>
      <c r="CS2" s="8" t="str">
        <f t="shared" si="2"/>
        <v>2011M11</v>
      </c>
      <c r="CT2" s="8" t="str">
        <f t="shared" si="2"/>
        <v>2011M12</v>
      </c>
      <c r="CU2" s="8" t="str">
        <f aca="true" t="shared" si="3" ref="CU2:DZ2">+YEAR(CU3)&amp;"M"&amp;MONTH(CU3)</f>
        <v>2012M1</v>
      </c>
      <c r="CV2" s="8" t="str">
        <f t="shared" si="3"/>
        <v>2012M2</v>
      </c>
      <c r="CW2" s="8" t="str">
        <f t="shared" si="3"/>
        <v>2012M3</v>
      </c>
      <c r="CX2" s="8" t="str">
        <f t="shared" si="3"/>
        <v>2012M4</v>
      </c>
      <c r="CY2" s="8" t="str">
        <f t="shared" si="3"/>
        <v>2012M5</v>
      </c>
      <c r="CZ2" s="8" t="str">
        <f t="shared" si="3"/>
        <v>2012M6</v>
      </c>
      <c r="DA2" s="8" t="str">
        <f t="shared" si="3"/>
        <v>2012M7</v>
      </c>
      <c r="DB2" s="8" t="str">
        <f t="shared" si="3"/>
        <v>2012M8</v>
      </c>
      <c r="DC2" s="8" t="str">
        <f t="shared" si="3"/>
        <v>2012M9</v>
      </c>
      <c r="DD2" s="8" t="str">
        <f t="shared" si="3"/>
        <v>2012M10</v>
      </c>
      <c r="DE2" s="8" t="str">
        <f t="shared" si="3"/>
        <v>2012M11</v>
      </c>
      <c r="DF2" s="8" t="str">
        <f t="shared" si="3"/>
        <v>2012M12</v>
      </c>
      <c r="DG2" s="8" t="str">
        <f t="shared" si="3"/>
        <v>2013M1</v>
      </c>
      <c r="DH2" s="8" t="str">
        <f t="shared" si="3"/>
        <v>2013M2</v>
      </c>
      <c r="DI2" s="8" t="str">
        <f t="shared" si="3"/>
        <v>2013M3</v>
      </c>
      <c r="DJ2" s="8" t="str">
        <f t="shared" si="3"/>
        <v>2013M4</v>
      </c>
      <c r="DK2" s="8" t="str">
        <f t="shared" si="3"/>
        <v>2013M5</v>
      </c>
      <c r="DL2" s="8" t="str">
        <f t="shared" si="3"/>
        <v>2013M6</v>
      </c>
      <c r="DM2" s="8" t="str">
        <f t="shared" si="3"/>
        <v>2013M7</v>
      </c>
      <c r="DN2" s="8" t="str">
        <f t="shared" si="3"/>
        <v>2013M8</v>
      </c>
      <c r="DO2" s="8" t="str">
        <f t="shared" si="3"/>
        <v>2013M9</v>
      </c>
      <c r="DP2" s="8" t="str">
        <f t="shared" si="3"/>
        <v>2013M10</v>
      </c>
      <c r="DQ2" s="8" t="str">
        <f t="shared" si="3"/>
        <v>2013M11</v>
      </c>
      <c r="DR2" s="8" t="str">
        <f t="shared" si="3"/>
        <v>2013M12</v>
      </c>
      <c r="DS2" s="8" t="str">
        <f t="shared" si="3"/>
        <v>2014M1</v>
      </c>
      <c r="DT2" s="8" t="str">
        <f t="shared" si="3"/>
        <v>2014M2</v>
      </c>
      <c r="DU2" s="8" t="str">
        <f t="shared" si="3"/>
        <v>2014M3</v>
      </c>
      <c r="DV2" s="8" t="str">
        <f t="shared" si="3"/>
        <v>2014M4</v>
      </c>
      <c r="DW2" s="8" t="str">
        <f t="shared" si="3"/>
        <v>2014M5</v>
      </c>
      <c r="DX2" s="8" t="str">
        <f t="shared" si="3"/>
        <v>2014M6</v>
      </c>
      <c r="DY2" s="8" t="str">
        <f t="shared" si="3"/>
        <v>2014M7</v>
      </c>
      <c r="DZ2" s="8" t="str">
        <f t="shared" si="3"/>
        <v>2014M8</v>
      </c>
      <c r="EA2" s="8" t="str">
        <f aca="true" t="shared" si="4" ref="EA2:FF2">+YEAR(EA3)&amp;"M"&amp;MONTH(EA3)</f>
        <v>2014M9</v>
      </c>
      <c r="EB2" s="8" t="str">
        <f t="shared" si="4"/>
        <v>2014M10</v>
      </c>
      <c r="EC2" s="8" t="str">
        <f t="shared" si="4"/>
        <v>2014M11</v>
      </c>
      <c r="ED2" s="8" t="str">
        <f t="shared" si="4"/>
        <v>2014M12</v>
      </c>
      <c r="EE2" s="8" t="str">
        <f t="shared" si="4"/>
        <v>2015M1</v>
      </c>
      <c r="EF2" s="8" t="str">
        <f t="shared" si="4"/>
        <v>2015M2</v>
      </c>
      <c r="EG2" s="8" t="str">
        <f t="shared" si="4"/>
        <v>2015M3</v>
      </c>
      <c r="EH2" s="8" t="str">
        <f t="shared" si="4"/>
        <v>2015M4</v>
      </c>
      <c r="EI2" s="8" t="str">
        <f t="shared" si="4"/>
        <v>2015M5</v>
      </c>
      <c r="EJ2" s="8" t="str">
        <f t="shared" si="4"/>
        <v>2015M6</v>
      </c>
      <c r="EK2" s="8" t="str">
        <f t="shared" si="4"/>
        <v>2015M7</v>
      </c>
      <c r="EL2" s="8" t="str">
        <f t="shared" si="4"/>
        <v>2015M8</v>
      </c>
      <c r="EM2" s="8" t="str">
        <f t="shared" si="4"/>
        <v>2015M9</v>
      </c>
      <c r="EN2" s="8" t="str">
        <f t="shared" si="4"/>
        <v>2015M10</v>
      </c>
      <c r="EO2" s="8" t="str">
        <f t="shared" si="4"/>
        <v>2015M11</v>
      </c>
      <c r="EP2" s="8" t="str">
        <f t="shared" si="4"/>
        <v>2015M12</v>
      </c>
      <c r="EQ2" s="8" t="str">
        <f t="shared" si="4"/>
        <v>2016M1</v>
      </c>
      <c r="ER2" s="8" t="str">
        <f t="shared" si="4"/>
        <v>2016M2</v>
      </c>
      <c r="ES2" s="8" t="str">
        <f t="shared" si="4"/>
        <v>2016M3</v>
      </c>
      <c r="ET2" s="8" t="str">
        <f t="shared" si="4"/>
        <v>2016M4</v>
      </c>
      <c r="EU2" s="8" t="str">
        <f t="shared" si="4"/>
        <v>2016M5</v>
      </c>
      <c r="EV2" s="8" t="str">
        <f t="shared" si="4"/>
        <v>2016M6</v>
      </c>
      <c r="EW2" s="8" t="str">
        <f t="shared" si="4"/>
        <v>2016M7</v>
      </c>
      <c r="EX2" s="8" t="str">
        <f t="shared" si="4"/>
        <v>2016M8</v>
      </c>
      <c r="EY2" s="8" t="str">
        <f t="shared" si="4"/>
        <v>2016M9</v>
      </c>
      <c r="EZ2" s="8" t="str">
        <f t="shared" si="4"/>
        <v>2016M10</v>
      </c>
      <c r="FA2" s="8" t="str">
        <f t="shared" si="4"/>
        <v>2016M11</v>
      </c>
      <c r="FB2" s="8" t="str">
        <f t="shared" si="4"/>
        <v>2016M12</v>
      </c>
      <c r="FC2" s="8" t="str">
        <f t="shared" si="4"/>
        <v>2017M1</v>
      </c>
      <c r="FD2" s="8" t="str">
        <f t="shared" si="4"/>
        <v>2017M2</v>
      </c>
      <c r="FE2" s="8" t="str">
        <f t="shared" si="4"/>
        <v>2017M3</v>
      </c>
      <c r="FF2" s="8" t="str">
        <f t="shared" si="4"/>
        <v>2017M4</v>
      </c>
      <c r="FG2" s="8" t="str">
        <f aca="true" t="shared" si="5" ref="FG2:GL2">+YEAR(FG3)&amp;"M"&amp;MONTH(FG3)</f>
        <v>2017M5</v>
      </c>
      <c r="FH2" s="8" t="str">
        <f t="shared" si="5"/>
        <v>2017M6</v>
      </c>
      <c r="FI2" s="8" t="str">
        <f t="shared" si="5"/>
        <v>2017M7</v>
      </c>
      <c r="FJ2" s="8" t="str">
        <f t="shared" si="5"/>
        <v>2017M8</v>
      </c>
      <c r="FK2" s="8" t="str">
        <f t="shared" si="5"/>
        <v>2017M9</v>
      </c>
      <c r="FL2" s="8" t="str">
        <f t="shared" si="5"/>
        <v>2017M10</v>
      </c>
      <c r="FM2" s="8" t="str">
        <f t="shared" si="5"/>
        <v>2017M11</v>
      </c>
      <c r="FN2" s="8" t="str">
        <f t="shared" si="5"/>
        <v>2017M12</v>
      </c>
      <c r="FO2" s="8" t="str">
        <f t="shared" si="5"/>
        <v>2018M1</v>
      </c>
      <c r="FP2" s="8" t="str">
        <f t="shared" si="5"/>
        <v>2018M2</v>
      </c>
      <c r="FQ2" s="8" t="str">
        <f t="shared" si="5"/>
        <v>2018M3</v>
      </c>
      <c r="FR2" s="8" t="str">
        <f t="shared" si="5"/>
        <v>2018M4</v>
      </c>
      <c r="FS2" s="8" t="str">
        <f t="shared" si="5"/>
        <v>2018M5</v>
      </c>
      <c r="FT2" s="8" t="str">
        <f t="shared" si="5"/>
        <v>2018M6</v>
      </c>
      <c r="FU2" s="8" t="str">
        <f t="shared" si="5"/>
        <v>2018M7</v>
      </c>
      <c r="FV2" s="8" t="str">
        <f t="shared" si="5"/>
        <v>2018M8</v>
      </c>
      <c r="FW2" s="8" t="str">
        <f t="shared" si="5"/>
        <v>2018M9</v>
      </c>
      <c r="FX2" s="8" t="str">
        <f t="shared" si="5"/>
        <v>2018M10</v>
      </c>
      <c r="FY2" s="8" t="str">
        <f t="shared" si="5"/>
        <v>2018M11</v>
      </c>
      <c r="FZ2" s="8" t="str">
        <f t="shared" si="5"/>
        <v>2018M12</v>
      </c>
      <c r="GA2" s="8" t="str">
        <f t="shared" si="5"/>
        <v>2019M1</v>
      </c>
      <c r="GB2" s="8" t="str">
        <f t="shared" si="5"/>
        <v>2019M2</v>
      </c>
      <c r="GC2" s="8" t="str">
        <f t="shared" si="5"/>
        <v>2019M3</v>
      </c>
      <c r="GD2" s="8" t="str">
        <f t="shared" si="5"/>
        <v>2019M4</v>
      </c>
      <c r="GE2" s="8" t="str">
        <f t="shared" si="5"/>
        <v>2019M5</v>
      </c>
      <c r="GF2" s="8" t="str">
        <f t="shared" si="5"/>
        <v>2019M6</v>
      </c>
      <c r="GG2" s="8" t="str">
        <f t="shared" si="5"/>
        <v>2019M7</v>
      </c>
      <c r="GH2" s="8" t="str">
        <f t="shared" si="5"/>
        <v>2019M8</v>
      </c>
      <c r="GI2" s="8" t="str">
        <f t="shared" si="5"/>
        <v>2019M9</v>
      </c>
      <c r="GJ2" s="8" t="str">
        <f t="shared" si="5"/>
        <v>2019M10</v>
      </c>
      <c r="GK2" s="8" t="str">
        <f t="shared" si="5"/>
        <v>2019M11</v>
      </c>
      <c r="GL2" s="8" t="str">
        <f t="shared" si="5"/>
        <v>2019M12</v>
      </c>
      <c r="GM2" s="9" t="str">
        <f>+YEAR(GM3)&amp;"M"&amp;MONTH(GM3)</f>
        <v>2020M1</v>
      </c>
      <c r="GN2" s="9" t="str">
        <f>+YEAR(GN3)&amp;"M"&amp;MONTH(GN3)</f>
        <v>2020M2</v>
      </c>
      <c r="GO2" s="8"/>
      <c r="GP2" s="8"/>
    </row>
    <row r="3" spans="1:198" ht="12.75">
      <c r="A3" s="10" t="s">
        <v>2</v>
      </c>
      <c r="B3" s="11" t="s">
        <v>3</v>
      </c>
      <c r="C3" s="12">
        <v>38017</v>
      </c>
      <c r="D3" s="12">
        <v>38046</v>
      </c>
      <c r="E3" s="12">
        <v>38077</v>
      </c>
      <c r="F3" s="12">
        <v>38107</v>
      </c>
      <c r="G3" s="12">
        <v>38138</v>
      </c>
      <c r="H3" s="12">
        <v>38168</v>
      </c>
      <c r="I3" s="12">
        <v>38199</v>
      </c>
      <c r="J3" s="12">
        <v>38230</v>
      </c>
      <c r="K3" s="12">
        <v>38260</v>
      </c>
      <c r="L3" s="12">
        <v>38291</v>
      </c>
      <c r="M3" s="12">
        <v>38321</v>
      </c>
      <c r="N3" s="12">
        <v>38352</v>
      </c>
      <c r="O3" s="12">
        <v>38383</v>
      </c>
      <c r="P3" s="12">
        <v>38411</v>
      </c>
      <c r="Q3" s="12">
        <v>38442</v>
      </c>
      <c r="R3" s="12">
        <v>38472</v>
      </c>
      <c r="S3" s="12">
        <v>38503</v>
      </c>
      <c r="T3" s="12">
        <v>38533</v>
      </c>
      <c r="U3" s="12">
        <v>38564</v>
      </c>
      <c r="V3" s="12">
        <v>38595</v>
      </c>
      <c r="W3" s="12">
        <v>38625</v>
      </c>
      <c r="X3" s="12">
        <v>38656</v>
      </c>
      <c r="Y3" s="12">
        <v>38686</v>
      </c>
      <c r="Z3" s="12">
        <v>38717</v>
      </c>
      <c r="AA3" s="12">
        <v>38748</v>
      </c>
      <c r="AB3" s="12">
        <v>38776</v>
      </c>
      <c r="AC3" s="12">
        <v>38807</v>
      </c>
      <c r="AD3" s="12">
        <v>38837</v>
      </c>
      <c r="AE3" s="12">
        <v>38868</v>
      </c>
      <c r="AF3" s="12">
        <v>38898</v>
      </c>
      <c r="AG3" s="12">
        <v>38929</v>
      </c>
      <c r="AH3" s="12">
        <v>38960</v>
      </c>
      <c r="AI3" s="12">
        <v>38990</v>
      </c>
      <c r="AJ3" s="12">
        <v>39021</v>
      </c>
      <c r="AK3" s="12">
        <v>39051</v>
      </c>
      <c r="AL3" s="12">
        <v>39082</v>
      </c>
      <c r="AM3" s="12">
        <v>39113</v>
      </c>
      <c r="AN3" s="12">
        <v>39141</v>
      </c>
      <c r="AO3" s="12">
        <v>39172</v>
      </c>
      <c r="AP3" s="12">
        <v>39202</v>
      </c>
      <c r="AQ3" s="12">
        <v>39233</v>
      </c>
      <c r="AR3" s="12">
        <v>39263</v>
      </c>
      <c r="AS3" s="12">
        <v>39294</v>
      </c>
      <c r="AT3" s="12">
        <v>39325</v>
      </c>
      <c r="AU3" s="12">
        <v>39355</v>
      </c>
      <c r="AV3" s="12">
        <v>39386</v>
      </c>
      <c r="AW3" s="12">
        <v>39416</v>
      </c>
      <c r="AX3" s="12">
        <v>39447</v>
      </c>
      <c r="AY3" s="12">
        <v>39478</v>
      </c>
      <c r="AZ3" s="12">
        <v>39507</v>
      </c>
      <c r="BA3" s="12">
        <v>39538</v>
      </c>
      <c r="BB3" s="12">
        <v>39568</v>
      </c>
      <c r="BC3" s="12">
        <v>39599</v>
      </c>
      <c r="BD3" s="12">
        <v>39629</v>
      </c>
      <c r="BE3" s="12">
        <v>39660</v>
      </c>
      <c r="BF3" s="12">
        <v>39691</v>
      </c>
      <c r="BG3" s="12">
        <v>39721</v>
      </c>
      <c r="BH3" s="12">
        <v>39752</v>
      </c>
      <c r="BI3" s="12">
        <v>39782</v>
      </c>
      <c r="BJ3" s="12">
        <v>39813</v>
      </c>
      <c r="BK3" s="12">
        <v>39844</v>
      </c>
      <c r="BL3" s="12">
        <v>39872</v>
      </c>
      <c r="BM3" s="12">
        <v>39903</v>
      </c>
      <c r="BN3" s="12">
        <v>39933</v>
      </c>
      <c r="BO3" s="12">
        <v>39964</v>
      </c>
      <c r="BP3" s="12">
        <v>39994</v>
      </c>
      <c r="BQ3" s="12">
        <v>40025</v>
      </c>
      <c r="BR3" s="12">
        <v>40056</v>
      </c>
      <c r="BS3" s="12">
        <v>40086</v>
      </c>
      <c r="BT3" s="12">
        <v>40117</v>
      </c>
      <c r="BU3" s="12">
        <v>40147</v>
      </c>
      <c r="BV3" s="12">
        <v>40178</v>
      </c>
      <c r="BW3" s="12">
        <v>40209</v>
      </c>
      <c r="BX3" s="12">
        <v>40237</v>
      </c>
      <c r="BY3" s="12">
        <v>40268</v>
      </c>
      <c r="BZ3" s="12">
        <v>40298</v>
      </c>
      <c r="CA3" s="12">
        <v>40329</v>
      </c>
      <c r="CB3" s="12">
        <v>40359</v>
      </c>
      <c r="CC3" s="12">
        <v>40390</v>
      </c>
      <c r="CD3" s="12">
        <v>40421</v>
      </c>
      <c r="CE3" s="12">
        <v>40451</v>
      </c>
      <c r="CF3" s="12">
        <v>40482</v>
      </c>
      <c r="CG3" s="12">
        <v>40512</v>
      </c>
      <c r="CH3" s="12">
        <v>40543</v>
      </c>
      <c r="CI3" s="12">
        <v>40574</v>
      </c>
      <c r="CJ3" s="12">
        <v>40602</v>
      </c>
      <c r="CK3" s="12">
        <v>40633</v>
      </c>
      <c r="CL3" s="12">
        <v>40663</v>
      </c>
      <c r="CM3" s="12">
        <v>40694</v>
      </c>
      <c r="CN3" s="12">
        <v>40724</v>
      </c>
      <c r="CO3" s="12">
        <v>40755</v>
      </c>
      <c r="CP3" s="12">
        <v>40786</v>
      </c>
      <c r="CQ3" s="12">
        <v>40816</v>
      </c>
      <c r="CR3" s="12">
        <v>40847</v>
      </c>
      <c r="CS3" s="12">
        <v>40877</v>
      </c>
      <c r="CT3" s="12">
        <v>40908</v>
      </c>
      <c r="CU3" s="12">
        <v>40939</v>
      </c>
      <c r="CV3" s="12">
        <v>40968</v>
      </c>
      <c r="CW3" s="12">
        <v>40999</v>
      </c>
      <c r="CX3" s="12">
        <v>41029</v>
      </c>
      <c r="CY3" s="12">
        <v>41059</v>
      </c>
      <c r="CZ3" s="12">
        <v>41090</v>
      </c>
      <c r="DA3" s="12">
        <v>41120</v>
      </c>
      <c r="DB3" s="12">
        <v>41151</v>
      </c>
      <c r="DC3" s="12">
        <v>41182</v>
      </c>
      <c r="DD3" s="12">
        <v>41213</v>
      </c>
      <c r="DE3" s="12">
        <v>41243</v>
      </c>
      <c r="DF3" s="12">
        <v>41273</v>
      </c>
      <c r="DG3" s="12">
        <v>41305</v>
      </c>
      <c r="DH3" s="12">
        <v>41333</v>
      </c>
      <c r="DI3" s="12">
        <v>41364</v>
      </c>
      <c r="DJ3" s="12">
        <v>41394</v>
      </c>
      <c r="DK3" s="12">
        <v>41425</v>
      </c>
      <c r="DL3" s="12">
        <v>41455</v>
      </c>
      <c r="DM3" s="12">
        <v>41486</v>
      </c>
      <c r="DN3" s="12">
        <v>41517</v>
      </c>
      <c r="DO3" s="12">
        <v>41547</v>
      </c>
      <c r="DP3" s="12">
        <v>41578</v>
      </c>
      <c r="DQ3" s="12">
        <v>41608</v>
      </c>
      <c r="DR3" s="12">
        <v>41639</v>
      </c>
      <c r="DS3" s="12">
        <v>41670</v>
      </c>
      <c r="DT3" s="12">
        <v>41698</v>
      </c>
      <c r="DU3" s="12">
        <v>41729</v>
      </c>
      <c r="DV3" s="12">
        <v>41759</v>
      </c>
      <c r="DW3" s="12">
        <v>41790</v>
      </c>
      <c r="DX3" s="12">
        <v>41820</v>
      </c>
      <c r="DY3" s="12">
        <v>41851</v>
      </c>
      <c r="DZ3" s="12">
        <v>41882</v>
      </c>
      <c r="EA3" s="12">
        <v>41912</v>
      </c>
      <c r="EB3" s="12">
        <v>41943</v>
      </c>
      <c r="EC3" s="12">
        <v>41973</v>
      </c>
      <c r="ED3" s="12">
        <v>42004</v>
      </c>
      <c r="EE3" s="12">
        <v>42035</v>
      </c>
      <c r="EF3" s="12">
        <v>42063</v>
      </c>
      <c r="EG3" s="12">
        <v>42094</v>
      </c>
      <c r="EH3" s="12">
        <v>42124</v>
      </c>
      <c r="EI3" s="12">
        <v>42155</v>
      </c>
      <c r="EJ3" s="12">
        <v>42185</v>
      </c>
      <c r="EK3" s="12">
        <v>42216</v>
      </c>
      <c r="EL3" s="12">
        <v>42247</v>
      </c>
      <c r="EM3" s="12">
        <v>42277</v>
      </c>
      <c r="EN3" s="12">
        <v>42308</v>
      </c>
      <c r="EO3" s="12">
        <v>42338</v>
      </c>
      <c r="EP3" s="13">
        <v>42369</v>
      </c>
      <c r="EQ3" s="13">
        <v>42400</v>
      </c>
      <c r="ER3" s="13">
        <v>42429</v>
      </c>
      <c r="ES3" s="13">
        <v>42460</v>
      </c>
      <c r="ET3" s="13">
        <v>42490</v>
      </c>
      <c r="EU3" s="13">
        <v>42521</v>
      </c>
      <c r="EV3" s="13">
        <v>42551</v>
      </c>
      <c r="EW3" s="13">
        <v>42582</v>
      </c>
      <c r="EX3" s="13">
        <v>42613</v>
      </c>
      <c r="EY3" s="13">
        <v>42643</v>
      </c>
      <c r="EZ3" s="13">
        <v>42674</v>
      </c>
      <c r="FA3" s="13">
        <v>42704</v>
      </c>
      <c r="FB3" s="13">
        <v>42735</v>
      </c>
      <c r="FC3" s="13">
        <v>42766</v>
      </c>
      <c r="FD3" s="13">
        <v>42794</v>
      </c>
      <c r="FE3" s="13">
        <v>42825</v>
      </c>
      <c r="FF3" s="13">
        <v>42855</v>
      </c>
      <c r="FG3" s="13">
        <v>42886</v>
      </c>
      <c r="FH3" s="13">
        <v>42916</v>
      </c>
      <c r="FI3" s="13">
        <v>42947</v>
      </c>
      <c r="FJ3" s="13">
        <v>42978</v>
      </c>
      <c r="FK3" s="13">
        <v>43008</v>
      </c>
      <c r="FL3" s="13">
        <v>43039</v>
      </c>
      <c r="FM3" s="13">
        <v>43069</v>
      </c>
      <c r="FN3" s="13">
        <v>43100</v>
      </c>
      <c r="FO3" s="13">
        <v>43131</v>
      </c>
      <c r="FP3" s="13">
        <v>43159</v>
      </c>
      <c r="FQ3" s="13">
        <v>43190</v>
      </c>
      <c r="FR3" s="13">
        <v>43220</v>
      </c>
      <c r="FS3" s="13">
        <v>43251</v>
      </c>
      <c r="FT3" s="13">
        <v>43281</v>
      </c>
      <c r="FU3" s="13">
        <v>43312</v>
      </c>
      <c r="FV3" s="13">
        <v>43343</v>
      </c>
      <c r="FW3" s="13">
        <v>43373</v>
      </c>
      <c r="FX3" s="13">
        <v>43404</v>
      </c>
      <c r="FY3" s="13">
        <v>43434</v>
      </c>
      <c r="FZ3" s="13">
        <v>43465</v>
      </c>
      <c r="GA3" s="13">
        <v>43496</v>
      </c>
      <c r="GB3" s="13">
        <v>43524</v>
      </c>
      <c r="GC3" s="13">
        <v>43555</v>
      </c>
      <c r="GD3" s="13">
        <v>43585</v>
      </c>
      <c r="GE3" s="13">
        <v>43616</v>
      </c>
      <c r="GF3" s="13">
        <v>43646</v>
      </c>
      <c r="GG3" s="13">
        <v>43677</v>
      </c>
      <c r="GH3" s="13">
        <v>43708</v>
      </c>
      <c r="GI3" s="13">
        <v>43738</v>
      </c>
      <c r="GJ3" s="13">
        <v>43769</v>
      </c>
      <c r="GK3" s="13">
        <v>43799</v>
      </c>
      <c r="GL3" s="13">
        <v>43830</v>
      </c>
      <c r="GM3" s="13">
        <v>43861</v>
      </c>
      <c r="GN3" s="13">
        <v>43890</v>
      </c>
      <c r="GO3" s="13" t="s">
        <v>4</v>
      </c>
      <c r="GP3" s="13" t="s">
        <v>5</v>
      </c>
    </row>
    <row r="4" spans="1:255" s="16" customFormat="1" ht="12.75">
      <c r="A4" s="14"/>
      <c r="B4" s="15" t="s">
        <v>6</v>
      </c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99" ht="12.75">
      <c r="A5" s="18" t="s">
        <v>7</v>
      </c>
      <c r="B5" s="19" t="s">
        <v>8</v>
      </c>
      <c r="C5" s="20">
        <v>21.2152</v>
      </c>
      <c r="D5" s="20">
        <v>20.8884</v>
      </c>
      <c r="E5" s="20">
        <v>20.6791</v>
      </c>
      <c r="F5" s="20">
        <v>20.5194</v>
      </c>
      <c r="G5" s="20">
        <v>19.929</v>
      </c>
      <c r="H5" s="20">
        <v>25.8509</v>
      </c>
      <c r="I5" s="20">
        <v>27.8019</v>
      </c>
      <c r="J5" s="20">
        <v>27.4383</v>
      </c>
      <c r="K5" s="20">
        <v>25.7671</v>
      </c>
      <c r="L5" s="20">
        <v>28.6913</v>
      </c>
      <c r="M5" s="20">
        <v>29.2432</v>
      </c>
      <c r="N5" s="20">
        <v>32.5703</v>
      </c>
      <c r="O5" s="20">
        <v>30.6114</v>
      </c>
      <c r="P5" s="20">
        <v>27.7845</v>
      </c>
      <c r="Q5" s="20">
        <v>29.0194</v>
      </c>
      <c r="R5" s="20">
        <v>33.89</v>
      </c>
      <c r="S5" s="20">
        <v>47.3389</v>
      </c>
      <c r="T5" s="20">
        <v>46.7592</v>
      </c>
      <c r="U5" s="20">
        <v>49.2746</v>
      </c>
      <c r="V5" s="20">
        <v>44.1613</v>
      </c>
      <c r="W5" s="20">
        <v>38.4101</v>
      </c>
      <c r="X5" s="20">
        <v>39.8015</v>
      </c>
      <c r="Y5" s="20">
        <v>38.1774</v>
      </c>
      <c r="Z5" s="20">
        <v>40.5437</v>
      </c>
      <c r="AA5" s="20">
        <v>37.4532</v>
      </c>
      <c r="AB5" s="20">
        <v>38.6363</v>
      </c>
      <c r="AC5" s="20">
        <v>38.9366</v>
      </c>
      <c r="AD5" s="20">
        <v>37.0742</v>
      </c>
      <c r="AE5" s="20">
        <v>39.7228</v>
      </c>
      <c r="AF5" s="20">
        <v>40.4187</v>
      </c>
      <c r="AG5" s="20">
        <v>41.2971</v>
      </c>
      <c r="AH5" s="20">
        <v>42.2543</v>
      </c>
      <c r="AI5" s="20">
        <v>39.5483</v>
      </c>
      <c r="AJ5" s="20">
        <v>37.6491</v>
      </c>
      <c r="AK5" s="20">
        <v>37.4278</v>
      </c>
      <c r="AL5" s="20">
        <v>39.6789</v>
      </c>
      <c r="AM5" s="20">
        <v>39.4078</v>
      </c>
      <c r="AN5" s="20">
        <v>37.7814</v>
      </c>
      <c r="AO5" s="20">
        <v>34.7966</v>
      </c>
      <c r="AP5" s="20">
        <v>34.7833</v>
      </c>
      <c r="AQ5" s="20">
        <v>35.8714</v>
      </c>
      <c r="AR5" s="20">
        <v>38.7213</v>
      </c>
      <c r="AS5" s="20">
        <v>34.0671</v>
      </c>
      <c r="AT5" s="20">
        <v>42.1963</v>
      </c>
      <c r="AU5" s="20">
        <v>41.1722</v>
      </c>
      <c r="AV5" s="20">
        <v>39.1738</v>
      </c>
      <c r="AW5" s="20">
        <v>40.6288</v>
      </c>
      <c r="AX5" s="20">
        <v>43.4523</v>
      </c>
      <c r="AY5" s="20">
        <v>45.4231</v>
      </c>
      <c r="AZ5" s="20">
        <v>46.5973</v>
      </c>
      <c r="BA5" s="20">
        <v>45.8416</v>
      </c>
      <c r="BB5" s="20">
        <v>49.7064</v>
      </c>
      <c r="BC5" s="20">
        <v>61.7241</v>
      </c>
      <c r="BD5" s="20">
        <v>68.0889</v>
      </c>
      <c r="BE5" s="20">
        <v>65.5746</v>
      </c>
      <c r="BF5" s="20">
        <v>62.7068</v>
      </c>
      <c r="BG5" s="20">
        <v>58.3063</v>
      </c>
      <c r="BH5" s="20">
        <v>53.5906</v>
      </c>
      <c r="BI5" s="20">
        <v>53.6555</v>
      </c>
      <c r="BJ5" s="20">
        <v>54.1994</v>
      </c>
      <c r="BK5" s="20">
        <v>51.0057</v>
      </c>
      <c r="BL5" s="20">
        <v>48.3071</v>
      </c>
      <c r="BM5" s="20">
        <v>46.2201</v>
      </c>
      <c r="BN5" s="20">
        <v>45.3531</v>
      </c>
      <c r="BO5" s="20">
        <v>52.0512</v>
      </c>
      <c r="BP5" s="20">
        <v>61.5499</v>
      </c>
      <c r="BQ5" s="20">
        <v>61.9151</v>
      </c>
      <c r="BR5" s="20">
        <v>56.9395</v>
      </c>
      <c r="BS5" s="20">
        <v>55.9189</v>
      </c>
      <c r="BT5" s="20">
        <v>51.4788</v>
      </c>
      <c r="BU5" s="20">
        <v>53.2328</v>
      </c>
      <c r="BV5" s="20">
        <v>57.1973</v>
      </c>
      <c r="BW5" s="20">
        <v>58.3419</v>
      </c>
      <c r="BX5" s="20">
        <v>57.7868</v>
      </c>
      <c r="BY5" s="20">
        <v>54.7814</v>
      </c>
      <c r="BZ5" s="20">
        <v>58.086</v>
      </c>
      <c r="CA5" s="20">
        <v>71.8249</v>
      </c>
      <c r="CB5" s="20">
        <v>73.0486</v>
      </c>
      <c r="CC5" s="20">
        <v>72.6273</v>
      </c>
      <c r="CD5" s="20">
        <v>70.299</v>
      </c>
      <c r="CE5" s="20">
        <v>65.8831</v>
      </c>
      <c r="CF5" s="20">
        <v>62.7566</v>
      </c>
      <c r="CG5" s="20">
        <v>62.1679</v>
      </c>
      <c r="CH5" s="20">
        <v>64.0864</v>
      </c>
      <c r="CI5" s="20">
        <v>62.4588</v>
      </c>
      <c r="CJ5" s="20">
        <v>61.1514</v>
      </c>
      <c r="CK5" s="20">
        <v>56.7103</v>
      </c>
      <c r="CL5" s="20">
        <v>66.6293</v>
      </c>
      <c r="CM5" s="20">
        <v>101.7432</v>
      </c>
      <c r="CN5" s="20">
        <v>100.6455</v>
      </c>
      <c r="CO5" s="20">
        <v>96.3735</v>
      </c>
      <c r="CP5" s="20">
        <v>89.1793</v>
      </c>
      <c r="CQ5" s="20">
        <v>88.8127</v>
      </c>
      <c r="CR5" s="20">
        <v>86.3287</v>
      </c>
      <c r="CS5" s="20">
        <v>84.05952</v>
      </c>
      <c r="CT5" s="20">
        <v>86.2842</v>
      </c>
      <c r="CU5" s="20">
        <v>77.0502</v>
      </c>
      <c r="CV5" s="20">
        <v>77.1545</v>
      </c>
      <c r="CW5" s="20">
        <v>77.13907</v>
      </c>
      <c r="CX5" s="20">
        <v>77.1587</v>
      </c>
      <c r="CY5" s="20">
        <v>94.2093</v>
      </c>
      <c r="CZ5" s="20">
        <v>102.76404</v>
      </c>
      <c r="DA5" s="20">
        <v>95.0323</v>
      </c>
      <c r="DB5" s="20">
        <v>91.1319</v>
      </c>
      <c r="DC5" s="20">
        <v>87.1493</v>
      </c>
      <c r="DD5" s="20">
        <v>85.0015</v>
      </c>
      <c r="DE5" s="20">
        <v>83.7987</v>
      </c>
      <c r="DF5" s="20">
        <v>83.3849</v>
      </c>
      <c r="DG5" s="20">
        <v>81.135</v>
      </c>
      <c r="DH5" s="20">
        <v>79.675</v>
      </c>
      <c r="DI5" s="20">
        <v>80.7982</v>
      </c>
      <c r="DJ5" s="20">
        <v>82.2489</v>
      </c>
      <c r="DK5" s="20">
        <v>89.4784</v>
      </c>
      <c r="DL5" s="20">
        <v>91.3938</v>
      </c>
      <c r="DM5" s="20">
        <v>93.6759</v>
      </c>
      <c r="DN5" s="20">
        <v>91.16478</v>
      </c>
      <c r="DO5" s="20">
        <v>89.6477</v>
      </c>
      <c r="DP5" s="20">
        <v>88.6579</v>
      </c>
      <c r="DQ5" s="20">
        <v>88.56858</v>
      </c>
      <c r="DR5" s="20">
        <v>90.9564</v>
      </c>
      <c r="DS5" s="20">
        <v>90.6008</v>
      </c>
      <c r="DT5" s="20">
        <v>115.2431</v>
      </c>
      <c r="DU5" s="20">
        <v>117.6151</v>
      </c>
      <c r="DV5" s="20">
        <v>121.3374</v>
      </c>
      <c r="DW5" s="20">
        <v>140.7309</v>
      </c>
      <c r="DX5" s="20">
        <v>150.7003</v>
      </c>
      <c r="DY5" s="20">
        <v>153.9817</v>
      </c>
      <c r="DZ5" s="20">
        <v>152.7653</v>
      </c>
      <c r="EA5" s="20">
        <v>151.2831</v>
      </c>
      <c r="EB5" s="20">
        <v>150.3295</v>
      </c>
      <c r="EC5" s="20">
        <v>149.2955</v>
      </c>
      <c r="ED5" s="20">
        <v>151.4175</v>
      </c>
      <c r="EE5" s="20">
        <v>149.7883</v>
      </c>
      <c r="EF5" s="20">
        <v>149.2964</v>
      </c>
      <c r="EG5" s="20">
        <v>149.871</v>
      </c>
      <c r="EH5" s="20">
        <v>164.6419</v>
      </c>
      <c r="EI5" s="20">
        <v>209.185</v>
      </c>
      <c r="EJ5" s="20">
        <v>213.9249</v>
      </c>
      <c r="EK5" s="20">
        <v>210.3277</v>
      </c>
      <c r="EL5" s="20">
        <v>206.2516</v>
      </c>
      <c r="EM5" s="20">
        <v>203.6112</v>
      </c>
      <c r="EN5" s="20">
        <v>194.80886884</v>
      </c>
      <c r="EO5" s="20">
        <v>191.9113</v>
      </c>
      <c r="EP5" s="20">
        <v>194.615705387</v>
      </c>
      <c r="EQ5" s="20">
        <v>192.974579858</v>
      </c>
      <c r="ER5" s="20">
        <v>185.536079628</v>
      </c>
      <c r="ES5" s="20">
        <v>185.879913653</v>
      </c>
      <c r="ET5" s="20">
        <v>200.930647974</v>
      </c>
      <c r="EU5" s="20">
        <v>248.661750572</v>
      </c>
      <c r="EV5" s="20">
        <v>248.682350572</v>
      </c>
      <c r="EW5" s="20">
        <v>243.909636196</v>
      </c>
      <c r="EX5" s="20">
        <v>240.89534114268</v>
      </c>
      <c r="EY5" s="20">
        <v>231.4588</v>
      </c>
      <c r="EZ5" s="20">
        <v>222.0424</v>
      </c>
      <c r="FA5" s="20">
        <v>223.0579</v>
      </c>
      <c r="FB5" s="20">
        <v>224.152749615</v>
      </c>
      <c r="FC5" s="20">
        <v>213.596393266</v>
      </c>
      <c r="FD5" s="20">
        <v>184.243300394557</v>
      </c>
      <c r="FE5" s="20">
        <v>209.128604101</v>
      </c>
      <c r="FF5" s="20">
        <v>231.624720889</v>
      </c>
      <c r="FG5" s="20">
        <v>271.172765899929</v>
      </c>
      <c r="FH5" s="20">
        <v>203.864750105</v>
      </c>
      <c r="FI5" s="20">
        <v>191.105935555</v>
      </c>
      <c r="FJ5" s="20">
        <v>185.228162460654</v>
      </c>
      <c r="FK5" s="20">
        <v>249.32206886688</v>
      </c>
      <c r="FL5" s="20">
        <v>238.357485432362</v>
      </c>
      <c r="FM5" s="20">
        <v>227.403508113699</v>
      </c>
      <c r="FN5" s="20">
        <v>227.144284282154</v>
      </c>
      <c r="FO5" s="20">
        <v>218.224086773</v>
      </c>
      <c r="FP5" s="20">
        <v>212.171552776</v>
      </c>
      <c r="FQ5" s="20">
        <v>207.940637192</v>
      </c>
      <c r="FR5" s="20">
        <v>217.940335612</v>
      </c>
      <c r="FS5" s="20">
        <v>248.979883082</v>
      </c>
      <c r="FT5" s="20">
        <v>280.901377963</v>
      </c>
      <c r="FU5" s="20">
        <v>277.341361643</v>
      </c>
      <c r="FV5" s="20">
        <v>267.853398947</v>
      </c>
      <c r="FW5" s="20">
        <v>253.281481661</v>
      </c>
      <c r="FX5" s="20">
        <v>242.609956739</v>
      </c>
      <c r="FY5" s="20">
        <v>235.28182586</v>
      </c>
      <c r="FZ5" s="20">
        <v>234.912695345</v>
      </c>
      <c r="GA5" s="20">
        <v>225.143209710281</v>
      </c>
      <c r="GB5" s="20">
        <v>225.593447515116</v>
      </c>
      <c r="GC5" s="20">
        <v>221.185193935</v>
      </c>
      <c r="GD5" s="20">
        <v>220.427675050448</v>
      </c>
      <c r="GE5" s="20">
        <v>247.963255123953</v>
      </c>
      <c r="GF5" s="20">
        <v>266.964615846812</v>
      </c>
      <c r="GG5" s="20">
        <v>252.335638007</v>
      </c>
      <c r="GH5" s="20">
        <v>243.176127902</v>
      </c>
      <c r="GI5" s="20">
        <v>237.780109036</v>
      </c>
      <c r="GJ5" s="20">
        <v>232.058155190137</v>
      </c>
      <c r="GK5" s="20">
        <v>231.267112015</v>
      </c>
      <c r="GL5" s="20">
        <v>235.253081479328</v>
      </c>
      <c r="GM5" s="21">
        <v>228.051672203781</v>
      </c>
      <c r="GN5" s="21">
        <v>227.636214807468</v>
      </c>
      <c r="GO5" s="20">
        <f>+GO6-GO7-GO8</f>
        <v>240.20000000000002</v>
      </c>
      <c r="GP5" s="20">
        <f>+GP6-GP7-GP8</f>
        <v>241.29999999999998</v>
      </c>
      <c r="GQ5" s="22"/>
    </row>
    <row r="6" spans="1:199" ht="12.75">
      <c r="A6" s="23" t="s">
        <v>9</v>
      </c>
      <c r="B6" s="24" t="s">
        <v>10</v>
      </c>
      <c r="C6" s="25">
        <v>21.7072</v>
      </c>
      <c r="D6" s="25">
        <v>21.5034</v>
      </c>
      <c r="E6" s="25">
        <v>21.1971</v>
      </c>
      <c r="F6" s="25">
        <v>20.9524</v>
      </c>
      <c r="G6" s="25">
        <v>20.807</v>
      </c>
      <c r="H6" s="25">
        <v>26.5919</v>
      </c>
      <c r="I6" s="25">
        <v>28.6959</v>
      </c>
      <c r="J6" s="25">
        <v>27.9213</v>
      </c>
      <c r="K6" s="25">
        <v>26.5801</v>
      </c>
      <c r="L6" s="25">
        <v>29.2183</v>
      </c>
      <c r="M6" s="25">
        <v>29.5942</v>
      </c>
      <c r="N6" s="25">
        <v>33.0773</v>
      </c>
      <c r="O6" s="25">
        <v>31.3424</v>
      </c>
      <c r="P6" s="25">
        <v>28.3505</v>
      </c>
      <c r="Q6" s="25">
        <v>30.1144</v>
      </c>
      <c r="R6" s="25">
        <v>33.981</v>
      </c>
      <c r="S6" s="25">
        <v>48.1589</v>
      </c>
      <c r="T6" s="25">
        <v>47.1282</v>
      </c>
      <c r="U6" s="25">
        <v>49.6526</v>
      </c>
      <c r="V6" s="25">
        <v>44.4693</v>
      </c>
      <c r="W6" s="25">
        <v>38.6631</v>
      </c>
      <c r="X6" s="25">
        <v>40.3355</v>
      </c>
      <c r="Y6" s="25">
        <v>38.5674</v>
      </c>
      <c r="Z6" s="25">
        <v>41.1437</v>
      </c>
      <c r="AA6" s="25">
        <v>38.1602</v>
      </c>
      <c r="AB6" s="25">
        <v>39.2813</v>
      </c>
      <c r="AC6" s="25">
        <v>39.5676</v>
      </c>
      <c r="AD6" s="25">
        <v>37.7412</v>
      </c>
      <c r="AE6" s="25">
        <v>40.5938</v>
      </c>
      <c r="AF6" s="25">
        <v>41.3807</v>
      </c>
      <c r="AG6" s="25">
        <v>42.5201</v>
      </c>
      <c r="AH6" s="25">
        <v>44.2163</v>
      </c>
      <c r="AI6" s="25">
        <v>41.1163</v>
      </c>
      <c r="AJ6" s="25">
        <v>39.7511</v>
      </c>
      <c r="AK6" s="25">
        <v>39.0988</v>
      </c>
      <c r="AL6" s="25">
        <v>41.1559</v>
      </c>
      <c r="AM6" s="25">
        <v>40.7328</v>
      </c>
      <c r="AN6" s="25">
        <v>39.6384</v>
      </c>
      <c r="AO6" s="25">
        <v>36.4516</v>
      </c>
      <c r="AP6" s="25">
        <v>37.6933</v>
      </c>
      <c r="AQ6" s="25">
        <v>38.2134</v>
      </c>
      <c r="AR6" s="25">
        <v>41.1813</v>
      </c>
      <c r="AS6" s="25">
        <v>37.2491</v>
      </c>
      <c r="AT6" s="25">
        <v>44.0233</v>
      </c>
      <c r="AU6" s="25">
        <v>43.2672</v>
      </c>
      <c r="AV6" s="25">
        <v>41.1598</v>
      </c>
      <c r="AW6" s="25">
        <v>44.2578</v>
      </c>
      <c r="AX6" s="25">
        <v>45.5903</v>
      </c>
      <c r="AY6" s="25">
        <v>47.5491</v>
      </c>
      <c r="AZ6" s="25">
        <v>48.4143</v>
      </c>
      <c r="BA6" s="25">
        <v>47.7566</v>
      </c>
      <c r="BB6" s="25">
        <v>51.5134</v>
      </c>
      <c r="BC6" s="25">
        <v>63.8271</v>
      </c>
      <c r="BD6" s="25">
        <v>71.1939</v>
      </c>
      <c r="BE6" s="25">
        <v>67.7566</v>
      </c>
      <c r="BF6" s="25">
        <v>64.7738</v>
      </c>
      <c r="BG6" s="25">
        <v>60.9043</v>
      </c>
      <c r="BH6" s="25">
        <v>55.2076</v>
      </c>
      <c r="BI6" s="25">
        <v>55.2605</v>
      </c>
      <c r="BJ6" s="25">
        <v>56.3324</v>
      </c>
      <c r="BK6" s="25">
        <v>52.9057</v>
      </c>
      <c r="BL6" s="25">
        <v>50.2201</v>
      </c>
      <c r="BM6" s="25">
        <v>48.1651</v>
      </c>
      <c r="BN6" s="25">
        <v>46.9451</v>
      </c>
      <c r="BO6" s="25">
        <v>53.8452</v>
      </c>
      <c r="BP6" s="25">
        <v>63.6899</v>
      </c>
      <c r="BQ6" s="25">
        <v>64.2681</v>
      </c>
      <c r="BR6" s="25">
        <v>59.3255</v>
      </c>
      <c r="BS6" s="25">
        <v>59.0149</v>
      </c>
      <c r="BT6" s="25">
        <v>53.4718</v>
      </c>
      <c r="BU6" s="25">
        <v>55.3428</v>
      </c>
      <c r="BV6" s="25">
        <v>59.1693</v>
      </c>
      <c r="BW6" s="25">
        <v>60.7279</v>
      </c>
      <c r="BX6" s="25">
        <v>59.5969</v>
      </c>
      <c r="BY6" s="25">
        <v>57.3996</v>
      </c>
      <c r="BZ6" s="25">
        <v>60.0867</v>
      </c>
      <c r="CA6" s="25">
        <v>75.5304</v>
      </c>
      <c r="CB6" s="25">
        <v>76.4264</v>
      </c>
      <c r="CC6" s="25">
        <v>75.7419</v>
      </c>
      <c r="CD6" s="25">
        <v>73.3539</v>
      </c>
      <c r="CE6" s="25">
        <v>67.8103</v>
      </c>
      <c r="CF6" s="25">
        <v>65.2756</v>
      </c>
      <c r="CG6" s="25">
        <v>64.7444</v>
      </c>
      <c r="CH6" s="25">
        <v>66.4608</v>
      </c>
      <c r="CI6" s="25">
        <v>66.1012</v>
      </c>
      <c r="CJ6" s="25">
        <v>63.9688</v>
      </c>
      <c r="CK6" s="25">
        <v>59.9987</v>
      </c>
      <c r="CL6" s="25">
        <v>69.5454</v>
      </c>
      <c r="CM6" s="25">
        <v>106.0162</v>
      </c>
      <c r="CN6" s="25">
        <v>104.3314</v>
      </c>
      <c r="CO6" s="25">
        <v>100.3874</v>
      </c>
      <c r="CP6" s="25">
        <v>93.0594</v>
      </c>
      <c r="CQ6" s="25">
        <v>91.9117</v>
      </c>
      <c r="CR6" s="25">
        <v>89.4489</v>
      </c>
      <c r="CS6" s="25">
        <v>87.80332</v>
      </c>
      <c r="CT6" s="25">
        <v>89.5131</v>
      </c>
      <c r="CU6" s="25">
        <v>80.4781</v>
      </c>
      <c r="CV6" s="25">
        <v>80.8822</v>
      </c>
      <c r="CW6" s="25">
        <v>80.81667</v>
      </c>
      <c r="CX6" s="25">
        <v>79.5872</v>
      </c>
      <c r="CY6" s="25">
        <v>97.4013</v>
      </c>
      <c r="CZ6" s="25">
        <v>105.64594</v>
      </c>
      <c r="DA6" s="25">
        <v>99.2333</v>
      </c>
      <c r="DB6" s="25">
        <v>93.6939</v>
      </c>
      <c r="DC6" s="25">
        <v>89.8933</v>
      </c>
      <c r="DD6" s="25">
        <v>88.1775</v>
      </c>
      <c r="DE6" s="25">
        <v>86.4087</v>
      </c>
      <c r="DF6" s="25">
        <v>86.6299</v>
      </c>
      <c r="DG6" s="25">
        <v>84.128</v>
      </c>
      <c r="DH6" s="25">
        <v>82.864</v>
      </c>
      <c r="DI6" s="25">
        <v>84.1264</v>
      </c>
      <c r="DJ6" s="25">
        <v>85.5564</v>
      </c>
      <c r="DK6" s="25">
        <v>92.8977</v>
      </c>
      <c r="DL6" s="25">
        <v>95.2183</v>
      </c>
      <c r="DM6" s="25">
        <v>97.3834</v>
      </c>
      <c r="DN6" s="25">
        <v>94.13838</v>
      </c>
      <c r="DO6" s="25">
        <v>92.8818</v>
      </c>
      <c r="DP6" s="25">
        <v>91.7641</v>
      </c>
      <c r="DQ6" s="25">
        <v>91.45688</v>
      </c>
      <c r="DR6" s="25">
        <v>94.6987</v>
      </c>
      <c r="DS6" s="25">
        <v>94.7255</v>
      </c>
      <c r="DT6" s="25">
        <v>118.79</v>
      </c>
      <c r="DU6" s="25">
        <v>121.7251</v>
      </c>
      <c r="DV6" s="25">
        <v>124.6324</v>
      </c>
      <c r="DW6" s="25">
        <v>144.5081</v>
      </c>
      <c r="DX6" s="25">
        <v>155.058</v>
      </c>
      <c r="DY6" s="25">
        <v>158.4434</v>
      </c>
      <c r="DZ6" s="25">
        <v>156.472</v>
      </c>
      <c r="EA6" s="25">
        <v>155.2859</v>
      </c>
      <c r="EB6" s="25">
        <v>154.0507</v>
      </c>
      <c r="EC6" s="25">
        <v>152.6497</v>
      </c>
      <c r="ED6" s="25">
        <v>156.5116</v>
      </c>
      <c r="EE6" s="25">
        <v>153.7479</v>
      </c>
      <c r="EF6" s="25">
        <v>153.9447</v>
      </c>
      <c r="EG6" s="25">
        <v>153.7626</v>
      </c>
      <c r="EH6" s="25">
        <v>168.4573</v>
      </c>
      <c r="EI6" s="25">
        <v>214.1717</v>
      </c>
      <c r="EJ6" s="25">
        <v>220.1622</v>
      </c>
      <c r="EK6" s="25">
        <v>212.994</v>
      </c>
      <c r="EL6" s="25">
        <v>208.8371</v>
      </c>
      <c r="EM6" s="25">
        <v>204.771</v>
      </c>
      <c r="EN6" s="25">
        <v>196.75476884</v>
      </c>
      <c r="EO6" s="25">
        <v>195.4364</v>
      </c>
      <c r="EP6" s="25">
        <v>199.450005387</v>
      </c>
      <c r="EQ6" s="25">
        <v>195.207079858</v>
      </c>
      <c r="ER6" s="25">
        <v>191.423479628</v>
      </c>
      <c r="ES6" s="25">
        <v>189.415513653</v>
      </c>
      <c r="ET6" s="25">
        <v>203.601247974</v>
      </c>
      <c r="EU6" s="25">
        <v>252.970750572</v>
      </c>
      <c r="EV6" s="25">
        <v>252.970750572</v>
      </c>
      <c r="EW6" s="25">
        <v>247.638036196</v>
      </c>
      <c r="EX6" s="25">
        <v>244.52274114268</v>
      </c>
      <c r="EY6" s="25">
        <v>233.2962</v>
      </c>
      <c r="EZ6" s="25">
        <v>226.2738</v>
      </c>
      <c r="FA6" s="25">
        <v>225.4873</v>
      </c>
      <c r="FB6" s="25">
        <v>227.094149615</v>
      </c>
      <c r="FC6" s="25">
        <v>219.408793266</v>
      </c>
      <c r="FD6" s="25">
        <v>189.858700394557</v>
      </c>
      <c r="FE6" s="25">
        <v>214.172004101</v>
      </c>
      <c r="FF6" s="25">
        <v>238.196120889</v>
      </c>
      <c r="FG6" s="25">
        <v>279.979165899929</v>
      </c>
      <c r="FH6" s="25">
        <v>212.189150105</v>
      </c>
      <c r="FI6" s="25">
        <v>198.096335555</v>
      </c>
      <c r="FJ6" s="25">
        <v>191.240562460654</v>
      </c>
      <c r="FK6" s="25">
        <v>255.95146886688</v>
      </c>
      <c r="FL6" s="25">
        <v>244.077885432362</v>
      </c>
      <c r="FM6" s="25">
        <v>232.881908113699</v>
      </c>
      <c r="FN6" s="25">
        <v>233.494684282154</v>
      </c>
      <c r="FO6" s="25">
        <v>224.962486773</v>
      </c>
      <c r="FP6" s="25">
        <v>219.560952776</v>
      </c>
      <c r="FQ6" s="25">
        <v>213.979037192</v>
      </c>
      <c r="FR6" s="25">
        <v>224.032735612</v>
      </c>
      <c r="FS6" s="25">
        <v>257.377283082</v>
      </c>
      <c r="FT6" s="25">
        <v>291.386777963</v>
      </c>
      <c r="FU6" s="25">
        <v>283.198761643</v>
      </c>
      <c r="FV6" s="25">
        <v>272.597798947</v>
      </c>
      <c r="FW6" s="25">
        <v>257.946881661</v>
      </c>
      <c r="FX6" s="25">
        <v>246.329356739</v>
      </c>
      <c r="FY6" s="25">
        <v>239.24122586</v>
      </c>
      <c r="FZ6" s="25">
        <v>239.019095345</v>
      </c>
      <c r="GA6" s="25">
        <v>231.538609710281</v>
      </c>
      <c r="GB6" s="25">
        <v>232.159847515116</v>
      </c>
      <c r="GC6" s="25">
        <v>227.748593935</v>
      </c>
      <c r="GD6" s="25">
        <v>227.448075050448</v>
      </c>
      <c r="GE6" s="25">
        <v>254.819655123953</v>
      </c>
      <c r="GF6" s="25">
        <v>276.893015846812</v>
      </c>
      <c r="GG6" s="25">
        <v>261.657038007</v>
      </c>
      <c r="GH6" s="25">
        <v>252.298527902</v>
      </c>
      <c r="GI6" s="25">
        <v>246.347509036</v>
      </c>
      <c r="GJ6" s="25">
        <v>239.771555190137</v>
      </c>
      <c r="GK6" s="25">
        <v>238.717512015</v>
      </c>
      <c r="GL6" s="25">
        <v>242.576481479328</v>
      </c>
      <c r="GM6" s="26">
        <v>235.604072203781</v>
      </c>
      <c r="GN6" s="26">
        <v>234.591614807468</v>
      </c>
      <c r="GO6" s="25">
        <v>246.60000000000002</v>
      </c>
      <c r="GP6" s="25">
        <v>248.6</v>
      </c>
      <c r="GQ6" s="22"/>
    </row>
    <row r="7" spans="1:199" ht="12.75">
      <c r="A7" s="27" t="s">
        <v>11</v>
      </c>
      <c r="B7" s="28" t="s">
        <v>12</v>
      </c>
      <c r="C7" s="29">
        <v>0.492</v>
      </c>
      <c r="D7" s="29">
        <v>0.615</v>
      </c>
      <c r="E7" s="29">
        <v>0.518</v>
      </c>
      <c r="F7" s="29">
        <v>0.433</v>
      </c>
      <c r="G7" s="29">
        <v>0.878</v>
      </c>
      <c r="H7" s="29">
        <v>0.741</v>
      </c>
      <c r="I7" s="29">
        <v>0.894</v>
      </c>
      <c r="J7" s="29">
        <v>0.483</v>
      </c>
      <c r="K7" s="29">
        <v>0.8130000000000001</v>
      </c>
      <c r="L7" s="29">
        <v>0.527</v>
      </c>
      <c r="M7" s="29">
        <v>0.35100000000000003</v>
      </c>
      <c r="N7" s="29">
        <v>0.507</v>
      </c>
      <c r="O7" s="29">
        <v>0.731</v>
      </c>
      <c r="P7" s="29">
        <v>0.5660000000000001</v>
      </c>
      <c r="Q7" s="29">
        <v>1.095</v>
      </c>
      <c r="R7" s="29">
        <v>0.091</v>
      </c>
      <c r="S7" s="29">
        <v>0.82</v>
      </c>
      <c r="T7" s="29">
        <v>0.369</v>
      </c>
      <c r="U7" s="29">
        <v>0.378</v>
      </c>
      <c r="V7" s="29">
        <v>0.308</v>
      </c>
      <c r="W7" s="29">
        <v>0.253</v>
      </c>
      <c r="X7" s="29">
        <v>0.534</v>
      </c>
      <c r="Y7" s="29">
        <v>0.39</v>
      </c>
      <c r="Z7" s="29">
        <v>0.6000000000000001</v>
      </c>
      <c r="AA7" s="29">
        <v>0.707</v>
      </c>
      <c r="AB7" s="29">
        <v>0.645</v>
      </c>
      <c r="AC7" s="29">
        <v>0.631</v>
      </c>
      <c r="AD7" s="29">
        <v>0.667</v>
      </c>
      <c r="AE7" s="29">
        <v>0.871</v>
      </c>
      <c r="AF7" s="29">
        <v>0.962</v>
      </c>
      <c r="AG7" s="29">
        <v>1.223</v>
      </c>
      <c r="AH7" s="29">
        <v>1.962</v>
      </c>
      <c r="AI7" s="29">
        <v>1.568</v>
      </c>
      <c r="AJ7" s="29">
        <v>2.102</v>
      </c>
      <c r="AK7" s="29">
        <v>1.671</v>
      </c>
      <c r="AL7" s="29">
        <v>1.477</v>
      </c>
      <c r="AM7" s="29">
        <v>1.325</v>
      </c>
      <c r="AN7" s="29">
        <v>1.857</v>
      </c>
      <c r="AO7" s="29">
        <v>1.655</v>
      </c>
      <c r="AP7" s="29">
        <v>2.91</v>
      </c>
      <c r="AQ7" s="29">
        <v>2.342</v>
      </c>
      <c r="AR7" s="29">
        <v>2.46</v>
      </c>
      <c r="AS7" s="29">
        <v>3.182</v>
      </c>
      <c r="AT7" s="29">
        <v>1.827</v>
      </c>
      <c r="AU7" s="29">
        <v>2.095</v>
      </c>
      <c r="AV7" s="29">
        <v>1.986</v>
      </c>
      <c r="AW7" s="29">
        <v>3.629</v>
      </c>
      <c r="AX7" s="29">
        <v>2.138</v>
      </c>
      <c r="AY7" s="29">
        <v>2.126</v>
      </c>
      <c r="AZ7" s="29">
        <v>1.8170000000000002</v>
      </c>
      <c r="BA7" s="29">
        <v>1.915</v>
      </c>
      <c r="BB7" s="29">
        <v>1.807</v>
      </c>
      <c r="BC7" s="29">
        <v>2.103</v>
      </c>
      <c r="BD7" s="29">
        <v>3.105</v>
      </c>
      <c r="BE7" s="29">
        <v>2.182</v>
      </c>
      <c r="BF7" s="29">
        <v>2.067</v>
      </c>
      <c r="BG7" s="29">
        <v>2.598</v>
      </c>
      <c r="BH7" s="29">
        <v>1.617</v>
      </c>
      <c r="BI7" s="29">
        <v>1.605</v>
      </c>
      <c r="BJ7" s="29">
        <v>2.133</v>
      </c>
      <c r="BK7" s="29">
        <v>1.9</v>
      </c>
      <c r="BL7" s="29">
        <v>1.913</v>
      </c>
      <c r="BM7" s="29">
        <v>1.945</v>
      </c>
      <c r="BN7" s="29">
        <v>1.592</v>
      </c>
      <c r="BO7" s="29">
        <v>1.794</v>
      </c>
      <c r="BP7" s="29">
        <v>2.14</v>
      </c>
      <c r="BQ7" s="29">
        <v>2.3529999999999998</v>
      </c>
      <c r="BR7" s="29">
        <v>2.386</v>
      </c>
      <c r="BS7" s="29">
        <v>3.096</v>
      </c>
      <c r="BT7" s="29">
        <v>1.9929999999999999</v>
      </c>
      <c r="BU7" s="29">
        <v>2.11</v>
      </c>
      <c r="BV7" s="29">
        <v>1.972</v>
      </c>
      <c r="BW7" s="29">
        <v>2.235</v>
      </c>
      <c r="BX7" s="29">
        <v>1.7349999999999999</v>
      </c>
      <c r="BY7" s="29">
        <v>2.569</v>
      </c>
      <c r="BZ7" s="29">
        <v>1.962</v>
      </c>
      <c r="CA7" s="29">
        <v>3.689</v>
      </c>
      <c r="CB7" s="29">
        <v>3.356</v>
      </c>
      <c r="CC7" s="29">
        <v>3.082</v>
      </c>
      <c r="CD7" s="29">
        <v>2.985</v>
      </c>
      <c r="CE7" s="29">
        <v>1.854</v>
      </c>
      <c r="CF7" s="29">
        <v>2.281</v>
      </c>
      <c r="CG7" s="29">
        <v>2.482</v>
      </c>
      <c r="CH7" s="29">
        <v>2.371</v>
      </c>
      <c r="CI7" s="29">
        <v>3.6390000000000002</v>
      </c>
      <c r="CJ7" s="29">
        <v>2.814</v>
      </c>
      <c r="CK7" s="29">
        <v>3.285</v>
      </c>
      <c r="CL7" s="29">
        <v>2.912</v>
      </c>
      <c r="CM7" s="29">
        <v>4.266</v>
      </c>
      <c r="CN7" s="29">
        <v>3.627</v>
      </c>
      <c r="CO7" s="29">
        <v>4.002</v>
      </c>
      <c r="CP7" s="29">
        <v>3.8689999999999998</v>
      </c>
      <c r="CQ7" s="29">
        <v>3.05</v>
      </c>
      <c r="CR7" s="29">
        <v>3.109</v>
      </c>
      <c r="CS7" s="29">
        <v>3.71</v>
      </c>
      <c r="CT7" s="29">
        <v>3.188</v>
      </c>
      <c r="CU7" s="29">
        <v>3.407</v>
      </c>
      <c r="CV7" s="29">
        <v>3.714</v>
      </c>
      <c r="CW7" s="29">
        <v>3.614</v>
      </c>
      <c r="CX7" s="29">
        <v>2.421</v>
      </c>
      <c r="CY7" s="29">
        <v>2.5869999999999997</v>
      </c>
      <c r="CZ7" s="29">
        <v>2.707</v>
      </c>
      <c r="DA7" s="29">
        <v>3.408</v>
      </c>
      <c r="DB7" s="29">
        <v>2.49</v>
      </c>
      <c r="DC7" s="29">
        <v>2.672</v>
      </c>
      <c r="DD7" s="29">
        <v>3.104</v>
      </c>
      <c r="DE7" s="29">
        <v>2.545</v>
      </c>
      <c r="DF7" s="29">
        <v>3.174</v>
      </c>
      <c r="DG7" s="29">
        <v>2.9290000000000003</v>
      </c>
      <c r="DH7" s="29">
        <v>3.115</v>
      </c>
      <c r="DI7" s="29">
        <v>3.205</v>
      </c>
      <c r="DJ7" s="29">
        <v>3.198</v>
      </c>
      <c r="DK7" s="29">
        <v>3.312</v>
      </c>
      <c r="DL7" s="29">
        <v>3.746</v>
      </c>
      <c r="DM7" s="29">
        <v>3.6470000000000002</v>
      </c>
      <c r="DN7" s="29">
        <v>2.914</v>
      </c>
      <c r="DO7" s="29">
        <v>3.153</v>
      </c>
      <c r="DP7" s="29">
        <v>2.9619999999999997</v>
      </c>
      <c r="DQ7" s="29">
        <v>2.85</v>
      </c>
      <c r="DR7" s="29">
        <v>3.7039999999999997</v>
      </c>
      <c r="DS7" s="29">
        <v>4.1</v>
      </c>
      <c r="DT7" s="29">
        <v>3.492</v>
      </c>
      <c r="DU7" s="29">
        <v>4.048</v>
      </c>
      <c r="DV7" s="29">
        <v>3.233</v>
      </c>
      <c r="DW7" s="29">
        <v>3.7640000000000002</v>
      </c>
      <c r="DX7" s="29">
        <v>4.239</v>
      </c>
      <c r="DY7" s="29">
        <v>4.437</v>
      </c>
      <c r="DZ7" s="29">
        <v>3.637</v>
      </c>
      <c r="EA7" s="29">
        <v>3.854</v>
      </c>
      <c r="EB7" s="29">
        <v>3.422</v>
      </c>
      <c r="EC7" s="29">
        <v>3.3</v>
      </c>
      <c r="ED7" s="29">
        <v>4.571</v>
      </c>
      <c r="EE7" s="29">
        <v>3.7720000000000002</v>
      </c>
      <c r="EF7" s="29">
        <v>4.345</v>
      </c>
      <c r="EG7" s="29">
        <v>3.87</v>
      </c>
      <c r="EH7" s="29">
        <v>3.797</v>
      </c>
      <c r="EI7" s="29">
        <v>4.986</v>
      </c>
      <c r="EJ7" s="29">
        <v>6.063</v>
      </c>
      <c r="EK7" s="29">
        <v>2.646</v>
      </c>
      <c r="EL7" s="29">
        <v>2.583</v>
      </c>
      <c r="EM7" s="29">
        <v>0.845</v>
      </c>
      <c r="EN7" s="29">
        <v>1.9300000000000002</v>
      </c>
      <c r="EO7" s="29">
        <v>2.9415</v>
      </c>
      <c r="EP7" s="29">
        <v>4.832</v>
      </c>
      <c r="EQ7" s="29">
        <v>2.231</v>
      </c>
      <c r="ER7" s="29">
        <v>5.649</v>
      </c>
      <c r="ES7" s="29">
        <v>3.45</v>
      </c>
      <c r="ET7" s="29">
        <v>2.585</v>
      </c>
      <c r="EU7" s="29">
        <v>4.308</v>
      </c>
      <c r="EV7" s="29">
        <v>4.2780000000000005</v>
      </c>
      <c r="EW7" s="29">
        <v>3.718</v>
      </c>
      <c r="EX7" s="29">
        <v>3.617</v>
      </c>
      <c r="EY7" s="29">
        <v>1.827</v>
      </c>
      <c r="EZ7" s="29">
        <v>4.221</v>
      </c>
      <c r="FA7" s="29">
        <v>2.419</v>
      </c>
      <c r="FB7" s="29">
        <v>2.931</v>
      </c>
      <c r="FC7" s="29">
        <v>5.802</v>
      </c>
      <c r="FD7" s="29">
        <v>5.605</v>
      </c>
      <c r="FE7" s="29">
        <v>5.033</v>
      </c>
      <c r="FF7" s="29">
        <v>6.561</v>
      </c>
      <c r="FG7" s="29">
        <v>8.796</v>
      </c>
      <c r="FH7" s="29">
        <v>8.314</v>
      </c>
      <c r="FI7" s="29">
        <v>6.98</v>
      </c>
      <c r="FJ7" s="29">
        <v>6.002</v>
      </c>
      <c r="FK7" s="29">
        <v>6.619</v>
      </c>
      <c r="FL7" s="29">
        <v>5.71</v>
      </c>
      <c r="FM7" s="29">
        <v>5.468</v>
      </c>
      <c r="FN7" s="29">
        <v>6.34</v>
      </c>
      <c r="FO7" s="29">
        <v>6.728</v>
      </c>
      <c r="FP7" s="29">
        <v>7.379</v>
      </c>
      <c r="FQ7" s="29">
        <v>6.028</v>
      </c>
      <c r="FR7" s="29">
        <v>6.082</v>
      </c>
      <c r="FS7" s="29">
        <v>8.387</v>
      </c>
      <c r="FT7" s="29">
        <v>10.475</v>
      </c>
      <c r="FU7" s="29">
        <v>5.8469999999999995</v>
      </c>
      <c r="FV7" s="29">
        <v>4.734</v>
      </c>
      <c r="FW7" s="29">
        <v>4.655</v>
      </c>
      <c r="FX7" s="29">
        <v>3.709</v>
      </c>
      <c r="FY7" s="29">
        <v>3.949</v>
      </c>
      <c r="FZ7" s="29">
        <v>4.096</v>
      </c>
      <c r="GA7" s="29">
        <v>6.385</v>
      </c>
      <c r="GB7" s="29">
        <v>6.556</v>
      </c>
      <c r="GC7" s="29">
        <v>6.553</v>
      </c>
      <c r="GD7" s="29">
        <v>7.01</v>
      </c>
      <c r="GE7" s="29">
        <v>6.846</v>
      </c>
      <c r="GF7" s="29">
        <v>9.918</v>
      </c>
      <c r="GG7" s="29">
        <v>9.311</v>
      </c>
      <c r="GH7" s="29">
        <v>9.112</v>
      </c>
      <c r="GI7" s="29">
        <v>8.557</v>
      </c>
      <c r="GJ7" s="29">
        <v>7.703</v>
      </c>
      <c r="GK7" s="29">
        <v>7.44</v>
      </c>
      <c r="GL7" s="29">
        <v>7.313</v>
      </c>
      <c r="GM7" s="26">
        <v>7.542</v>
      </c>
      <c r="GN7" s="26">
        <v>6.945</v>
      </c>
      <c r="GO7" s="29">
        <v>6.4</v>
      </c>
      <c r="GP7" s="29">
        <v>7.300000000000001</v>
      </c>
      <c r="GQ7" s="22"/>
    </row>
    <row r="8" spans="1:199" ht="12.75">
      <c r="A8" s="27" t="s">
        <v>13</v>
      </c>
      <c r="B8" s="28" t="s">
        <v>14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0.151</v>
      </c>
      <c r="BX8" s="29">
        <v>0.0751</v>
      </c>
      <c r="BY8" s="29">
        <v>0.0492</v>
      </c>
      <c r="BZ8" s="29">
        <v>0.038700000000000005</v>
      </c>
      <c r="CA8" s="29">
        <v>0.0165</v>
      </c>
      <c r="CB8" s="29">
        <v>0.0218</v>
      </c>
      <c r="CC8" s="29">
        <v>0.032600000000000004</v>
      </c>
      <c r="CD8" s="29">
        <v>0.0699</v>
      </c>
      <c r="CE8" s="29">
        <v>0.0732</v>
      </c>
      <c r="CF8" s="29">
        <v>0.23800000000000002</v>
      </c>
      <c r="CG8" s="29">
        <v>0.0945</v>
      </c>
      <c r="CH8" s="29">
        <v>0.0034000000000000002</v>
      </c>
      <c r="CI8" s="29">
        <v>0.0034000000000000002</v>
      </c>
      <c r="CJ8" s="29">
        <v>0.0034000000000000002</v>
      </c>
      <c r="CK8" s="29">
        <v>0.0034000000000000002</v>
      </c>
      <c r="CL8" s="29">
        <v>0.0041</v>
      </c>
      <c r="CM8" s="29">
        <v>0.007</v>
      </c>
      <c r="CN8" s="29">
        <v>0.0589</v>
      </c>
      <c r="CO8" s="29">
        <v>0.0119</v>
      </c>
      <c r="CP8" s="29">
        <v>0.0111</v>
      </c>
      <c r="CQ8" s="29">
        <v>0.049</v>
      </c>
      <c r="CR8" s="29">
        <v>0.0112</v>
      </c>
      <c r="CS8" s="29">
        <v>0.033800000000000004</v>
      </c>
      <c r="CT8" s="29">
        <v>0.0409</v>
      </c>
      <c r="CU8" s="29">
        <v>0.020900000000000002</v>
      </c>
      <c r="CV8" s="29">
        <v>0.0137</v>
      </c>
      <c r="CW8" s="29">
        <v>0.0636</v>
      </c>
      <c r="CX8" s="29">
        <v>0.007500000000000001</v>
      </c>
      <c r="CY8" s="29">
        <v>0.605</v>
      </c>
      <c r="CZ8" s="29">
        <v>0.1749</v>
      </c>
      <c r="DA8" s="29">
        <v>0.793</v>
      </c>
      <c r="DB8" s="29">
        <v>0.07200000000000001</v>
      </c>
      <c r="DC8" s="29">
        <v>0.07200000000000001</v>
      </c>
      <c r="DD8" s="29">
        <v>0.07200000000000001</v>
      </c>
      <c r="DE8" s="29">
        <v>0.065</v>
      </c>
      <c r="DF8" s="29">
        <v>0.07100000000000001</v>
      </c>
      <c r="DG8" s="29">
        <v>0.064</v>
      </c>
      <c r="DH8" s="29">
        <v>0.074</v>
      </c>
      <c r="DI8" s="29">
        <v>0.1232</v>
      </c>
      <c r="DJ8" s="29">
        <v>0.1095</v>
      </c>
      <c r="DK8" s="29">
        <v>0.1073</v>
      </c>
      <c r="DL8" s="29">
        <v>0.0785</v>
      </c>
      <c r="DM8" s="29">
        <v>0.060500000000000005</v>
      </c>
      <c r="DN8" s="29">
        <v>0.0596</v>
      </c>
      <c r="DO8" s="29">
        <v>0.0811</v>
      </c>
      <c r="DP8" s="29">
        <v>0.1442</v>
      </c>
      <c r="DQ8" s="29">
        <v>0.0383</v>
      </c>
      <c r="DR8" s="29">
        <v>0.0383</v>
      </c>
      <c r="DS8" s="29">
        <v>0.0247</v>
      </c>
      <c r="DT8" s="29">
        <v>0.054900000000000004</v>
      </c>
      <c r="DU8" s="29">
        <v>0.062</v>
      </c>
      <c r="DV8" s="29">
        <v>0.062</v>
      </c>
      <c r="DW8" s="29">
        <v>0.0132</v>
      </c>
      <c r="DX8" s="29">
        <v>0.1187</v>
      </c>
      <c r="DY8" s="29">
        <v>0.0247</v>
      </c>
      <c r="DZ8" s="29">
        <v>0.0697</v>
      </c>
      <c r="EA8" s="29">
        <v>0.14880000000000002</v>
      </c>
      <c r="EB8" s="29">
        <v>0.2992</v>
      </c>
      <c r="EC8" s="29">
        <v>0.054200000000000005</v>
      </c>
      <c r="ED8" s="29">
        <v>0.5231</v>
      </c>
      <c r="EE8" s="29">
        <v>0.18760000000000002</v>
      </c>
      <c r="EF8" s="29">
        <v>0.3033</v>
      </c>
      <c r="EG8" s="29">
        <v>0.0216</v>
      </c>
      <c r="EH8" s="29">
        <v>0.0184</v>
      </c>
      <c r="EI8" s="29">
        <v>0.0007</v>
      </c>
      <c r="EJ8" s="29">
        <v>0.1743</v>
      </c>
      <c r="EK8" s="29">
        <v>0.020300000000000002</v>
      </c>
      <c r="EL8" s="29">
        <v>0.0025</v>
      </c>
      <c r="EM8" s="29">
        <v>0.3148</v>
      </c>
      <c r="EN8" s="29">
        <v>0.0159</v>
      </c>
      <c r="EO8" s="29">
        <v>0.5836</v>
      </c>
      <c r="EP8" s="29">
        <v>0.0023</v>
      </c>
      <c r="EQ8" s="29">
        <v>0.0015</v>
      </c>
      <c r="ER8" s="29">
        <v>0.2384</v>
      </c>
      <c r="ES8" s="29">
        <v>0.08560000000000001</v>
      </c>
      <c r="ET8" s="29">
        <v>0.08560000000000001</v>
      </c>
      <c r="EU8" s="29">
        <v>0.001</v>
      </c>
      <c r="EV8" s="29">
        <v>0.010400000000000001</v>
      </c>
      <c r="EW8" s="29">
        <v>0.010400000000000001</v>
      </c>
      <c r="EX8" s="29">
        <v>0.010400000000000001</v>
      </c>
      <c r="EY8" s="29">
        <v>0.010400000000000001</v>
      </c>
      <c r="EZ8" s="29">
        <v>0.010400000000000001</v>
      </c>
      <c r="FA8" s="29">
        <v>0.010400000000000001</v>
      </c>
      <c r="FB8" s="29">
        <v>0.010400000000000001</v>
      </c>
      <c r="FC8" s="29">
        <v>0.010400000000000001</v>
      </c>
      <c r="FD8" s="29">
        <v>0.010400000000000001</v>
      </c>
      <c r="FE8" s="29">
        <v>0.010400000000000001</v>
      </c>
      <c r="FF8" s="29">
        <v>0.010400000000000001</v>
      </c>
      <c r="FG8" s="29">
        <v>0.010400000000000001</v>
      </c>
      <c r="FH8" s="29">
        <v>0.010400000000000001</v>
      </c>
      <c r="FI8" s="29">
        <v>0.010400000000000001</v>
      </c>
      <c r="FJ8" s="29">
        <v>0.010400000000000001</v>
      </c>
      <c r="FK8" s="29">
        <v>0.010400000000000001</v>
      </c>
      <c r="FL8" s="29">
        <v>0.010400000000000001</v>
      </c>
      <c r="FM8" s="29">
        <v>0.010400000000000001</v>
      </c>
      <c r="FN8" s="29">
        <v>0.010400000000000001</v>
      </c>
      <c r="FO8" s="29">
        <v>0.010400000000000001</v>
      </c>
      <c r="FP8" s="29">
        <v>0.010400000000000001</v>
      </c>
      <c r="FQ8" s="29">
        <v>0.010400000000000001</v>
      </c>
      <c r="FR8" s="29">
        <v>0.010400000000000001</v>
      </c>
      <c r="FS8" s="29">
        <v>0.010400000000000001</v>
      </c>
      <c r="FT8" s="29">
        <v>0.010400000000000001</v>
      </c>
      <c r="FU8" s="29">
        <v>0.010400000000000001</v>
      </c>
      <c r="FV8" s="29">
        <v>0.010400000000000001</v>
      </c>
      <c r="FW8" s="29">
        <v>0.010400000000000001</v>
      </c>
      <c r="FX8" s="29">
        <v>0.010400000000000001</v>
      </c>
      <c r="FY8" s="29">
        <v>0.010400000000000001</v>
      </c>
      <c r="FZ8" s="29">
        <v>0.010400000000000001</v>
      </c>
      <c r="GA8" s="29">
        <v>0.010400000000000001</v>
      </c>
      <c r="GB8" s="29">
        <v>0.010400000000000001</v>
      </c>
      <c r="GC8" s="29">
        <v>0.010400000000000001</v>
      </c>
      <c r="GD8" s="29">
        <v>0.010400000000000001</v>
      </c>
      <c r="GE8" s="29">
        <v>0.010400000000000001</v>
      </c>
      <c r="GF8" s="29">
        <v>0.010400000000000001</v>
      </c>
      <c r="GG8" s="29">
        <v>0.010400000000000001</v>
      </c>
      <c r="GH8" s="29">
        <v>0.010400000000000001</v>
      </c>
      <c r="GI8" s="29">
        <v>0.010400000000000001</v>
      </c>
      <c r="GJ8" s="29">
        <v>0.010400000000000001</v>
      </c>
      <c r="GK8" s="29">
        <v>0.010400000000000001</v>
      </c>
      <c r="GL8" s="29">
        <v>0.010400000000000001</v>
      </c>
      <c r="GM8" s="26">
        <v>0.010400000000000001</v>
      </c>
      <c r="GN8" s="26">
        <v>0.010400000000000001</v>
      </c>
      <c r="GO8" s="29">
        <v>0</v>
      </c>
      <c r="GP8" s="29">
        <v>0</v>
      </c>
      <c r="GQ8" s="22"/>
    </row>
    <row r="9" spans="1:199" ht="12.75">
      <c r="A9" s="30" t="s">
        <v>15</v>
      </c>
      <c r="B9" s="31" t="s">
        <v>16</v>
      </c>
      <c r="C9" s="32">
        <f aca="true" t="shared" si="6" ref="C9:AH9">+C10+C11+C12</f>
        <v>9.65953148399554</v>
      </c>
      <c r="D9" s="32">
        <f t="shared" si="6"/>
        <v>9.137521207796889</v>
      </c>
      <c r="E9" s="32">
        <f t="shared" si="6"/>
        <v>9.117732436801141</v>
      </c>
      <c r="F9" s="32">
        <f t="shared" si="6"/>
        <v>10.7885493021531</v>
      </c>
      <c r="G9" s="32">
        <f t="shared" si="6"/>
        <v>11.5518432530799</v>
      </c>
      <c r="H9" s="32">
        <f t="shared" si="6"/>
        <v>10.7732746878245</v>
      </c>
      <c r="I9" s="32">
        <f t="shared" si="6"/>
        <v>9.860342810037631</v>
      </c>
      <c r="J9" s="32">
        <f t="shared" si="6"/>
        <v>12.141049969627801</v>
      </c>
      <c r="K9" s="32">
        <f t="shared" si="6"/>
        <v>13.2075591952202</v>
      </c>
      <c r="L9" s="32">
        <f t="shared" si="6"/>
        <v>12.2303213793992</v>
      </c>
      <c r="M9" s="32">
        <f t="shared" si="6"/>
        <v>11.5664136003581</v>
      </c>
      <c r="N9" s="32">
        <f t="shared" si="6"/>
        <v>10.01229766880114</v>
      </c>
      <c r="O9" s="32">
        <f t="shared" si="6"/>
        <v>9.9625465683909</v>
      </c>
      <c r="P9" s="32">
        <f t="shared" si="6"/>
        <v>10.3791988632724</v>
      </c>
      <c r="Q9" s="32">
        <f t="shared" si="6"/>
        <v>11.0613542027996</v>
      </c>
      <c r="R9" s="32">
        <f t="shared" si="6"/>
        <v>9.6505148966855</v>
      </c>
      <c r="S9" s="32">
        <f t="shared" si="6"/>
        <v>11.2040457675484</v>
      </c>
      <c r="T9" s="32">
        <f t="shared" si="6"/>
        <v>10.4832124976919</v>
      </c>
      <c r="U9" s="32">
        <f t="shared" si="6"/>
        <v>9.97068311869767</v>
      </c>
      <c r="V9" s="32">
        <f t="shared" si="6"/>
        <v>11.3995320258515</v>
      </c>
      <c r="W9" s="32">
        <f t="shared" si="6"/>
        <v>10.5531374648104</v>
      </c>
      <c r="X9" s="32">
        <f t="shared" si="6"/>
        <v>10.65135702921</v>
      </c>
      <c r="Y9" s="32">
        <f t="shared" si="6"/>
        <v>10.6750625780674</v>
      </c>
      <c r="Z9" s="32">
        <f t="shared" si="6"/>
        <v>10.06779258285095</v>
      </c>
      <c r="AA9" s="32">
        <f t="shared" si="6"/>
        <v>11.3640084133469</v>
      </c>
      <c r="AB9" s="32">
        <f t="shared" si="6"/>
        <v>10.988042335071599</v>
      </c>
      <c r="AC9" s="32">
        <f t="shared" si="6"/>
        <v>11.445937998437</v>
      </c>
      <c r="AD9" s="32">
        <f t="shared" si="6"/>
        <v>11.0259987932114</v>
      </c>
      <c r="AE9" s="32">
        <f t="shared" si="6"/>
        <v>11.9229651911992</v>
      </c>
      <c r="AF9" s="32">
        <f t="shared" si="6"/>
        <v>12.0942883225768</v>
      </c>
      <c r="AG9" s="32">
        <f t="shared" si="6"/>
        <v>13.0865170705683</v>
      </c>
      <c r="AH9" s="32">
        <f t="shared" si="6"/>
        <v>16.0701187791467</v>
      </c>
      <c r="AI9" s="32">
        <f aca="true" t="shared" si="7" ref="AI9:BN9">+AI10+AI11+AI12</f>
        <v>13.9470627285845</v>
      </c>
      <c r="AJ9" s="32">
        <f t="shared" si="7"/>
        <v>13.766199041850001</v>
      </c>
      <c r="AK9" s="32">
        <f t="shared" si="7"/>
        <v>14.7443698520401</v>
      </c>
      <c r="AL9" s="32">
        <f t="shared" si="7"/>
        <v>12.8884043738807</v>
      </c>
      <c r="AM9" s="32">
        <f t="shared" si="7"/>
        <v>14.817556744598</v>
      </c>
      <c r="AN9" s="32">
        <f t="shared" si="7"/>
        <v>15.9731659049478</v>
      </c>
      <c r="AO9" s="32">
        <f t="shared" si="7"/>
        <v>19.6475839965038</v>
      </c>
      <c r="AP9" s="32">
        <f t="shared" si="7"/>
        <v>18.119054644282603</v>
      </c>
      <c r="AQ9" s="32">
        <f t="shared" si="7"/>
        <v>18.493831088995098</v>
      </c>
      <c r="AR9" s="32">
        <f t="shared" si="7"/>
        <v>19.1902597001569</v>
      </c>
      <c r="AS9" s="32">
        <f t="shared" si="7"/>
        <v>22.9180326759698</v>
      </c>
      <c r="AT9" s="32">
        <f t="shared" si="7"/>
        <v>19.954146408417298</v>
      </c>
      <c r="AU9" s="32">
        <f t="shared" si="7"/>
        <v>24.7320372096984</v>
      </c>
      <c r="AV9" s="32">
        <f t="shared" si="7"/>
        <v>23.6998073722804</v>
      </c>
      <c r="AW9" s="32">
        <f t="shared" si="7"/>
        <v>18.9350165512102</v>
      </c>
      <c r="AX9" s="32">
        <f t="shared" si="7"/>
        <v>19.1526318752853</v>
      </c>
      <c r="AY9" s="32">
        <f t="shared" si="7"/>
        <v>17.987229583481998</v>
      </c>
      <c r="AZ9" s="32">
        <f t="shared" si="7"/>
        <v>18.977185194542198</v>
      </c>
      <c r="BA9" s="32">
        <f t="shared" si="7"/>
        <v>20.3156601621252</v>
      </c>
      <c r="BB9" s="32">
        <f t="shared" si="7"/>
        <v>22.601379612588598</v>
      </c>
      <c r="BC9" s="32">
        <f t="shared" si="7"/>
        <v>24.4702866071332</v>
      </c>
      <c r="BD9" s="32">
        <f t="shared" si="7"/>
        <v>31.389545204765003</v>
      </c>
      <c r="BE9" s="32">
        <f t="shared" si="7"/>
        <v>26.9869666504949</v>
      </c>
      <c r="BF9" s="32">
        <f t="shared" si="7"/>
        <v>29.2276711465161</v>
      </c>
      <c r="BG9" s="32">
        <f t="shared" si="7"/>
        <v>28.853408623626198</v>
      </c>
      <c r="BH9" s="32">
        <f t="shared" si="7"/>
        <v>28.1652444425986</v>
      </c>
      <c r="BI9" s="32">
        <f t="shared" si="7"/>
        <v>27.0749967957548</v>
      </c>
      <c r="BJ9" s="32">
        <f t="shared" si="7"/>
        <v>27.3211502600828</v>
      </c>
      <c r="BK9" s="32">
        <f t="shared" si="7"/>
        <v>26.4843894354611</v>
      </c>
      <c r="BL9" s="32">
        <f t="shared" si="7"/>
        <v>23.2528754237866</v>
      </c>
      <c r="BM9" s="32">
        <f t="shared" si="7"/>
        <v>23.6721970337355</v>
      </c>
      <c r="BN9" s="32">
        <f t="shared" si="7"/>
        <v>23.189968740218102</v>
      </c>
      <c r="BO9" s="32">
        <f aca="true" t="shared" si="8" ref="BO9:CT9">+BO10+BO11+BO12</f>
        <v>23.9915425062046</v>
      </c>
      <c r="BP9" s="32">
        <f t="shared" si="8"/>
        <v>26.9910337794179</v>
      </c>
      <c r="BQ9" s="32">
        <f t="shared" si="8"/>
        <v>29.0022357276391</v>
      </c>
      <c r="BR9" s="32">
        <f t="shared" si="8"/>
        <v>28.1153278517173</v>
      </c>
      <c r="BS9" s="32">
        <f t="shared" si="8"/>
        <v>29.2264342171578</v>
      </c>
      <c r="BT9" s="32">
        <f t="shared" si="8"/>
        <v>30.4410002382003</v>
      </c>
      <c r="BU9" s="32">
        <f t="shared" si="8"/>
        <v>26.2598680113712</v>
      </c>
      <c r="BV9" s="32">
        <f t="shared" si="8"/>
        <v>30.9008625526837</v>
      </c>
      <c r="BW9" s="32">
        <f t="shared" si="8"/>
        <v>32.1407385957602</v>
      </c>
      <c r="BX9" s="32">
        <f t="shared" si="8"/>
        <v>31.7764187034708</v>
      </c>
      <c r="BY9" s="32">
        <f t="shared" si="8"/>
        <v>34.024850701338494</v>
      </c>
      <c r="BZ9" s="32">
        <f t="shared" si="8"/>
        <v>33.7256056899717</v>
      </c>
      <c r="CA9" s="32">
        <f t="shared" si="8"/>
        <v>39.8259660650663</v>
      </c>
      <c r="CB9" s="32">
        <f t="shared" si="8"/>
        <v>38.770977948634105</v>
      </c>
      <c r="CC9" s="32">
        <f t="shared" si="8"/>
        <v>41.5323124391968</v>
      </c>
      <c r="CD9" s="32">
        <f t="shared" si="8"/>
        <v>43.1722409735422</v>
      </c>
      <c r="CE9" s="32">
        <f t="shared" si="8"/>
        <v>41.680271374793506</v>
      </c>
      <c r="CF9" s="32">
        <f t="shared" si="8"/>
        <v>40.4446451491825</v>
      </c>
      <c r="CG9" s="32">
        <f t="shared" si="8"/>
        <v>40.8252104461964</v>
      </c>
      <c r="CH9" s="32">
        <f t="shared" si="8"/>
        <v>39.8806637159474</v>
      </c>
      <c r="CI9" s="32">
        <f t="shared" si="8"/>
        <v>41.0251665570984</v>
      </c>
      <c r="CJ9" s="32">
        <f t="shared" si="8"/>
        <v>42.2543831014787</v>
      </c>
      <c r="CK9" s="32">
        <f t="shared" si="8"/>
        <v>47.7602426899912</v>
      </c>
      <c r="CL9" s="32">
        <f t="shared" si="8"/>
        <v>49.3860651196136</v>
      </c>
      <c r="CM9" s="32">
        <f t="shared" si="8"/>
        <v>58.1498911713213</v>
      </c>
      <c r="CN9" s="32">
        <f t="shared" si="8"/>
        <v>58.8440682226933</v>
      </c>
      <c r="CO9" s="32">
        <f t="shared" si="8"/>
        <v>63.887973226941796</v>
      </c>
      <c r="CP9" s="32">
        <f t="shared" si="8"/>
        <v>57.618946183812604</v>
      </c>
      <c r="CQ9" s="32">
        <f t="shared" si="8"/>
        <v>59.4033392626155</v>
      </c>
      <c r="CR9" s="32">
        <f t="shared" si="8"/>
        <v>60.577156401386</v>
      </c>
      <c r="CS9" s="32">
        <f t="shared" si="8"/>
        <v>55.065141381888495</v>
      </c>
      <c r="CT9" s="32">
        <f t="shared" si="8"/>
        <v>52.2668296861628</v>
      </c>
      <c r="CU9" s="32">
        <f aca="true" t="shared" si="9" ref="CU9:DZ9">+CU10+CU11+CU12</f>
        <v>50.6220767433294</v>
      </c>
      <c r="CV9" s="32">
        <f t="shared" si="9"/>
        <v>52.5463420457044</v>
      </c>
      <c r="CW9" s="32">
        <f t="shared" si="9"/>
        <v>54.241950062986795</v>
      </c>
      <c r="CX9" s="32">
        <f t="shared" si="9"/>
        <v>50.9860207809028</v>
      </c>
      <c r="CY9" s="32">
        <f t="shared" si="9"/>
        <v>53.8136429054119</v>
      </c>
      <c r="CZ9" s="32">
        <f t="shared" si="9"/>
        <v>39.1453329829092</v>
      </c>
      <c r="DA9" s="32">
        <f t="shared" si="9"/>
        <v>34.4526741203683</v>
      </c>
      <c r="DB9" s="32">
        <f t="shared" si="9"/>
        <v>53.8689538737881</v>
      </c>
      <c r="DC9" s="32">
        <f t="shared" si="9"/>
        <v>50.402135174269596</v>
      </c>
      <c r="DD9" s="32">
        <f t="shared" si="9"/>
        <v>48.797303790867296</v>
      </c>
      <c r="DE9" s="32">
        <f t="shared" si="9"/>
        <v>46.3901862864196</v>
      </c>
      <c r="DF9" s="32">
        <f t="shared" si="9"/>
        <v>46.937627568314596</v>
      </c>
      <c r="DG9" s="32">
        <f t="shared" si="9"/>
        <v>50.2804895454491</v>
      </c>
      <c r="DH9" s="32">
        <f t="shared" si="9"/>
        <v>54.4149180849717</v>
      </c>
      <c r="DI9" s="32">
        <f t="shared" si="9"/>
        <v>47.4211760765368</v>
      </c>
      <c r="DJ9" s="32">
        <f t="shared" si="9"/>
        <v>49.3202928933298</v>
      </c>
      <c r="DK9" s="32">
        <f t="shared" si="9"/>
        <v>48.7112967139582</v>
      </c>
      <c r="DL9" s="32">
        <f t="shared" si="9"/>
        <v>51.3629339087242</v>
      </c>
      <c r="DM9" s="32">
        <f t="shared" si="9"/>
        <v>52.0457628528308</v>
      </c>
      <c r="DN9" s="32">
        <f t="shared" si="9"/>
        <v>51.3307099089416</v>
      </c>
      <c r="DO9" s="32">
        <f t="shared" si="9"/>
        <v>47.241082454536</v>
      </c>
      <c r="DP9" s="32">
        <f t="shared" si="9"/>
        <v>51.7567427518941</v>
      </c>
      <c r="DQ9" s="32">
        <f t="shared" si="9"/>
        <v>52.7809851765634</v>
      </c>
      <c r="DR9" s="32">
        <f t="shared" si="9"/>
        <v>48.6227441418374</v>
      </c>
      <c r="DS9" s="32">
        <f t="shared" si="9"/>
        <v>56.3893744910675</v>
      </c>
      <c r="DT9" s="32">
        <f t="shared" si="9"/>
        <v>53.4740863524835</v>
      </c>
      <c r="DU9" s="32">
        <f t="shared" si="9"/>
        <v>53.5283836706752</v>
      </c>
      <c r="DV9" s="32">
        <f t="shared" si="9"/>
        <v>52.1908501528576</v>
      </c>
      <c r="DW9" s="32">
        <f t="shared" si="9"/>
        <v>53.3038313848207</v>
      </c>
      <c r="DX9" s="32">
        <f t="shared" si="9"/>
        <v>56.394854989088294</v>
      </c>
      <c r="DY9" s="32">
        <f t="shared" si="9"/>
        <v>61.2925963540319</v>
      </c>
      <c r="DZ9" s="32">
        <f t="shared" si="9"/>
        <v>62.2156850302945</v>
      </c>
      <c r="EA9" s="32">
        <f aca="true" t="shared" si="10" ref="EA9:FF9">+EA10+EA11+EA12</f>
        <v>60.8067357390134</v>
      </c>
      <c r="EB9" s="32">
        <f t="shared" si="10"/>
        <v>62.1909714480966</v>
      </c>
      <c r="EC9" s="32">
        <f t="shared" si="10"/>
        <v>61.205047042957</v>
      </c>
      <c r="ED9" s="32">
        <f t="shared" si="10"/>
        <v>59.3664803664953</v>
      </c>
      <c r="EE9" s="32">
        <f t="shared" si="10"/>
        <v>58.479853695078106</v>
      </c>
      <c r="EF9" s="32">
        <f t="shared" si="10"/>
        <v>62.5971744542769</v>
      </c>
      <c r="EG9" s="32">
        <f t="shared" si="10"/>
        <v>65.75442121762771</v>
      </c>
      <c r="EH9" s="32">
        <f t="shared" si="10"/>
        <v>66.4103579245361</v>
      </c>
      <c r="EI9" s="32">
        <f t="shared" si="10"/>
        <v>70.1427910763111</v>
      </c>
      <c r="EJ9" s="32">
        <f t="shared" si="10"/>
        <v>79.1846422385417</v>
      </c>
      <c r="EK9" s="32">
        <f t="shared" si="10"/>
        <v>93.7858314594135</v>
      </c>
      <c r="EL9" s="32">
        <f t="shared" si="10"/>
        <v>88.3625105099043</v>
      </c>
      <c r="EM9" s="32">
        <f t="shared" si="10"/>
        <v>84.2856681193214</v>
      </c>
      <c r="EN9" s="32">
        <f t="shared" si="10"/>
        <v>80.8288929507457</v>
      </c>
      <c r="EO9" s="32">
        <f t="shared" si="10"/>
        <v>81.4558052263492</v>
      </c>
      <c r="EP9" s="32">
        <f t="shared" si="10"/>
        <v>79.6192478606645</v>
      </c>
      <c r="EQ9" s="32">
        <f t="shared" si="10"/>
        <v>82.3340102754856</v>
      </c>
      <c r="ER9" s="32">
        <f t="shared" si="10"/>
        <v>86.1596220637424</v>
      </c>
      <c r="ES9" s="32">
        <f t="shared" si="10"/>
        <v>78.44083644317959</v>
      </c>
      <c r="ET9" s="32">
        <f t="shared" si="10"/>
        <v>69.0105380008068</v>
      </c>
      <c r="EU9" s="32">
        <f t="shared" si="10"/>
        <v>71.0403890532466</v>
      </c>
      <c r="EV9" s="32">
        <f t="shared" si="10"/>
        <v>76.02418809519929</v>
      </c>
      <c r="EW9" s="32">
        <f t="shared" si="10"/>
        <v>74.4172303364344</v>
      </c>
      <c r="EX9" s="32">
        <f t="shared" si="10"/>
        <v>85.3750399957402</v>
      </c>
      <c r="EY9" s="32">
        <f t="shared" si="10"/>
        <v>80.9492772663473</v>
      </c>
      <c r="EZ9" s="32">
        <f t="shared" si="10"/>
        <v>86.9228836955404</v>
      </c>
      <c r="FA9" s="32">
        <f t="shared" si="10"/>
        <v>73.0624402215331</v>
      </c>
      <c r="FB9" s="32">
        <f t="shared" si="10"/>
        <v>79.99154281985429</v>
      </c>
      <c r="FC9" s="32">
        <f t="shared" si="10"/>
        <v>72.00357939050859</v>
      </c>
      <c r="FD9" s="32">
        <f t="shared" si="10"/>
        <v>77.8564375483123</v>
      </c>
      <c r="FE9" s="32">
        <f t="shared" si="10"/>
        <v>79.1456300482252</v>
      </c>
      <c r="FF9" s="32">
        <f t="shared" si="10"/>
        <v>84.8952508033238</v>
      </c>
      <c r="FG9" s="32">
        <f aca="true" t="shared" si="11" ref="FG9:GL9">+FG10+FG11+FG12</f>
        <v>85.58956606890051</v>
      </c>
      <c r="FH9" s="32">
        <f t="shared" si="11"/>
        <v>90.80975468346959</v>
      </c>
      <c r="FI9" s="32">
        <f t="shared" si="11"/>
        <v>90.1324409315665</v>
      </c>
      <c r="FJ9" s="32">
        <f t="shared" si="11"/>
        <v>86.7242510084161</v>
      </c>
      <c r="FK9" s="32">
        <f t="shared" si="11"/>
        <v>87.1696049787458</v>
      </c>
      <c r="FL9" s="32">
        <f t="shared" si="11"/>
        <v>83.5806171332916</v>
      </c>
      <c r="FM9" s="32">
        <f t="shared" si="11"/>
        <v>80.8623211811235</v>
      </c>
      <c r="FN9" s="32">
        <f t="shared" si="11"/>
        <v>78.3094207379879</v>
      </c>
      <c r="FO9" s="32">
        <f t="shared" si="11"/>
        <v>74.69367318900001</v>
      </c>
      <c r="FP9" s="32">
        <f t="shared" si="11"/>
        <v>81.018950945</v>
      </c>
      <c r="FQ9" s="32">
        <f t="shared" si="11"/>
        <v>71.102798325</v>
      </c>
      <c r="FR9" s="32">
        <f t="shared" si="11"/>
        <v>71.435509348</v>
      </c>
      <c r="FS9" s="32">
        <f t="shared" si="11"/>
        <v>79.52073201500001</v>
      </c>
      <c r="FT9" s="32">
        <f t="shared" si="11"/>
        <v>88.981364919</v>
      </c>
      <c r="FU9" s="32">
        <f t="shared" si="11"/>
        <v>90.129779886</v>
      </c>
      <c r="FV9" s="32">
        <f t="shared" si="11"/>
        <v>90.651687133</v>
      </c>
      <c r="FW9" s="32">
        <f t="shared" si="11"/>
        <v>86.544037521</v>
      </c>
      <c r="FX9" s="32">
        <f t="shared" si="11"/>
        <v>86.367447543</v>
      </c>
      <c r="FY9" s="32">
        <f t="shared" si="11"/>
        <v>75.21855104000001</v>
      </c>
      <c r="FZ9" s="32">
        <f t="shared" si="11"/>
        <v>84.211008045</v>
      </c>
      <c r="GA9" s="32">
        <f t="shared" si="11"/>
        <v>79.78548401799999</v>
      </c>
      <c r="GB9" s="32">
        <f t="shared" si="11"/>
        <v>77.23163556</v>
      </c>
      <c r="GC9" s="32">
        <f t="shared" si="11"/>
        <v>81.17375061</v>
      </c>
      <c r="GD9" s="32">
        <f t="shared" si="11"/>
        <v>81.682035743</v>
      </c>
      <c r="GE9" s="32">
        <f t="shared" si="11"/>
        <v>80.062296557</v>
      </c>
      <c r="GF9" s="32">
        <f t="shared" si="11"/>
        <v>87.056639737</v>
      </c>
      <c r="GG9" s="32">
        <f t="shared" si="11"/>
        <v>84.53910100600001</v>
      </c>
      <c r="GH9" s="32">
        <f t="shared" si="11"/>
        <v>84.78783387200001</v>
      </c>
      <c r="GI9" s="32">
        <f t="shared" si="11"/>
        <v>83.341546205</v>
      </c>
      <c r="GJ9" s="32">
        <f t="shared" si="11"/>
        <v>74.676241601</v>
      </c>
      <c r="GK9" s="32">
        <f t="shared" si="11"/>
        <v>76.7686735</v>
      </c>
      <c r="GL9" s="32">
        <f t="shared" si="11"/>
        <v>74.29389926</v>
      </c>
      <c r="GM9" s="33">
        <f>+GM10+GM11+GM12</f>
        <v>71.73747896500001</v>
      </c>
      <c r="GN9" s="33">
        <f>+GN10+GN11+GN12</f>
        <v>72.89228012</v>
      </c>
      <c r="GO9" s="32">
        <f>+GO10+GO11+GO12</f>
        <v>85.7</v>
      </c>
      <c r="GP9" s="32">
        <f>+GP10+GP11+GP12</f>
        <v>83.3</v>
      </c>
      <c r="GQ9" s="22"/>
    </row>
    <row r="10" spans="1:199" ht="12.75">
      <c r="A10" s="27" t="s">
        <v>17</v>
      </c>
      <c r="B10" s="28" t="s">
        <v>18</v>
      </c>
      <c r="C10" s="29">
        <v>0.057779892000000006</v>
      </c>
      <c r="D10" s="29">
        <v>0.085021515</v>
      </c>
      <c r="E10" s="29">
        <v>0.11080295600000001</v>
      </c>
      <c r="F10" s="29">
        <v>0.07629973200000001</v>
      </c>
      <c r="G10" s="29">
        <v>0.06686892500000001</v>
      </c>
      <c r="H10" s="29">
        <v>0.070481373</v>
      </c>
      <c r="I10" s="29">
        <v>0.08386845100000001</v>
      </c>
      <c r="J10" s="29">
        <v>0.11059157100000001</v>
      </c>
      <c r="K10" s="29">
        <v>0.080603952</v>
      </c>
      <c r="L10" s="29">
        <v>0.07792130700000001</v>
      </c>
      <c r="M10" s="29">
        <v>0.07076744900000001</v>
      </c>
      <c r="N10" s="29">
        <v>0.09636818800000001</v>
      </c>
      <c r="O10" s="29">
        <v>0.071208161</v>
      </c>
      <c r="P10" s="29">
        <v>0.072319407</v>
      </c>
      <c r="Q10" s="29">
        <v>0.07976659200000001</v>
      </c>
      <c r="R10" s="29">
        <v>0.07415853800000001</v>
      </c>
      <c r="S10" s="29">
        <v>0.073209382</v>
      </c>
      <c r="T10" s="29">
        <v>0.07371145700000001</v>
      </c>
      <c r="U10" s="29">
        <v>0.06141042</v>
      </c>
      <c r="V10" s="29">
        <v>0.09881811300000001</v>
      </c>
      <c r="W10" s="29">
        <v>0.059177473</v>
      </c>
      <c r="X10" s="29">
        <v>0.063380434</v>
      </c>
      <c r="Y10" s="29">
        <v>0.050579703000000004</v>
      </c>
      <c r="Z10" s="29">
        <v>0.097451694</v>
      </c>
      <c r="AA10" s="29">
        <v>0.09730975600000001</v>
      </c>
      <c r="AB10" s="29">
        <v>0.058129672</v>
      </c>
      <c r="AC10" s="29">
        <v>0.085244947</v>
      </c>
      <c r="AD10" s="29">
        <v>0.070478239</v>
      </c>
      <c r="AE10" s="29">
        <v>0.064360977</v>
      </c>
      <c r="AF10" s="29">
        <v>0.07198738</v>
      </c>
      <c r="AG10" s="29">
        <v>0.065075704</v>
      </c>
      <c r="AH10" s="29">
        <v>0.13201389100000002</v>
      </c>
      <c r="AI10" s="29">
        <v>0.083073145</v>
      </c>
      <c r="AJ10" s="29">
        <v>0.068826999</v>
      </c>
      <c r="AK10" s="29">
        <v>0.063605486</v>
      </c>
      <c r="AL10" s="29">
        <v>0.092054969</v>
      </c>
      <c r="AM10" s="29">
        <v>0.068106862</v>
      </c>
      <c r="AN10" s="29">
        <v>0.061110827000000006</v>
      </c>
      <c r="AO10" s="29">
        <v>0.105781094</v>
      </c>
      <c r="AP10" s="29">
        <v>0.09619654</v>
      </c>
      <c r="AQ10" s="29">
        <v>0.09667531900000001</v>
      </c>
      <c r="AR10" s="29">
        <v>0.076176164</v>
      </c>
      <c r="AS10" s="29">
        <v>0.070678432</v>
      </c>
      <c r="AT10" s="29">
        <v>0.12628113600000002</v>
      </c>
      <c r="AU10" s="29">
        <v>0.052634994000000004</v>
      </c>
      <c r="AV10" s="29">
        <v>0.041684871000000005</v>
      </c>
      <c r="AW10" s="29">
        <v>0.034262754</v>
      </c>
      <c r="AX10" s="29">
        <v>0.059685853000000004</v>
      </c>
      <c r="AY10" s="29">
        <v>0.045948645</v>
      </c>
      <c r="AZ10" s="29">
        <v>0.061716289</v>
      </c>
      <c r="BA10" s="29">
        <v>0.127522834</v>
      </c>
      <c r="BB10" s="29">
        <v>0.103778861</v>
      </c>
      <c r="BC10" s="29">
        <v>0.07864201800000001</v>
      </c>
      <c r="BD10" s="29">
        <v>0.071789631</v>
      </c>
      <c r="BE10" s="29">
        <v>0.07061914600000001</v>
      </c>
      <c r="BF10" s="29">
        <v>0.160195411</v>
      </c>
      <c r="BG10" s="29">
        <v>0.077333513</v>
      </c>
      <c r="BH10" s="29">
        <v>0.07046295400000001</v>
      </c>
      <c r="BI10" s="29">
        <v>0.065261288</v>
      </c>
      <c r="BJ10" s="29">
        <v>0.075331521</v>
      </c>
      <c r="BK10" s="29">
        <v>0.055703033000000006</v>
      </c>
      <c r="BL10" s="29">
        <v>0.050395797000000006</v>
      </c>
      <c r="BM10" s="29">
        <v>0.093672774</v>
      </c>
      <c r="BN10" s="29">
        <v>0.0627491</v>
      </c>
      <c r="BO10" s="29">
        <v>0.074783165</v>
      </c>
      <c r="BP10" s="29">
        <v>0.076816192</v>
      </c>
      <c r="BQ10" s="29">
        <v>0.09807334200000001</v>
      </c>
      <c r="BR10" s="29">
        <v>0.140289501</v>
      </c>
      <c r="BS10" s="29">
        <v>0.054423253000000005</v>
      </c>
      <c r="BT10" s="29">
        <v>0.042691394</v>
      </c>
      <c r="BU10" s="29">
        <v>0.045378092</v>
      </c>
      <c r="BV10" s="29">
        <v>0.105687393</v>
      </c>
      <c r="BW10" s="29">
        <v>0.040827252</v>
      </c>
      <c r="BX10" s="29">
        <v>0.038126677000000005</v>
      </c>
      <c r="BY10" s="29">
        <v>0.166275836</v>
      </c>
      <c r="BZ10" s="29">
        <v>0.097355172</v>
      </c>
      <c r="CA10" s="29">
        <v>0.079514163</v>
      </c>
      <c r="CB10" s="29">
        <v>0.070436995</v>
      </c>
      <c r="CC10" s="29">
        <v>0.087283157</v>
      </c>
      <c r="CD10" s="29">
        <v>0.069834195</v>
      </c>
      <c r="CE10" s="29">
        <v>0.07031546</v>
      </c>
      <c r="CF10" s="29">
        <v>0.07624710100000001</v>
      </c>
      <c r="CG10" s="29">
        <v>0.044776986000000005</v>
      </c>
      <c r="CH10" s="29">
        <v>0.09126658700000001</v>
      </c>
      <c r="CI10" s="29">
        <v>0.192214043</v>
      </c>
      <c r="CJ10" s="29">
        <v>0.45564594100000005</v>
      </c>
      <c r="CK10" s="29">
        <v>0.462024431</v>
      </c>
      <c r="CL10" s="29">
        <v>0.33754358900000003</v>
      </c>
      <c r="CM10" s="29">
        <v>0.284895496</v>
      </c>
      <c r="CN10" s="29">
        <v>0.24634956600000002</v>
      </c>
      <c r="CO10" s="29">
        <v>0.21457055400000002</v>
      </c>
      <c r="CP10" s="29">
        <v>0.178597641</v>
      </c>
      <c r="CQ10" s="29">
        <v>0.131900749</v>
      </c>
      <c r="CR10" s="29">
        <v>0.10974506</v>
      </c>
      <c r="CS10" s="29">
        <v>0.057408970000000004</v>
      </c>
      <c r="CT10" s="29">
        <v>0.10425941700000001</v>
      </c>
      <c r="CU10" s="29">
        <v>0.100775896</v>
      </c>
      <c r="CV10" s="29">
        <v>0.153432388</v>
      </c>
      <c r="CW10" s="29">
        <v>0.08393879400000001</v>
      </c>
      <c r="CX10" s="29">
        <v>0.075657135</v>
      </c>
      <c r="CY10" s="29">
        <v>0.09103630500000001</v>
      </c>
      <c r="CZ10" s="29">
        <v>0.071741819</v>
      </c>
      <c r="DA10" s="29">
        <v>0.09704932100000001</v>
      </c>
      <c r="DB10" s="29">
        <v>0.06721521300000001</v>
      </c>
      <c r="DC10" s="29">
        <v>0.068426472</v>
      </c>
      <c r="DD10" s="29">
        <v>0.06169961</v>
      </c>
      <c r="DE10" s="29">
        <v>0.036870336000000004</v>
      </c>
      <c r="DF10" s="29">
        <v>0.06831027</v>
      </c>
      <c r="DG10" s="29">
        <v>0.09196299000000001</v>
      </c>
      <c r="DH10" s="29">
        <v>0.09570898500000001</v>
      </c>
      <c r="DI10" s="29">
        <v>0.10694513400000001</v>
      </c>
      <c r="DJ10" s="29">
        <v>0.126396224</v>
      </c>
      <c r="DK10" s="29">
        <v>0.13952720400000002</v>
      </c>
      <c r="DL10" s="29">
        <v>0.14041927</v>
      </c>
      <c r="DM10" s="29">
        <v>0.146907692</v>
      </c>
      <c r="DN10" s="29">
        <v>0.129084438</v>
      </c>
      <c r="DO10" s="29">
        <v>0.09502244700000001</v>
      </c>
      <c r="DP10" s="29">
        <v>0.11601588400000001</v>
      </c>
      <c r="DQ10" s="29">
        <v>0.10245016700000001</v>
      </c>
      <c r="DR10" s="29">
        <v>0.121946388</v>
      </c>
      <c r="DS10" s="29">
        <v>0.10019725</v>
      </c>
      <c r="DT10" s="29">
        <v>0.08954638000000001</v>
      </c>
      <c r="DU10" s="29">
        <v>0.085109505</v>
      </c>
      <c r="DV10" s="29">
        <v>0.08287230500000001</v>
      </c>
      <c r="DW10" s="29">
        <v>0.07017767</v>
      </c>
      <c r="DX10" s="29">
        <v>0.049103921</v>
      </c>
      <c r="DY10" s="29">
        <v>0.127199287</v>
      </c>
      <c r="DZ10" s="29">
        <v>0.077791333</v>
      </c>
      <c r="EA10" s="29">
        <v>0.053399694000000004</v>
      </c>
      <c r="EB10" s="29">
        <v>0.054179424000000004</v>
      </c>
      <c r="EC10" s="29">
        <v>0.042064999000000006</v>
      </c>
      <c r="ED10" s="29">
        <v>0.06561987600000001</v>
      </c>
      <c r="EE10" s="29">
        <v>0.086101984</v>
      </c>
      <c r="EF10" s="29">
        <v>0.078393642</v>
      </c>
      <c r="EG10" s="29">
        <v>0.075087073</v>
      </c>
      <c r="EH10" s="29">
        <v>0.049562133</v>
      </c>
      <c r="EI10" s="29">
        <v>0.045794758000000005</v>
      </c>
      <c r="EJ10" s="29">
        <v>0.042893409</v>
      </c>
      <c r="EK10" s="29">
        <v>0.100230041</v>
      </c>
      <c r="EL10" s="29">
        <v>0.08576552400000001</v>
      </c>
      <c r="EM10" s="29">
        <v>0.098264108</v>
      </c>
      <c r="EN10" s="29">
        <v>0.128064543</v>
      </c>
      <c r="EO10" s="29">
        <v>0.105002943</v>
      </c>
      <c r="EP10" s="29">
        <v>0.17065171</v>
      </c>
      <c r="EQ10" s="29">
        <v>0.18479682700000002</v>
      </c>
      <c r="ER10" s="29">
        <v>0.142642225</v>
      </c>
      <c r="ES10" s="29">
        <v>0.135365642</v>
      </c>
      <c r="ET10" s="29">
        <v>0.167940407</v>
      </c>
      <c r="EU10" s="29">
        <v>0.161989781</v>
      </c>
      <c r="EV10" s="29">
        <v>0.18093093300000002</v>
      </c>
      <c r="EW10" s="29">
        <v>0.21595154600000002</v>
      </c>
      <c r="EX10" s="29">
        <v>0.19981646900000002</v>
      </c>
      <c r="EY10" s="29">
        <v>0.21032983900000002</v>
      </c>
      <c r="EZ10" s="29">
        <v>0.215658116</v>
      </c>
      <c r="FA10" s="29">
        <v>0.20728675200000002</v>
      </c>
      <c r="FB10" s="29">
        <v>0.21306733200000003</v>
      </c>
      <c r="FC10" s="29">
        <v>0.171015094</v>
      </c>
      <c r="FD10" s="29">
        <v>0.200633055</v>
      </c>
      <c r="FE10" s="29">
        <v>0.184156918</v>
      </c>
      <c r="FF10" s="29">
        <v>0.185944412</v>
      </c>
      <c r="FG10" s="29">
        <v>0.182715228</v>
      </c>
      <c r="FH10" s="29">
        <v>0.256270832</v>
      </c>
      <c r="FI10" s="29">
        <v>0.26822218200000003</v>
      </c>
      <c r="FJ10" s="29">
        <v>0.21021462</v>
      </c>
      <c r="FK10" s="29">
        <v>0.15336628700000002</v>
      </c>
      <c r="FL10" s="29">
        <v>0.143609265</v>
      </c>
      <c r="FM10" s="29">
        <v>0.13736505200000002</v>
      </c>
      <c r="FN10" s="29">
        <v>0.15364271200000001</v>
      </c>
      <c r="FO10" s="29">
        <v>0.207673189</v>
      </c>
      <c r="FP10" s="29">
        <v>0.187950945</v>
      </c>
      <c r="FQ10" s="29">
        <v>0.19779832500000002</v>
      </c>
      <c r="FR10" s="29">
        <v>0.143509348</v>
      </c>
      <c r="FS10" s="29">
        <v>0.159732015</v>
      </c>
      <c r="FT10" s="29">
        <v>0.16036491900000002</v>
      </c>
      <c r="FU10" s="29">
        <v>0.183779886</v>
      </c>
      <c r="FV10" s="29">
        <v>0.19768713300000001</v>
      </c>
      <c r="FW10" s="29">
        <v>0.16903752100000002</v>
      </c>
      <c r="FX10" s="29">
        <v>0.174447543</v>
      </c>
      <c r="FY10" s="29">
        <v>0.15855104</v>
      </c>
      <c r="FZ10" s="29">
        <v>0.183008045</v>
      </c>
      <c r="GA10" s="29">
        <v>0.17648401800000002</v>
      </c>
      <c r="GB10" s="29">
        <v>0.22063556</v>
      </c>
      <c r="GC10" s="29">
        <v>0.21575061</v>
      </c>
      <c r="GD10" s="29">
        <v>0.17503574300000002</v>
      </c>
      <c r="GE10" s="29">
        <v>0.149296557</v>
      </c>
      <c r="GF10" s="29">
        <v>0.20263973700000001</v>
      </c>
      <c r="GG10" s="29">
        <v>0.154101006</v>
      </c>
      <c r="GH10" s="29">
        <v>0.147833872</v>
      </c>
      <c r="GI10" s="29">
        <v>0.133546205</v>
      </c>
      <c r="GJ10" s="29">
        <v>0.131241601</v>
      </c>
      <c r="GK10" s="29">
        <v>0.1136735</v>
      </c>
      <c r="GL10" s="29">
        <v>0.15889926000000001</v>
      </c>
      <c r="GM10" s="26">
        <v>0.17947896500000002</v>
      </c>
      <c r="GN10" s="26">
        <v>0.17828012000000001</v>
      </c>
      <c r="GO10" s="29">
        <v>0.2</v>
      </c>
      <c r="GP10" s="29">
        <v>0.2</v>
      </c>
      <c r="GQ10" s="22"/>
    </row>
    <row r="11" spans="1:199" ht="12.75">
      <c r="A11" s="27" t="s">
        <v>19</v>
      </c>
      <c r="B11" s="28" t="s">
        <v>20</v>
      </c>
      <c r="C11" s="29">
        <v>9.60175159199554</v>
      </c>
      <c r="D11" s="29">
        <v>9.05249969279689</v>
      </c>
      <c r="E11" s="29">
        <v>9.00692948080114</v>
      </c>
      <c r="F11" s="29">
        <v>10.7122495701531</v>
      </c>
      <c r="G11" s="29">
        <v>11.4849743280799</v>
      </c>
      <c r="H11" s="29">
        <v>10.7027933148245</v>
      </c>
      <c r="I11" s="29">
        <v>9.77647435903763</v>
      </c>
      <c r="J11" s="29">
        <v>12.0304583986278</v>
      </c>
      <c r="K11" s="29">
        <v>13.1269552432202</v>
      </c>
      <c r="L11" s="29">
        <v>12.1524000723992</v>
      </c>
      <c r="M11" s="29">
        <v>11.4956461513581</v>
      </c>
      <c r="N11" s="29">
        <v>9.91592948080114</v>
      </c>
      <c r="O11" s="29">
        <v>9.8913384073909</v>
      </c>
      <c r="P11" s="29">
        <v>10.3068794562724</v>
      </c>
      <c r="Q11" s="29">
        <v>10.9815876107996</v>
      </c>
      <c r="R11" s="29">
        <v>9.5763563586855</v>
      </c>
      <c r="S11" s="29">
        <v>11.1308363855484</v>
      </c>
      <c r="T11" s="29">
        <v>10.4095010406919</v>
      </c>
      <c r="U11" s="29">
        <v>9.90927269869767</v>
      </c>
      <c r="V11" s="29">
        <v>11.3007139128515</v>
      </c>
      <c r="W11" s="29">
        <v>10.4939599918104</v>
      </c>
      <c r="X11" s="29">
        <v>10.58797659521</v>
      </c>
      <c r="Y11" s="29">
        <v>10.6244828750674</v>
      </c>
      <c r="Z11" s="29">
        <v>9.97034088885095</v>
      </c>
      <c r="AA11" s="29">
        <v>11.2666986573469</v>
      </c>
      <c r="AB11" s="29">
        <v>10.9299126630716</v>
      </c>
      <c r="AC11" s="29">
        <v>11.360693051437</v>
      </c>
      <c r="AD11" s="29">
        <v>10.9555205542114</v>
      </c>
      <c r="AE11" s="29">
        <v>11.8586042141992</v>
      </c>
      <c r="AF11" s="29">
        <v>12.0223009425768</v>
      </c>
      <c r="AG11" s="29">
        <v>13.0214413665683</v>
      </c>
      <c r="AH11" s="29">
        <v>15.9381048881467</v>
      </c>
      <c r="AI11" s="29">
        <v>13.8639895835845</v>
      </c>
      <c r="AJ11" s="29">
        <v>13.69737204285</v>
      </c>
      <c r="AK11" s="29">
        <v>14.6807643660401</v>
      </c>
      <c r="AL11" s="29">
        <v>12.7963494048807</v>
      </c>
      <c r="AM11" s="29">
        <v>14.749449882598</v>
      </c>
      <c r="AN11" s="29">
        <v>15.9120550779478</v>
      </c>
      <c r="AO11" s="29">
        <v>19.5418029025038</v>
      </c>
      <c r="AP11" s="29">
        <v>18.0228581042826</v>
      </c>
      <c r="AQ11" s="29">
        <v>18.3971557699951</v>
      </c>
      <c r="AR11" s="29">
        <v>19.1140835361569</v>
      </c>
      <c r="AS11" s="29">
        <v>22.8473542439698</v>
      </c>
      <c r="AT11" s="29">
        <v>19.8278652724173</v>
      </c>
      <c r="AU11" s="29">
        <v>24.6794022156984</v>
      </c>
      <c r="AV11" s="29">
        <v>23.6581225012804</v>
      </c>
      <c r="AW11" s="29">
        <v>18.9007537972102</v>
      </c>
      <c r="AX11" s="29">
        <v>19.0929460222853</v>
      </c>
      <c r="AY11" s="29">
        <v>17.941280938482</v>
      </c>
      <c r="AZ11" s="29">
        <v>18.9154689055422</v>
      </c>
      <c r="BA11" s="29">
        <v>20.1881373281252</v>
      </c>
      <c r="BB11" s="29">
        <v>22.4976007515886</v>
      </c>
      <c r="BC11" s="29">
        <v>24.3916445891332</v>
      </c>
      <c r="BD11" s="29">
        <v>31.317755573765</v>
      </c>
      <c r="BE11" s="29">
        <v>26.9163475044949</v>
      </c>
      <c r="BF11" s="29">
        <v>29.0674757355161</v>
      </c>
      <c r="BG11" s="29">
        <v>28.7760751106262</v>
      </c>
      <c r="BH11" s="29">
        <v>28.0947814885986</v>
      </c>
      <c r="BI11" s="29">
        <v>27.0097355077548</v>
      </c>
      <c r="BJ11" s="29">
        <v>27.2458187390828</v>
      </c>
      <c r="BK11" s="29">
        <v>26.4286864024611</v>
      </c>
      <c r="BL11" s="29">
        <v>23.2024796267866</v>
      </c>
      <c r="BM11" s="29">
        <v>23.5785242597355</v>
      </c>
      <c r="BN11" s="29">
        <v>23.1272196402181</v>
      </c>
      <c r="BO11" s="29">
        <v>23.9167593412046</v>
      </c>
      <c r="BP11" s="29">
        <v>26.9142175874179</v>
      </c>
      <c r="BQ11" s="29">
        <v>28.9041623856391</v>
      </c>
      <c r="BR11" s="29">
        <v>27.9750383507173</v>
      </c>
      <c r="BS11" s="29">
        <v>29.1720109641578</v>
      </c>
      <c r="BT11" s="29">
        <v>30.3983088442003</v>
      </c>
      <c r="BU11" s="29">
        <v>26.2144899193712</v>
      </c>
      <c r="BV11" s="29">
        <v>30.7951751596837</v>
      </c>
      <c r="BW11" s="29">
        <v>32.0999113437602</v>
      </c>
      <c r="BX11" s="29">
        <v>31.7382920264708</v>
      </c>
      <c r="BY11" s="29">
        <v>33.8585748653385</v>
      </c>
      <c r="BZ11" s="29">
        <v>33.6282505179717</v>
      </c>
      <c r="CA11" s="29">
        <v>39.7464519020663</v>
      </c>
      <c r="CB11" s="29">
        <v>38.7005409536341</v>
      </c>
      <c r="CC11" s="29">
        <v>41.4450292821968</v>
      </c>
      <c r="CD11" s="29">
        <v>43.1024067785422</v>
      </c>
      <c r="CE11" s="29">
        <v>41.6099559147935</v>
      </c>
      <c r="CF11" s="29">
        <v>40.3683980481825</v>
      </c>
      <c r="CG11" s="29">
        <v>40.7804334601964</v>
      </c>
      <c r="CH11" s="29">
        <v>39.7893971289474</v>
      </c>
      <c r="CI11" s="29">
        <v>40.8329525140984</v>
      </c>
      <c r="CJ11" s="29">
        <v>41.7987371604787</v>
      </c>
      <c r="CK11" s="29">
        <v>47.2982182589912</v>
      </c>
      <c r="CL11" s="29">
        <v>49.0485215306136</v>
      </c>
      <c r="CM11" s="29">
        <v>57.8649956753213</v>
      </c>
      <c r="CN11" s="29">
        <v>58.5977186566933</v>
      </c>
      <c r="CO11" s="29">
        <v>63.6734026729418</v>
      </c>
      <c r="CP11" s="29">
        <v>57.4403485428126</v>
      </c>
      <c r="CQ11" s="29">
        <v>59.2714385136155</v>
      </c>
      <c r="CR11" s="29">
        <v>60.467411341386</v>
      </c>
      <c r="CS11" s="29">
        <v>55.0077324118885</v>
      </c>
      <c r="CT11" s="29">
        <v>52.1625702691628</v>
      </c>
      <c r="CU11" s="29">
        <v>50.5213008473294</v>
      </c>
      <c r="CV11" s="29">
        <v>52.3929096577044</v>
      </c>
      <c r="CW11" s="29">
        <v>54.1580112689868</v>
      </c>
      <c r="CX11" s="29">
        <v>50.9103636459028</v>
      </c>
      <c r="CY11" s="29">
        <v>53.7226066004119</v>
      </c>
      <c r="CZ11" s="29">
        <v>39.0735911639092</v>
      </c>
      <c r="DA11" s="29">
        <v>34.3556247993683</v>
      </c>
      <c r="DB11" s="29">
        <v>53.801738660788104</v>
      </c>
      <c r="DC11" s="29">
        <v>50.3337087022696</v>
      </c>
      <c r="DD11" s="29">
        <v>48.7356041808673</v>
      </c>
      <c r="DE11" s="29">
        <v>46.3533159504196</v>
      </c>
      <c r="DF11" s="29">
        <v>46.8693172983146</v>
      </c>
      <c r="DG11" s="29">
        <v>50.1885265554491</v>
      </c>
      <c r="DH11" s="29">
        <v>54.3192090999717</v>
      </c>
      <c r="DI11" s="29">
        <v>47.3142309425368</v>
      </c>
      <c r="DJ11" s="29">
        <v>49.1938966693298</v>
      </c>
      <c r="DK11" s="29">
        <v>48.5717695099582</v>
      </c>
      <c r="DL11" s="29">
        <v>51.2225146387242</v>
      </c>
      <c r="DM11" s="29">
        <v>51.8988551608308</v>
      </c>
      <c r="DN11" s="29">
        <v>51.2016254709416</v>
      </c>
      <c r="DO11" s="29">
        <v>47.146060007536</v>
      </c>
      <c r="DP11" s="29">
        <v>51.6407268678941</v>
      </c>
      <c r="DQ11" s="29">
        <v>52.6785350095634</v>
      </c>
      <c r="DR11" s="29">
        <v>48.5007977538374</v>
      </c>
      <c r="DS11" s="29">
        <v>56.2891772410675</v>
      </c>
      <c r="DT11" s="29">
        <v>53.3845399724835</v>
      </c>
      <c r="DU11" s="29">
        <v>53.4432741656752</v>
      </c>
      <c r="DV11" s="29">
        <v>52.1079778478576</v>
      </c>
      <c r="DW11" s="29">
        <v>53.2336537148207</v>
      </c>
      <c r="DX11" s="29">
        <v>56.3457510680883</v>
      </c>
      <c r="DY11" s="29">
        <v>61.1653970670319</v>
      </c>
      <c r="DZ11" s="29">
        <v>62.1378936972945</v>
      </c>
      <c r="EA11" s="29">
        <v>60.7533360450134</v>
      </c>
      <c r="EB11" s="29">
        <v>62.1367920240966</v>
      </c>
      <c r="EC11" s="29">
        <v>61.162982043957</v>
      </c>
      <c r="ED11" s="29">
        <v>59.3008604904953</v>
      </c>
      <c r="EE11" s="29">
        <v>58.3937517110781</v>
      </c>
      <c r="EF11" s="29">
        <v>62.5187808122769</v>
      </c>
      <c r="EG11" s="29">
        <v>65.6793341446277</v>
      </c>
      <c r="EH11" s="29">
        <v>66.3607957915361</v>
      </c>
      <c r="EI11" s="29">
        <v>70.0969963183111</v>
      </c>
      <c r="EJ11" s="29">
        <v>79.1417488295417</v>
      </c>
      <c r="EK11" s="29">
        <v>93.6856014184135</v>
      </c>
      <c r="EL11" s="29">
        <v>88.2767449859043</v>
      </c>
      <c r="EM11" s="29">
        <v>84.1874040113214</v>
      </c>
      <c r="EN11" s="29">
        <v>80.7008284077457</v>
      </c>
      <c r="EO11" s="29">
        <v>81.3508022833492</v>
      </c>
      <c r="EP11" s="29">
        <v>79.4485961506645</v>
      </c>
      <c r="EQ11" s="29">
        <v>82.1492134484856</v>
      </c>
      <c r="ER11" s="29">
        <v>86.0169798387424</v>
      </c>
      <c r="ES11" s="29">
        <v>78.3054708011796</v>
      </c>
      <c r="ET11" s="29">
        <v>68.8425975938068</v>
      </c>
      <c r="EU11" s="29">
        <v>70.8783992722466</v>
      </c>
      <c r="EV11" s="29">
        <v>75.8432571621993</v>
      </c>
      <c r="EW11" s="29">
        <v>74.2012787904344</v>
      </c>
      <c r="EX11" s="29">
        <v>85.1752235267402</v>
      </c>
      <c r="EY11" s="29">
        <v>80.7389474273473</v>
      </c>
      <c r="EZ11" s="29">
        <v>86.7072255795404</v>
      </c>
      <c r="FA11" s="29">
        <v>72.8551534695331</v>
      </c>
      <c r="FB11" s="29">
        <v>79.7784754878543</v>
      </c>
      <c r="FC11" s="29">
        <v>71.8325642965086</v>
      </c>
      <c r="FD11" s="29">
        <v>77.6558044933123</v>
      </c>
      <c r="FE11" s="29">
        <v>78.9614731302252</v>
      </c>
      <c r="FF11" s="29">
        <v>84.7093063913238</v>
      </c>
      <c r="FG11" s="29">
        <v>85.4068508409005</v>
      </c>
      <c r="FH11" s="29">
        <v>90.5534838514696</v>
      </c>
      <c r="FI11" s="29">
        <v>89.8642187495665</v>
      </c>
      <c r="FJ11" s="29">
        <v>86.5140363884161</v>
      </c>
      <c r="FK11" s="29">
        <v>87.0162386917458</v>
      </c>
      <c r="FL11" s="29">
        <v>83.4370078682916</v>
      </c>
      <c r="FM11" s="29">
        <v>80.7249561291235</v>
      </c>
      <c r="FN11" s="29">
        <v>78.1557780259879</v>
      </c>
      <c r="FO11" s="29">
        <v>74.486</v>
      </c>
      <c r="FP11" s="29">
        <v>80.831</v>
      </c>
      <c r="FQ11" s="29">
        <v>70.905</v>
      </c>
      <c r="FR11" s="29">
        <v>71.292</v>
      </c>
      <c r="FS11" s="29">
        <v>79.361</v>
      </c>
      <c r="FT11" s="29">
        <v>88.821</v>
      </c>
      <c r="FU11" s="29">
        <v>89.946</v>
      </c>
      <c r="FV11" s="29">
        <v>90.454</v>
      </c>
      <c r="FW11" s="29">
        <v>86.375</v>
      </c>
      <c r="FX11" s="29">
        <v>86.193</v>
      </c>
      <c r="FY11" s="29">
        <v>75.06</v>
      </c>
      <c r="FZ11" s="29">
        <v>84.028</v>
      </c>
      <c r="GA11" s="29">
        <v>79.609</v>
      </c>
      <c r="GB11" s="29">
        <v>77.011</v>
      </c>
      <c r="GC11" s="29">
        <v>80.958</v>
      </c>
      <c r="GD11" s="29">
        <v>81.507</v>
      </c>
      <c r="GE11" s="29">
        <v>79.913</v>
      </c>
      <c r="GF11" s="29">
        <v>86.854</v>
      </c>
      <c r="GG11" s="29">
        <v>84.385</v>
      </c>
      <c r="GH11" s="29">
        <v>84.64</v>
      </c>
      <c r="GI11" s="29">
        <v>83.208</v>
      </c>
      <c r="GJ11" s="29">
        <v>74.545</v>
      </c>
      <c r="GK11" s="29">
        <v>76.655</v>
      </c>
      <c r="GL11" s="29">
        <v>74.135</v>
      </c>
      <c r="GM11" s="26">
        <v>71.558</v>
      </c>
      <c r="GN11" s="26">
        <v>72.714</v>
      </c>
      <c r="GO11" s="29">
        <v>85.5</v>
      </c>
      <c r="GP11" s="29">
        <v>83.1</v>
      </c>
      <c r="GQ11" s="22"/>
    </row>
    <row r="12" spans="1:199" ht="12.75">
      <c r="A12" s="27" t="s">
        <v>21</v>
      </c>
      <c r="B12" s="28" t="s">
        <v>22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29">
        <v>0</v>
      </c>
      <c r="BV12" s="29">
        <v>0</v>
      </c>
      <c r="BW12" s="29">
        <v>0</v>
      </c>
      <c r="BX12" s="29">
        <v>0</v>
      </c>
      <c r="BY12" s="29">
        <v>0</v>
      </c>
      <c r="BZ12" s="29">
        <v>0</v>
      </c>
      <c r="CA12" s="29">
        <v>0</v>
      </c>
      <c r="CB12" s="29">
        <v>0</v>
      </c>
      <c r="CC12" s="29">
        <v>0</v>
      </c>
      <c r="CD12" s="29">
        <v>0</v>
      </c>
      <c r="CE12" s="29">
        <v>0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29">
        <v>0</v>
      </c>
      <c r="CU12" s="29">
        <v>0</v>
      </c>
      <c r="CV12" s="29">
        <v>0</v>
      </c>
      <c r="CW12" s="29">
        <v>0</v>
      </c>
      <c r="CX12" s="29">
        <v>0</v>
      </c>
      <c r="CY12" s="29">
        <v>0</v>
      </c>
      <c r="CZ12" s="29">
        <v>0</v>
      </c>
      <c r="DA12" s="29">
        <v>0</v>
      </c>
      <c r="DB12" s="29">
        <v>0</v>
      </c>
      <c r="DC12" s="29">
        <v>0</v>
      </c>
      <c r="DD12" s="29">
        <v>0</v>
      </c>
      <c r="DE12" s="29">
        <v>0</v>
      </c>
      <c r="DF12" s="29">
        <v>0</v>
      </c>
      <c r="DG12" s="29">
        <v>0</v>
      </c>
      <c r="DH12" s="29">
        <v>0</v>
      </c>
      <c r="DI12" s="29">
        <v>0</v>
      </c>
      <c r="DJ12" s="29">
        <v>0</v>
      </c>
      <c r="DK12" s="29">
        <v>0</v>
      </c>
      <c r="DL12" s="29">
        <v>0</v>
      </c>
      <c r="DM12" s="29">
        <v>0</v>
      </c>
      <c r="DN12" s="29">
        <v>0</v>
      </c>
      <c r="DO12" s="29">
        <v>0</v>
      </c>
      <c r="DP12" s="29">
        <v>0</v>
      </c>
      <c r="DQ12" s="29">
        <v>0</v>
      </c>
      <c r="DR12" s="29">
        <v>0</v>
      </c>
      <c r="DS12" s="29">
        <v>0</v>
      </c>
      <c r="DT12" s="29">
        <v>0</v>
      </c>
      <c r="DU12" s="29">
        <v>0</v>
      </c>
      <c r="DV12" s="29">
        <v>0</v>
      </c>
      <c r="DW12" s="29">
        <v>0</v>
      </c>
      <c r="DX12" s="29">
        <v>0</v>
      </c>
      <c r="DY12" s="29">
        <v>0</v>
      </c>
      <c r="DZ12" s="29">
        <v>0</v>
      </c>
      <c r="EA12" s="29">
        <v>0</v>
      </c>
      <c r="EB12" s="29">
        <v>0</v>
      </c>
      <c r="EC12" s="29">
        <v>0</v>
      </c>
      <c r="ED12" s="29">
        <v>0</v>
      </c>
      <c r="EE12" s="29">
        <v>0</v>
      </c>
      <c r="EF12" s="29">
        <v>0</v>
      </c>
      <c r="EG12" s="29">
        <v>0</v>
      </c>
      <c r="EH12" s="29">
        <v>0</v>
      </c>
      <c r="EI12" s="29">
        <v>0</v>
      </c>
      <c r="EJ12" s="29">
        <v>0</v>
      </c>
      <c r="EK12" s="29">
        <v>0</v>
      </c>
      <c r="EL12" s="29">
        <v>0</v>
      </c>
      <c r="EM12" s="29">
        <v>0</v>
      </c>
      <c r="EN12" s="29">
        <v>0</v>
      </c>
      <c r="EO12" s="29">
        <v>0</v>
      </c>
      <c r="EP12" s="29">
        <v>0</v>
      </c>
      <c r="EQ12" s="29">
        <v>0</v>
      </c>
      <c r="ER12" s="29">
        <v>0</v>
      </c>
      <c r="ES12" s="29">
        <v>0</v>
      </c>
      <c r="ET12" s="29">
        <v>0</v>
      </c>
      <c r="EU12" s="29">
        <v>0</v>
      </c>
      <c r="EV12" s="29">
        <v>0</v>
      </c>
      <c r="EW12" s="29">
        <v>0</v>
      </c>
      <c r="EX12" s="29">
        <v>0</v>
      </c>
      <c r="EY12" s="29">
        <v>0</v>
      </c>
      <c r="EZ12" s="29">
        <v>0</v>
      </c>
      <c r="FA12" s="29">
        <v>0</v>
      </c>
      <c r="FB12" s="29">
        <v>0</v>
      </c>
      <c r="FC12" s="29">
        <v>0</v>
      </c>
      <c r="FD12" s="29">
        <v>0</v>
      </c>
      <c r="FE12" s="29">
        <v>0</v>
      </c>
      <c r="FF12" s="29">
        <v>0</v>
      </c>
      <c r="FG12" s="29">
        <v>0</v>
      </c>
      <c r="FH12" s="29">
        <v>0</v>
      </c>
      <c r="FI12" s="29">
        <v>0</v>
      </c>
      <c r="FJ12" s="29">
        <v>0</v>
      </c>
      <c r="FK12" s="29">
        <v>0</v>
      </c>
      <c r="FL12" s="29">
        <v>0</v>
      </c>
      <c r="FM12" s="29">
        <v>0</v>
      </c>
      <c r="FN12" s="29">
        <v>0</v>
      </c>
      <c r="FO12" s="29">
        <v>0</v>
      </c>
      <c r="FP12" s="29">
        <v>0</v>
      </c>
      <c r="FQ12" s="29">
        <v>0</v>
      </c>
      <c r="FR12" s="29">
        <v>0</v>
      </c>
      <c r="FS12" s="29">
        <v>0</v>
      </c>
      <c r="FT12" s="29">
        <v>0</v>
      </c>
      <c r="FU12" s="29">
        <v>0</v>
      </c>
      <c r="FV12" s="29">
        <v>0</v>
      </c>
      <c r="FW12" s="29">
        <v>0</v>
      </c>
      <c r="FX12" s="29">
        <v>0</v>
      </c>
      <c r="FY12" s="29">
        <v>0</v>
      </c>
      <c r="FZ12" s="29">
        <v>0</v>
      </c>
      <c r="GA12" s="29">
        <v>0</v>
      </c>
      <c r="GB12" s="29">
        <v>0</v>
      </c>
      <c r="GC12" s="29">
        <v>0</v>
      </c>
      <c r="GD12" s="29">
        <v>0</v>
      </c>
      <c r="GE12" s="29">
        <v>0</v>
      </c>
      <c r="GF12" s="29">
        <v>0</v>
      </c>
      <c r="GG12" s="29">
        <v>0</v>
      </c>
      <c r="GH12" s="29">
        <v>0</v>
      </c>
      <c r="GI12" s="29">
        <v>0</v>
      </c>
      <c r="GJ12" s="29">
        <v>0</v>
      </c>
      <c r="GK12" s="29">
        <v>0</v>
      </c>
      <c r="GL12" s="29">
        <v>0</v>
      </c>
      <c r="GM12" s="26">
        <v>0</v>
      </c>
      <c r="GN12" s="26">
        <v>0</v>
      </c>
      <c r="GO12" s="29">
        <v>0</v>
      </c>
      <c r="GP12" s="29">
        <v>0</v>
      </c>
      <c r="GQ12" s="22"/>
    </row>
    <row r="13" spans="1:199" ht="12.75">
      <c r="A13" s="34" t="s">
        <v>23</v>
      </c>
      <c r="B13" s="35" t="s">
        <v>24</v>
      </c>
      <c r="C13" s="36">
        <f aca="true" t="shared" si="12" ref="C13:AH13">+C5+C9</f>
        <v>30.87473148399554</v>
      </c>
      <c r="D13" s="36">
        <f t="shared" si="12"/>
        <v>30.02592120779689</v>
      </c>
      <c r="E13" s="36">
        <f t="shared" si="12"/>
        <v>29.79683243680114</v>
      </c>
      <c r="F13" s="36">
        <f t="shared" si="12"/>
        <v>31.3079493021531</v>
      </c>
      <c r="G13" s="36">
        <f t="shared" si="12"/>
        <v>31.480843253079897</v>
      </c>
      <c r="H13" s="36">
        <f t="shared" si="12"/>
        <v>36.6241746878245</v>
      </c>
      <c r="I13" s="36">
        <f t="shared" si="12"/>
        <v>37.66224281003763</v>
      </c>
      <c r="J13" s="36">
        <f t="shared" si="12"/>
        <v>39.5793499696278</v>
      </c>
      <c r="K13" s="36">
        <f t="shared" si="12"/>
        <v>38.9746591952202</v>
      </c>
      <c r="L13" s="36">
        <f t="shared" si="12"/>
        <v>40.9216213793992</v>
      </c>
      <c r="M13" s="36">
        <f t="shared" si="12"/>
        <v>40.809613600358105</v>
      </c>
      <c r="N13" s="36">
        <f t="shared" si="12"/>
        <v>42.58259766880114</v>
      </c>
      <c r="O13" s="36">
        <f t="shared" si="12"/>
        <v>40.5739465683909</v>
      </c>
      <c r="P13" s="36">
        <f t="shared" si="12"/>
        <v>38.1636988632724</v>
      </c>
      <c r="Q13" s="36">
        <f t="shared" si="12"/>
        <v>40.0807542027996</v>
      </c>
      <c r="R13" s="36">
        <f t="shared" si="12"/>
        <v>43.5405148966855</v>
      </c>
      <c r="S13" s="36">
        <f t="shared" si="12"/>
        <v>58.5429457675484</v>
      </c>
      <c r="T13" s="36">
        <f t="shared" si="12"/>
        <v>57.2424124976919</v>
      </c>
      <c r="U13" s="36">
        <f t="shared" si="12"/>
        <v>59.24528311869767</v>
      </c>
      <c r="V13" s="36">
        <f t="shared" si="12"/>
        <v>55.5608320258515</v>
      </c>
      <c r="W13" s="36">
        <f t="shared" si="12"/>
        <v>48.9632374648104</v>
      </c>
      <c r="X13" s="36">
        <f t="shared" si="12"/>
        <v>50.452857029209994</v>
      </c>
      <c r="Y13" s="36">
        <f t="shared" si="12"/>
        <v>48.8524625780674</v>
      </c>
      <c r="Z13" s="36">
        <f t="shared" si="12"/>
        <v>50.61149258285095</v>
      </c>
      <c r="AA13" s="36">
        <f t="shared" si="12"/>
        <v>48.817208413346904</v>
      </c>
      <c r="AB13" s="36">
        <f t="shared" si="12"/>
        <v>49.624342335071596</v>
      </c>
      <c r="AC13" s="36">
        <f t="shared" si="12"/>
        <v>50.382537998437</v>
      </c>
      <c r="AD13" s="36">
        <f t="shared" si="12"/>
        <v>48.1001987932114</v>
      </c>
      <c r="AE13" s="36">
        <f t="shared" si="12"/>
        <v>51.6457651911992</v>
      </c>
      <c r="AF13" s="36">
        <f t="shared" si="12"/>
        <v>52.5129883225768</v>
      </c>
      <c r="AG13" s="36">
        <f t="shared" si="12"/>
        <v>54.3836170705683</v>
      </c>
      <c r="AH13" s="36">
        <f t="shared" si="12"/>
        <v>58.3244187791467</v>
      </c>
      <c r="AI13" s="36">
        <f aca="true" t="shared" si="13" ref="AI13:BN13">+AI5+AI9</f>
        <v>53.495362728584496</v>
      </c>
      <c r="AJ13" s="36">
        <f t="shared" si="13"/>
        <v>51.41529904185</v>
      </c>
      <c r="AK13" s="36">
        <f t="shared" si="13"/>
        <v>52.1721698520401</v>
      </c>
      <c r="AL13" s="36">
        <f t="shared" si="13"/>
        <v>52.5673043738807</v>
      </c>
      <c r="AM13" s="36">
        <f t="shared" si="13"/>
        <v>54.225356744598</v>
      </c>
      <c r="AN13" s="36">
        <f t="shared" si="13"/>
        <v>53.754565904947796</v>
      </c>
      <c r="AO13" s="36">
        <f t="shared" si="13"/>
        <v>54.444183996503796</v>
      </c>
      <c r="AP13" s="36">
        <f t="shared" si="13"/>
        <v>52.902354644282596</v>
      </c>
      <c r="AQ13" s="36">
        <f t="shared" si="13"/>
        <v>54.3652310889951</v>
      </c>
      <c r="AR13" s="36">
        <f t="shared" si="13"/>
        <v>57.9115597001569</v>
      </c>
      <c r="AS13" s="36">
        <f t="shared" si="13"/>
        <v>56.98513267596981</v>
      </c>
      <c r="AT13" s="36">
        <f t="shared" si="13"/>
        <v>62.150446408417295</v>
      </c>
      <c r="AU13" s="36">
        <f t="shared" si="13"/>
        <v>65.9042372096984</v>
      </c>
      <c r="AV13" s="36">
        <f t="shared" si="13"/>
        <v>62.873607372280404</v>
      </c>
      <c r="AW13" s="36">
        <f t="shared" si="13"/>
        <v>59.563816551210195</v>
      </c>
      <c r="AX13" s="36">
        <f t="shared" si="13"/>
        <v>62.6049318752853</v>
      </c>
      <c r="AY13" s="36">
        <f t="shared" si="13"/>
        <v>63.410329583481996</v>
      </c>
      <c r="AZ13" s="36">
        <f t="shared" si="13"/>
        <v>65.57448519454219</v>
      </c>
      <c r="BA13" s="36">
        <f t="shared" si="13"/>
        <v>66.1572601621252</v>
      </c>
      <c r="BB13" s="36">
        <f t="shared" si="13"/>
        <v>72.3077796125886</v>
      </c>
      <c r="BC13" s="36">
        <f t="shared" si="13"/>
        <v>86.1943866071332</v>
      </c>
      <c r="BD13" s="36">
        <f t="shared" si="13"/>
        <v>99.478445204765</v>
      </c>
      <c r="BE13" s="36">
        <f t="shared" si="13"/>
        <v>92.56156665049491</v>
      </c>
      <c r="BF13" s="36">
        <f t="shared" si="13"/>
        <v>91.9344711465161</v>
      </c>
      <c r="BG13" s="36">
        <f t="shared" si="13"/>
        <v>87.1597086236262</v>
      </c>
      <c r="BH13" s="36">
        <f t="shared" si="13"/>
        <v>81.7558444425986</v>
      </c>
      <c r="BI13" s="36">
        <f t="shared" si="13"/>
        <v>80.7304967957548</v>
      </c>
      <c r="BJ13" s="36">
        <f t="shared" si="13"/>
        <v>81.5205502600828</v>
      </c>
      <c r="BK13" s="36">
        <f t="shared" si="13"/>
        <v>77.4900894354611</v>
      </c>
      <c r="BL13" s="36">
        <f t="shared" si="13"/>
        <v>71.5599754237866</v>
      </c>
      <c r="BM13" s="36">
        <f t="shared" si="13"/>
        <v>69.8922970337355</v>
      </c>
      <c r="BN13" s="36">
        <f t="shared" si="13"/>
        <v>68.5430687402181</v>
      </c>
      <c r="BO13" s="36">
        <f aca="true" t="shared" si="14" ref="BO13:CT13">+BO5+BO9</f>
        <v>76.0427425062046</v>
      </c>
      <c r="BP13" s="36">
        <f t="shared" si="14"/>
        <v>88.5409337794179</v>
      </c>
      <c r="BQ13" s="36">
        <f t="shared" si="14"/>
        <v>90.9173357276391</v>
      </c>
      <c r="BR13" s="36">
        <f t="shared" si="14"/>
        <v>85.0548278517173</v>
      </c>
      <c r="BS13" s="36">
        <f t="shared" si="14"/>
        <v>85.1453342171578</v>
      </c>
      <c r="BT13" s="36">
        <f t="shared" si="14"/>
        <v>81.9198002382003</v>
      </c>
      <c r="BU13" s="36">
        <f t="shared" si="14"/>
        <v>79.4926680113712</v>
      </c>
      <c r="BV13" s="36">
        <f t="shared" si="14"/>
        <v>88.0981625526837</v>
      </c>
      <c r="BW13" s="36">
        <f t="shared" si="14"/>
        <v>90.48263859576019</v>
      </c>
      <c r="BX13" s="36">
        <f t="shared" si="14"/>
        <v>89.5632187034708</v>
      </c>
      <c r="BY13" s="36">
        <f t="shared" si="14"/>
        <v>88.80625070133848</v>
      </c>
      <c r="BZ13" s="36">
        <f t="shared" si="14"/>
        <v>91.8116056899717</v>
      </c>
      <c r="CA13" s="36">
        <f t="shared" si="14"/>
        <v>111.6508660650663</v>
      </c>
      <c r="CB13" s="36">
        <f t="shared" si="14"/>
        <v>111.8195779486341</v>
      </c>
      <c r="CC13" s="36">
        <f t="shared" si="14"/>
        <v>114.1596124391968</v>
      </c>
      <c r="CD13" s="36">
        <f t="shared" si="14"/>
        <v>113.47124097354221</v>
      </c>
      <c r="CE13" s="36">
        <f t="shared" si="14"/>
        <v>107.5633713747935</v>
      </c>
      <c r="CF13" s="36">
        <f t="shared" si="14"/>
        <v>103.2012451491825</v>
      </c>
      <c r="CG13" s="36">
        <f t="shared" si="14"/>
        <v>102.9931104461964</v>
      </c>
      <c r="CH13" s="36">
        <f t="shared" si="14"/>
        <v>103.9670637159474</v>
      </c>
      <c r="CI13" s="36">
        <f t="shared" si="14"/>
        <v>103.4839665570984</v>
      </c>
      <c r="CJ13" s="36">
        <f t="shared" si="14"/>
        <v>103.4057831014787</v>
      </c>
      <c r="CK13" s="36">
        <f t="shared" si="14"/>
        <v>104.47054268999119</v>
      </c>
      <c r="CL13" s="36">
        <f t="shared" si="14"/>
        <v>116.01536511961359</v>
      </c>
      <c r="CM13" s="36">
        <f t="shared" si="14"/>
        <v>159.89309117132132</v>
      </c>
      <c r="CN13" s="36">
        <f t="shared" si="14"/>
        <v>159.4895682226933</v>
      </c>
      <c r="CO13" s="36">
        <f t="shared" si="14"/>
        <v>160.2614732269418</v>
      </c>
      <c r="CP13" s="36">
        <f t="shared" si="14"/>
        <v>146.7982461838126</v>
      </c>
      <c r="CQ13" s="36">
        <f t="shared" si="14"/>
        <v>148.2160392626155</v>
      </c>
      <c r="CR13" s="36">
        <f t="shared" si="14"/>
        <v>146.905856401386</v>
      </c>
      <c r="CS13" s="36">
        <f t="shared" si="14"/>
        <v>139.1246613818885</v>
      </c>
      <c r="CT13" s="36">
        <f t="shared" si="14"/>
        <v>138.5510296861628</v>
      </c>
      <c r="CU13" s="36">
        <f aca="true" t="shared" si="15" ref="CU13:DZ13">+CU5+CU9</f>
        <v>127.6722767433294</v>
      </c>
      <c r="CV13" s="36">
        <f t="shared" si="15"/>
        <v>129.7008420457044</v>
      </c>
      <c r="CW13" s="36">
        <f t="shared" si="15"/>
        <v>131.3810200629868</v>
      </c>
      <c r="CX13" s="36">
        <f t="shared" si="15"/>
        <v>128.1447207809028</v>
      </c>
      <c r="CY13" s="36">
        <f t="shared" si="15"/>
        <v>148.0229429054119</v>
      </c>
      <c r="CZ13" s="36">
        <f t="shared" si="15"/>
        <v>141.9093729829092</v>
      </c>
      <c r="DA13" s="36">
        <f t="shared" si="15"/>
        <v>129.4849741203683</v>
      </c>
      <c r="DB13" s="36">
        <f t="shared" si="15"/>
        <v>145.00085387378812</v>
      </c>
      <c r="DC13" s="36">
        <f t="shared" si="15"/>
        <v>137.55143517426959</v>
      </c>
      <c r="DD13" s="36">
        <f t="shared" si="15"/>
        <v>133.79880379086728</v>
      </c>
      <c r="DE13" s="36">
        <f t="shared" si="15"/>
        <v>130.1888862864196</v>
      </c>
      <c r="DF13" s="36">
        <f t="shared" si="15"/>
        <v>130.3225275683146</v>
      </c>
      <c r="DG13" s="36">
        <f t="shared" si="15"/>
        <v>131.4154895454491</v>
      </c>
      <c r="DH13" s="36">
        <f t="shared" si="15"/>
        <v>134.0899180849717</v>
      </c>
      <c r="DI13" s="36">
        <f t="shared" si="15"/>
        <v>128.2193760765368</v>
      </c>
      <c r="DJ13" s="36">
        <f t="shared" si="15"/>
        <v>131.5691928933298</v>
      </c>
      <c r="DK13" s="36">
        <f t="shared" si="15"/>
        <v>138.1896967139582</v>
      </c>
      <c r="DL13" s="36">
        <f t="shared" si="15"/>
        <v>142.7567339087242</v>
      </c>
      <c r="DM13" s="36">
        <f t="shared" si="15"/>
        <v>145.7216628528308</v>
      </c>
      <c r="DN13" s="36">
        <f t="shared" si="15"/>
        <v>142.49548990894158</v>
      </c>
      <c r="DO13" s="36">
        <f t="shared" si="15"/>
        <v>136.888782454536</v>
      </c>
      <c r="DP13" s="36">
        <f t="shared" si="15"/>
        <v>140.4146427518941</v>
      </c>
      <c r="DQ13" s="36">
        <f t="shared" si="15"/>
        <v>141.3495651765634</v>
      </c>
      <c r="DR13" s="36">
        <f t="shared" si="15"/>
        <v>139.5791441418374</v>
      </c>
      <c r="DS13" s="36">
        <f t="shared" si="15"/>
        <v>146.9901744910675</v>
      </c>
      <c r="DT13" s="36">
        <f t="shared" si="15"/>
        <v>168.7171863524835</v>
      </c>
      <c r="DU13" s="36">
        <f t="shared" si="15"/>
        <v>171.1434836706752</v>
      </c>
      <c r="DV13" s="36">
        <f t="shared" si="15"/>
        <v>173.5282501528576</v>
      </c>
      <c r="DW13" s="36">
        <f t="shared" si="15"/>
        <v>194.0347313848207</v>
      </c>
      <c r="DX13" s="36">
        <f t="shared" si="15"/>
        <v>207.0951549890883</v>
      </c>
      <c r="DY13" s="36">
        <f t="shared" si="15"/>
        <v>215.2742963540319</v>
      </c>
      <c r="DZ13" s="36">
        <f t="shared" si="15"/>
        <v>214.9809850302945</v>
      </c>
      <c r="EA13" s="36">
        <f aca="true" t="shared" si="16" ref="EA13:FF13">+EA5+EA9</f>
        <v>212.08983573901338</v>
      </c>
      <c r="EB13" s="36">
        <f t="shared" si="16"/>
        <v>212.5204714480966</v>
      </c>
      <c r="EC13" s="36">
        <f t="shared" si="16"/>
        <v>210.500547042957</v>
      </c>
      <c r="ED13" s="36">
        <f t="shared" si="16"/>
        <v>210.78398036649529</v>
      </c>
      <c r="EE13" s="36">
        <f t="shared" si="16"/>
        <v>208.2681536950781</v>
      </c>
      <c r="EF13" s="36">
        <f t="shared" si="16"/>
        <v>211.89357445427692</v>
      </c>
      <c r="EG13" s="36">
        <f t="shared" si="16"/>
        <v>215.62542121762772</v>
      </c>
      <c r="EH13" s="36">
        <f t="shared" si="16"/>
        <v>231.0522579245361</v>
      </c>
      <c r="EI13" s="36">
        <f t="shared" si="16"/>
        <v>279.3277910763111</v>
      </c>
      <c r="EJ13" s="36">
        <f t="shared" si="16"/>
        <v>293.10954223854174</v>
      </c>
      <c r="EK13" s="36">
        <f t="shared" si="16"/>
        <v>304.1135314594135</v>
      </c>
      <c r="EL13" s="36">
        <f t="shared" si="16"/>
        <v>294.6141105099043</v>
      </c>
      <c r="EM13" s="36">
        <f t="shared" si="16"/>
        <v>287.8968681193214</v>
      </c>
      <c r="EN13" s="36">
        <f t="shared" si="16"/>
        <v>275.6377617907457</v>
      </c>
      <c r="EO13" s="36">
        <f t="shared" si="16"/>
        <v>273.3671052263492</v>
      </c>
      <c r="EP13" s="36">
        <f t="shared" si="16"/>
        <v>274.2349532476645</v>
      </c>
      <c r="EQ13" s="36">
        <f t="shared" si="16"/>
        <v>275.3085901334856</v>
      </c>
      <c r="ER13" s="36">
        <f t="shared" si="16"/>
        <v>271.69570169174244</v>
      </c>
      <c r="ES13" s="36">
        <f t="shared" si="16"/>
        <v>264.3207500961796</v>
      </c>
      <c r="ET13" s="36">
        <f t="shared" si="16"/>
        <v>269.9411859748068</v>
      </c>
      <c r="EU13" s="36">
        <f t="shared" si="16"/>
        <v>319.70213962524656</v>
      </c>
      <c r="EV13" s="36">
        <f t="shared" si="16"/>
        <v>324.7065386671993</v>
      </c>
      <c r="EW13" s="36">
        <f t="shared" si="16"/>
        <v>318.3268665324344</v>
      </c>
      <c r="EX13" s="36">
        <f t="shared" si="16"/>
        <v>326.2703811384202</v>
      </c>
      <c r="EY13" s="36">
        <f t="shared" si="16"/>
        <v>312.4080772663473</v>
      </c>
      <c r="EZ13" s="36">
        <f t="shared" si="16"/>
        <v>308.9652836955404</v>
      </c>
      <c r="FA13" s="36">
        <f t="shared" si="16"/>
        <v>296.12034022153307</v>
      </c>
      <c r="FB13" s="36">
        <f t="shared" si="16"/>
        <v>304.14429243485426</v>
      </c>
      <c r="FC13" s="36">
        <f t="shared" si="16"/>
        <v>285.5999726565086</v>
      </c>
      <c r="FD13" s="36">
        <f t="shared" si="16"/>
        <v>262.0997379428693</v>
      </c>
      <c r="FE13" s="36">
        <f t="shared" si="16"/>
        <v>288.2742341492252</v>
      </c>
      <c r="FF13" s="36">
        <f t="shared" si="16"/>
        <v>316.5199716923238</v>
      </c>
      <c r="FG13" s="36">
        <f aca="true" t="shared" si="17" ref="FG13:GP13">+FG5+FG9</f>
        <v>356.7623319688295</v>
      </c>
      <c r="FH13" s="36">
        <f t="shared" si="17"/>
        <v>294.6745047884696</v>
      </c>
      <c r="FI13" s="36">
        <f t="shared" si="17"/>
        <v>281.2383764865665</v>
      </c>
      <c r="FJ13" s="36">
        <f t="shared" si="17"/>
        <v>271.9524134690701</v>
      </c>
      <c r="FK13" s="36">
        <f t="shared" si="17"/>
        <v>336.49167384562577</v>
      </c>
      <c r="FL13" s="36">
        <f t="shared" si="17"/>
        <v>321.9381025656536</v>
      </c>
      <c r="FM13" s="36">
        <f t="shared" si="17"/>
        <v>308.2658292948225</v>
      </c>
      <c r="FN13" s="36">
        <f t="shared" si="17"/>
        <v>305.4537050201419</v>
      </c>
      <c r="FO13" s="36">
        <f t="shared" si="17"/>
        <v>292.917759962</v>
      </c>
      <c r="FP13" s="36">
        <f t="shared" si="17"/>
        <v>293.190503721</v>
      </c>
      <c r="FQ13" s="36">
        <f t="shared" si="17"/>
        <v>279.043435517</v>
      </c>
      <c r="FR13" s="36">
        <f t="shared" si="17"/>
        <v>289.37584496</v>
      </c>
      <c r="FS13" s="36">
        <f t="shared" si="17"/>
        <v>328.500615097</v>
      </c>
      <c r="FT13" s="36">
        <f t="shared" si="17"/>
        <v>369.882742882</v>
      </c>
      <c r="FU13" s="36">
        <f t="shared" si="17"/>
        <v>367.471141529</v>
      </c>
      <c r="FV13" s="36">
        <f t="shared" si="17"/>
        <v>358.50508608</v>
      </c>
      <c r="FW13" s="36">
        <f t="shared" si="17"/>
        <v>339.825519182</v>
      </c>
      <c r="FX13" s="36">
        <f t="shared" si="17"/>
        <v>328.977404282</v>
      </c>
      <c r="FY13" s="36">
        <f t="shared" si="17"/>
        <v>310.5003769</v>
      </c>
      <c r="FZ13" s="36">
        <f t="shared" si="17"/>
        <v>319.12370339</v>
      </c>
      <c r="GA13" s="36">
        <f t="shared" si="17"/>
        <v>304.928693728281</v>
      </c>
      <c r="GB13" s="36">
        <f t="shared" si="17"/>
        <v>302.825083075116</v>
      </c>
      <c r="GC13" s="36">
        <f t="shared" si="17"/>
        <v>302.358944545</v>
      </c>
      <c r="GD13" s="36">
        <f t="shared" si="17"/>
        <v>302.109710793448</v>
      </c>
      <c r="GE13" s="36">
        <f t="shared" si="17"/>
        <v>328.02555168095296</v>
      </c>
      <c r="GF13" s="36">
        <f t="shared" si="17"/>
        <v>354.02125558381204</v>
      </c>
      <c r="GG13" s="36">
        <f t="shared" si="17"/>
        <v>336.874739013</v>
      </c>
      <c r="GH13" s="36">
        <f t="shared" si="17"/>
        <v>327.963961774</v>
      </c>
      <c r="GI13" s="36">
        <f t="shared" si="17"/>
        <v>321.121655241</v>
      </c>
      <c r="GJ13" s="36">
        <f t="shared" si="17"/>
        <v>306.734396791137</v>
      </c>
      <c r="GK13" s="36">
        <f t="shared" si="17"/>
        <v>308.03578551500004</v>
      </c>
      <c r="GL13" s="36">
        <f t="shared" si="17"/>
        <v>309.546980739328</v>
      </c>
      <c r="GM13" s="36">
        <f t="shared" si="17"/>
        <v>299.789151168781</v>
      </c>
      <c r="GN13" s="36">
        <f t="shared" si="17"/>
        <v>300.528494927468</v>
      </c>
      <c r="GO13" s="36">
        <f t="shared" si="17"/>
        <v>325.90000000000003</v>
      </c>
      <c r="GP13" s="36">
        <f t="shared" si="17"/>
        <v>324.59999999999997</v>
      </c>
      <c r="GQ13" s="22"/>
    </row>
    <row r="14" spans="1:199" ht="12.75">
      <c r="A14" s="30" t="s">
        <v>25</v>
      </c>
      <c r="B14" s="31" t="s">
        <v>26</v>
      </c>
      <c r="C14" s="32">
        <f aca="true" t="shared" si="18" ref="C14:AH14">+C15+C16</f>
        <v>0.48648185371301</v>
      </c>
      <c r="D14" s="32">
        <f t="shared" si="18"/>
        <v>0.49348632049134605</v>
      </c>
      <c r="E14" s="32">
        <f t="shared" si="18"/>
        <v>0.44748185371301</v>
      </c>
      <c r="F14" s="32">
        <f t="shared" si="18"/>
        <v>0.46748185371301</v>
      </c>
      <c r="G14" s="32">
        <f t="shared" si="18"/>
        <v>0.47548185371301</v>
      </c>
      <c r="H14" s="32">
        <f t="shared" si="18"/>
        <v>0.46348185371301</v>
      </c>
      <c r="I14" s="32">
        <f t="shared" si="18"/>
        <v>0.454486320491346</v>
      </c>
      <c r="J14" s="32">
        <f t="shared" si="18"/>
        <v>0.52448185371301</v>
      </c>
      <c r="K14" s="32">
        <f t="shared" si="18"/>
        <v>0.45948185371301</v>
      </c>
      <c r="L14" s="32">
        <f t="shared" si="18"/>
        <v>0.445544388609715</v>
      </c>
      <c r="M14" s="32">
        <f t="shared" si="18"/>
        <v>0.436539921831379</v>
      </c>
      <c r="N14" s="32">
        <f t="shared" si="18"/>
        <v>0.40267839195979904</v>
      </c>
      <c r="O14" s="32">
        <f t="shared" si="18"/>
        <v>0.39367839195979903</v>
      </c>
      <c r="P14" s="32">
        <f t="shared" si="18"/>
        <v>0.38861585706309304</v>
      </c>
      <c r="Q14" s="32">
        <f t="shared" si="18"/>
        <v>0.358615857063093</v>
      </c>
      <c r="R14" s="32">
        <f t="shared" si="18"/>
        <v>0.39561585706309305</v>
      </c>
      <c r="S14" s="32">
        <f t="shared" si="18"/>
        <v>0.421615857063093</v>
      </c>
      <c r="T14" s="32">
        <f t="shared" si="18"/>
        <v>0.421615857063093</v>
      </c>
      <c r="U14" s="32">
        <f t="shared" si="18"/>
        <v>0.415615857063093</v>
      </c>
      <c r="V14" s="32">
        <f t="shared" si="18"/>
        <v>0.319678391959799</v>
      </c>
      <c r="W14" s="32">
        <f t="shared" si="18"/>
        <v>0.319678391959799</v>
      </c>
      <c r="X14" s="32">
        <f t="shared" si="18"/>
        <v>0.33867839195979904</v>
      </c>
      <c r="Y14" s="32">
        <f t="shared" si="18"/>
        <v>0.33167839195979903</v>
      </c>
      <c r="Z14" s="32">
        <f t="shared" si="18"/>
        <v>0.347673925181463</v>
      </c>
      <c r="AA14" s="32">
        <f t="shared" si="18"/>
        <v>0.367678391959799</v>
      </c>
      <c r="AB14" s="32">
        <f t="shared" si="18"/>
        <v>0.427678391959799</v>
      </c>
      <c r="AC14" s="32">
        <f t="shared" si="18"/>
        <v>0.5255443886097151</v>
      </c>
      <c r="AD14" s="32">
        <f t="shared" si="18"/>
        <v>0.48653992183137906</v>
      </c>
      <c r="AE14" s="32">
        <f t="shared" si="18"/>
        <v>0.48654438860971505</v>
      </c>
      <c r="AF14" s="32">
        <f t="shared" si="18"/>
        <v>0.48554438860971505</v>
      </c>
      <c r="AG14" s="32">
        <f t="shared" si="18"/>
        <v>0.513495254048018</v>
      </c>
      <c r="AH14" s="32">
        <f t="shared" si="18"/>
        <v>0.5304684533780011</v>
      </c>
      <c r="AI14" s="32">
        <f aca="true" t="shared" si="19" ref="AI14:BN14">+AI15+AI16</f>
        <v>0.5084997208263541</v>
      </c>
      <c r="AJ14" s="32">
        <f t="shared" si="19"/>
        <v>0.580544388609715</v>
      </c>
      <c r="AK14" s="32">
        <f t="shared" si="19"/>
        <v>0.588544388609715</v>
      </c>
      <c r="AL14" s="32">
        <f t="shared" si="19"/>
        <v>0.591553322166388</v>
      </c>
      <c r="AM14" s="32">
        <f t="shared" si="19"/>
        <v>0.670419318816304</v>
      </c>
      <c r="AN14" s="32">
        <f t="shared" si="19"/>
        <v>0.691414852037968</v>
      </c>
      <c r="AO14" s="32">
        <f t="shared" si="19"/>
        <v>0.659441652707984</v>
      </c>
      <c r="AP14" s="32">
        <f t="shared" si="19"/>
        <v>0.8664193188163041</v>
      </c>
      <c r="AQ14" s="32">
        <f t="shared" si="19"/>
        <v>0.9734193188163041</v>
      </c>
      <c r="AR14" s="32">
        <f t="shared" si="19"/>
        <v>1.00840145170296</v>
      </c>
      <c r="AS14" s="32">
        <f t="shared" si="19"/>
        <v>1.20739251814629</v>
      </c>
      <c r="AT14" s="32">
        <f t="shared" si="19"/>
        <v>3.29716359575656</v>
      </c>
      <c r="AU14" s="32">
        <f t="shared" si="19"/>
        <v>2.94428531546622</v>
      </c>
      <c r="AV14" s="32">
        <f t="shared" si="19"/>
        <v>3.1784059184813</v>
      </c>
      <c r="AW14" s="32">
        <f t="shared" si="19"/>
        <v>5.69012283640424</v>
      </c>
      <c r="AX14" s="32">
        <f t="shared" si="19"/>
        <v>4.69663874930207</v>
      </c>
      <c r="AY14" s="32">
        <f t="shared" si="19"/>
        <v>4.73450083752094</v>
      </c>
      <c r="AZ14" s="32">
        <f t="shared" si="19"/>
        <v>4.43328308207705</v>
      </c>
      <c r="BA14" s="32">
        <f t="shared" si="19"/>
        <v>4.61709547738693</v>
      </c>
      <c r="BB14" s="32">
        <f t="shared" si="19"/>
        <v>4.78355108877722</v>
      </c>
      <c r="BC14" s="32">
        <f t="shared" si="19"/>
        <v>4.50077733109994</v>
      </c>
      <c r="BD14" s="32">
        <f t="shared" si="19"/>
        <v>4.75321217197097</v>
      </c>
      <c r="BE14" s="32">
        <f t="shared" si="19"/>
        <v>4.33203003908431</v>
      </c>
      <c r="BF14" s="32">
        <f t="shared" si="19"/>
        <v>3.10435187046343</v>
      </c>
      <c r="BG14" s="32">
        <f t="shared" si="19"/>
        <v>3.10597353433836</v>
      </c>
      <c r="BH14" s="32">
        <f t="shared" si="19"/>
        <v>2.69197520938023</v>
      </c>
      <c r="BI14" s="32">
        <f t="shared" si="19"/>
        <v>3.06949391401452</v>
      </c>
      <c r="BJ14" s="32">
        <f t="shared" si="19"/>
        <v>5.78919385817979</v>
      </c>
      <c r="BK14" s="32">
        <f t="shared" si="19"/>
        <v>5.81520759352317</v>
      </c>
      <c r="BL14" s="32">
        <f t="shared" si="19"/>
        <v>5.77948364042434</v>
      </c>
      <c r="BM14" s="32">
        <f t="shared" si="19"/>
        <v>5.75403606923506</v>
      </c>
      <c r="BN14" s="32">
        <f t="shared" si="19"/>
        <v>5.77582869905081</v>
      </c>
      <c r="BO14" s="32">
        <f aca="true" t="shared" si="20" ref="BO14:CT14">+BO15+BO16</f>
        <v>5.8940850921273</v>
      </c>
      <c r="BP14" s="32">
        <f t="shared" si="20"/>
        <v>6.08940435510888</v>
      </c>
      <c r="BQ14" s="32">
        <f t="shared" si="20"/>
        <v>6.35123997766611</v>
      </c>
      <c r="BR14" s="32">
        <f t="shared" si="20"/>
        <v>6.63174059184813</v>
      </c>
      <c r="BS14" s="32">
        <f t="shared" si="20"/>
        <v>6.8191089893914</v>
      </c>
      <c r="BT14" s="32">
        <f t="shared" si="20"/>
        <v>6.98454349525405</v>
      </c>
      <c r="BU14" s="32">
        <f t="shared" si="20"/>
        <v>6.81875432719151</v>
      </c>
      <c r="BV14" s="32">
        <f t="shared" si="20"/>
        <v>5.5256730318258</v>
      </c>
      <c r="BW14" s="32">
        <f t="shared" si="20"/>
        <v>5.93696192071469</v>
      </c>
      <c r="BX14" s="32">
        <f t="shared" si="20"/>
        <v>6.44337286432161</v>
      </c>
      <c r="BY14" s="32">
        <f t="shared" si="20"/>
        <v>6.6514035734226695</v>
      </c>
      <c r="BZ14" s="32">
        <f t="shared" si="20"/>
        <v>6.69035979899498</v>
      </c>
      <c r="CA14" s="32">
        <f t="shared" si="20"/>
        <v>6.79734729201563</v>
      </c>
      <c r="CB14" s="32">
        <f t="shared" si="20"/>
        <v>6.97725293132328</v>
      </c>
      <c r="CC14" s="32">
        <f t="shared" si="20"/>
        <v>7.48491613623674</v>
      </c>
      <c r="CD14" s="32">
        <f t="shared" si="20"/>
        <v>7.52715700725851</v>
      </c>
      <c r="CE14" s="32">
        <f t="shared" si="20"/>
        <v>7.88704031267448</v>
      </c>
      <c r="CF14" s="32">
        <f t="shared" si="20"/>
        <v>8.81195767727527</v>
      </c>
      <c r="CG14" s="32">
        <f t="shared" si="20"/>
        <v>8.05535198213289</v>
      </c>
      <c r="CH14" s="32">
        <f t="shared" si="20"/>
        <v>7.95637699609157</v>
      </c>
      <c r="CI14" s="32">
        <f t="shared" si="20"/>
        <v>7.94771591289782</v>
      </c>
      <c r="CJ14" s="32">
        <f t="shared" si="20"/>
        <v>8.04108397543272</v>
      </c>
      <c r="CK14" s="32">
        <f t="shared" si="20"/>
        <v>8.2721495254048</v>
      </c>
      <c r="CL14" s="32">
        <f t="shared" si="20"/>
        <v>7.33238805136795</v>
      </c>
      <c r="CM14" s="32">
        <f t="shared" si="20"/>
        <v>7.70432484645449</v>
      </c>
      <c r="CN14" s="32">
        <f t="shared" si="20"/>
        <v>10.4079420435511</v>
      </c>
      <c r="CO14" s="32">
        <f t="shared" si="20"/>
        <v>10.8119863763261</v>
      </c>
      <c r="CP14" s="32">
        <f t="shared" si="20"/>
        <v>18.0811546621999</v>
      </c>
      <c r="CQ14" s="32">
        <f t="shared" si="20"/>
        <v>16.8081411501954</v>
      </c>
      <c r="CR14" s="32">
        <f t="shared" si="20"/>
        <v>16.8300934673367</v>
      </c>
      <c r="CS14" s="32">
        <f t="shared" si="20"/>
        <v>21.7989883863763</v>
      </c>
      <c r="CT14" s="32">
        <f t="shared" si="20"/>
        <v>24.3223290898939</v>
      </c>
      <c r="CU14" s="32">
        <f aca="true" t="shared" si="21" ref="CU14:DZ14">+CU15+CU16</f>
        <v>22.0759937465103</v>
      </c>
      <c r="CV14" s="32">
        <f t="shared" si="21"/>
        <v>24.4624207705193</v>
      </c>
      <c r="CW14" s="32">
        <f t="shared" si="21"/>
        <v>24.5478722501396</v>
      </c>
      <c r="CX14" s="32">
        <f t="shared" si="21"/>
        <v>22.3108365159129</v>
      </c>
      <c r="CY14" s="32">
        <f t="shared" si="21"/>
        <v>24.3145408151871</v>
      </c>
      <c r="CZ14" s="32">
        <f t="shared" si="21"/>
        <v>18.6462862088219</v>
      </c>
      <c r="DA14" s="32">
        <f t="shared" si="21"/>
        <v>18.7935211613624</v>
      </c>
      <c r="DB14" s="32">
        <f t="shared" si="21"/>
        <v>20.0055021775544</v>
      </c>
      <c r="DC14" s="32">
        <f t="shared" si="21"/>
        <v>21.1947344500279</v>
      </c>
      <c r="DD14" s="32">
        <f t="shared" si="21"/>
        <v>24.556552987158</v>
      </c>
      <c r="DE14" s="32">
        <f t="shared" si="21"/>
        <v>24.2704719151312</v>
      </c>
      <c r="DF14" s="32">
        <f t="shared" si="21"/>
        <v>23.7726130653266</v>
      </c>
      <c r="DG14" s="32">
        <f t="shared" si="21"/>
        <v>23.4152964824121</v>
      </c>
      <c r="DH14" s="32">
        <f t="shared" si="21"/>
        <v>23.3211005025126</v>
      </c>
      <c r="DI14" s="32">
        <f t="shared" si="21"/>
        <v>23.3624301507538</v>
      </c>
      <c r="DJ14" s="32">
        <f t="shared" si="21"/>
        <v>23.6593125628141</v>
      </c>
      <c r="DK14" s="32">
        <f t="shared" si="21"/>
        <v>23.7550073701843</v>
      </c>
      <c r="DL14" s="32">
        <f t="shared" si="21"/>
        <v>23.8335407035176</v>
      </c>
      <c r="DM14" s="32">
        <f t="shared" si="21"/>
        <v>24.0621467336683</v>
      </c>
      <c r="DN14" s="32">
        <f t="shared" si="21"/>
        <v>24.5277089893914</v>
      </c>
      <c r="DO14" s="32">
        <f t="shared" si="21"/>
        <v>26.0328358458961</v>
      </c>
      <c r="DP14" s="32">
        <f t="shared" si="21"/>
        <v>24.9890074818537</v>
      </c>
      <c r="DQ14" s="32">
        <f t="shared" si="21"/>
        <v>20.0793171412619</v>
      </c>
      <c r="DR14" s="32">
        <f t="shared" si="21"/>
        <v>22.2129816862088</v>
      </c>
      <c r="DS14" s="32">
        <f t="shared" si="21"/>
        <v>22.3188369625907</v>
      </c>
      <c r="DT14" s="32">
        <f t="shared" si="21"/>
        <v>22.861289893914</v>
      </c>
      <c r="DU14" s="32">
        <f t="shared" si="21"/>
        <v>25.9077092127303</v>
      </c>
      <c r="DV14" s="32">
        <f t="shared" si="21"/>
        <v>25.7360737018425</v>
      </c>
      <c r="DW14" s="32">
        <f t="shared" si="21"/>
        <v>26.2859216080402</v>
      </c>
      <c r="DX14" s="32">
        <f t="shared" si="21"/>
        <v>26.8522274706868</v>
      </c>
      <c r="DY14" s="32">
        <f t="shared" si="21"/>
        <v>27.3662785036293</v>
      </c>
      <c r="DZ14" s="32">
        <f t="shared" si="21"/>
        <v>28.1250875488554</v>
      </c>
      <c r="EA14" s="32">
        <f aca="true" t="shared" si="22" ref="EA14:FF14">+EA15+EA16</f>
        <v>28.0566948073702</v>
      </c>
      <c r="EB14" s="32">
        <f t="shared" si="22"/>
        <v>29.0410405360134</v>
      </c>
      <c r="EC14" s="32">
        <f t="shared" si="22"/>
        <v>29.4386661083194</v>
      </c>
      <c r="ED14" s="32">
        <f t="shared" si="22"/>
        <v>29.9289207146845</v>
      </c>
      <c r="EE14" s="32">
        <f t="shared" si="22"/>
        <v>29.7119314349525</v>
      </c>
      <c r="EF14" s="32">
        <f t="shared" si="22"/>
        <v>29.743618760469</v>
      </c>
      <c r="EG14" s="32">
        <f t="shared" si="22"/>
        <v>29.3400999441653</v>
      </c>
      <c r="EH14" s="32">
        <f t="shared" si="22"/>
        <v>27.9820237855946</v>
      </c>
      <c r="EI14" s="32">
        <f t="shared" si="22"/>
        <v>28.2663609156896</v>
      </c>
      <c r="EJ14" s="32">
        <f t="shared" si="22"/>
        <v>29.0949035175879</v>
      </c>
      <c r="EK14" s="32">
        <f t="shared" si="22"/>
        <v>30.3734479061977</v>
      </c>
      <c r="EL14" s="32">
        <f t="shared" si="22"/>
        <v>29.9651481853713</v>
      </c>
      <c r="EM14" s="32">
        <f t="shared" si="22"/>
        <v>31.1413403093841</v>
      </c>
      <c r="EN14" s="32">
        <f t="shared" si="22"/>
        <v>31.6227462278654</v>
      </c>
      <c r="EO14" s="32">
        <f t="shared" si="22"/>
        <v>31.3670807895628</v>
      </c>
      <c r="EP14" s="32">
        <f t="shared" si="22"/>
        <v>31.9340657141859</v>
      </c>
      <c r="EQ14" s="32">
        <f t="shared" si="22"/>
        <v>31.1244878247387</v>
      </c>
      <c r="ER14" s="32">
        <f t="shared" si="22"/>
        <v>37.3901419318816</v>
      </c>
      <c r="ES14" s="32">
        <f t="shared" si="22"/>
        <v>30.9572346175321</v>
      </c>
      <c r="ET14" s="32">
        <f t="shared" si="22"/>
        <v>24.1578917922948</v>
      </c>
      <c r="EU14" s="32">
        <f t="shared" si="22"/>
        <v>24.0633714126186</v>
      </c>
      <c r="EV14" s="32">
        <f t="shared" si="22"/>
        <v>26.4111409268565</v>
      </c>
      <c r="EW14" s="32">
        <f t="shared" si="22"/>
        <v>23.9395750977108</v>
      </c>
      <c r="EX14" s="32">
        <f t="shared" si="22"/>
        <v>30.2261206030151</v>
      </c>
      <c r="EY14" s="32">
        <f t="shared" si="22"/>
        <v>30.5952361809045</v>
      </c>
      <c r="EZ14" s="32">
        <f t="shared" si="22"/>
        <v>30.735950307091</v>
      </c>
      <c r="FA14" s="32">
        <f t="shared" si="22"/>
        <v>24.260959798995</v>
      </c>
      <c r="FB14" s="32">
        <f t="shared" si="22"/>
        <v>30.616934918408102</v>
      </c>
      <c r="FC14" s="32">
        <f t="shared" si="22"/>
        <v>31.2583185029978</v>
      </c>
      <c r="FD14" s="32">
        <f t="shared" si="22"/>
        <v>30.5789137012111</v>
      </c>
      <c r="FE14" s="32">
        <f t="shared" si="22"/>
        <v>29.8403821545891</v>
      </c>
      <c r="FF14" s="32">
        <f t="shared" si="22"/>
        <v>29.3565072243825</v>
      </c>
      <c r="FG14" s="32">
        <f aca="true" t="shared" si="23" ref="FG14:GL14">+FG15+FG16</f>
        <v>31.3513821545891</v>
      </c>
      <c r="FH14" s="32">
        <f t="shared" si="23"/>
        <v>33.1626367609542</v>
      </c>
      <c r="FI14" s="32">
        <f t="shared" si="23"/>
        <v>36.004287793896694</v>
      </c>
      <c r="FJ14" s="32">
        <f t="shared" si="23"/>
        <v>38.443676403611896</v>
      </c>
      <c r="FK14" s="32">
        <f t="shared" si="23"/>
        <v>39.097756805622</v>
      </c>
      <c r="FL14" s="32">
        <f t="shared" si="23"/>
        <v>39.615974002718595</v>
      </c>
      <c r="FM14" s="32">
        <f t="shared" si="23"/>
        <v>38.441790434879394</v>
      </c>
      <c r="FN14" s="32">
        <f t="shared" si="23"/>
        <v>38.7346514064037</v>
      </c>
      <c r="FO14" s="32">
        <f t="shared" si="23"/>
        <v>38.155755258999996</v>
      </c>
      <c r="FP14" s="32">
        <f t="shared" si="23"/>
        <v>37.878755258999995</v>
      </c>
      <c r="FQ14" s="32">
        <f t="shared" si="23"/>
        <v>37.552755258999994</v>
      </c>
      <c r="FR14" s="32">
        <f t="shared" si="23"/>
        <v>36.748755259</v>
      </c>
      <c r="FS14" s="32">
        <f t="shared" si="23"/>
        <v>37.729755258999994</v>
      </c>
      <c r="FT14" s="32">
        <f t="shared" si="23"/>
        <v>41.329755258999995</v>
      </c>
      <c r="FU14" s="32">
        <f t="shared" si="23"/>
        <v>44.003755258999995</v>
      </c>
      <c r="FV14" s="32">
        <f t="shared" si="23"/>
        <v>47.102755259</v>
      </c>
      <c r="FW14" s="32">
        <f t="shared" si="23"/>
        <v>47.732755258999994</v>
      </c>
      <c r="FX14" s="32">
        <f t="shared" si="23"/>
        <v>47.326755258999995</v>
      </c>
      <c r="FY14" s="32">
        <f t="shared" si="23"/>
        <v>47.345755259</v>
      </c>
      <c r="FZ14" s="32">
        <f t="shared" si="23"/>
        <v>45.907090259</v>
      </c>
      <c r="GA14" s="32">
        <f t="shared" si="23"/>
        <v>46.797090259</v>
      </c>
      <c r="GB14" s="32">
        <f t="shared" si="23"/>
        <v>46.311090259</v>
      </c>
      <c r="GC14" s="32">
        <f t="shared" si="23"/>
        <v>48.061090259</v>
      </c>
      <c r="GD14" s="32">
        <f t="shared" si="23"/>
        <v>48.470090259</v>
      </c>
      <c r="GE14" s="32">
        <f t="shared" si="23"/>
        <v>49.016090259</v>
      </c>
      <c r="GF14" s="32">
        <f t="shared" si="23"/>
        <v>52.107090258999996</v>
      </c>
      <c r="GG14" s="32">
        <f t="shared" si="23"/>
        <v>52.469090259</v>
      </c>
      <c r="GH14" s="32">
        <f t="shared" si="23"/>
        <v>53.382980376</v>
      </c>
      <c r="GI14" s="32">
        <f t="shared" si="23"/>
        <v>55.469980375999995</v>
      </c>
      <c r="GJ14" s="32">
        <f t="shared" si="23"/>
        <v>55.877980376</v>
      </c>
      <c r="GK14" s="32">
        <f t="shared" si="23"/>
        <v>56.617980376</v>
      </c>
      <c r="GL14" s="32">
        <f t="shared" si="23"/>
        <v>56.407980376</v>
      </c>
      <c r="GM14" s="33">
        <f>+GM15+GM16</f>
        <v>57.031980376</v>
      </c>
      <c r="GN14" s="33">
        <f>+GN15+GN16</f>
        <v>55.804980375999996</v>
      </c>
      <c r="GO14" s="32">
        <f>+GO15+GO16</f>
        <v>44.5</v>
      </c>
      <c r="GP14" s="32">
        <f>+GP15+GP16</f>
        <v>52.5</v>
      </c>
      <c r="GQ14" s="22"/>
    </row>
    <row r="15" spans="1:199" ht="12.75">
      <c r="A15" s="27" t="s">
        <v>27</v>
      </c>
      <c r="B15" s="28" t="s">
        <v>18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  <c r="CW15" s="29">
        <v>0</v>
      </c>
      <c r="CX15" s="29">
        <v>0</v>
      </c>
      <c r="CY15" s="29">
        <v>0</v>
      </c>
      <c r="CZ15" s="29">
        <v>0</v>
      </c>
      <c r="DA15" s="29">
        <v>0</v>
      </c>
      <c r="DB15" s="29">
        <v>0</v>
      </c>
      <c r="DC15" s="29">
        <v>0</v>
      </c>
      <c r="DD15" s="29">
        <v>0</v>
      </c>
      <c r="DE15" s="29">
        <v>0</v>
      </c>
      <c r="DF15" s="29">
        <v>0</v>
      </c>
      <c r="DG15" s="29">
        <v>0</v>
      </c>
      <c r="DH15" s="29">
        <v>0</v>
      </c>
      <c r="DI15" s="29">
        <v>0</v>
      </c>
      <c r="DJ15" s="29">
        <v>0</v>
      </c>
      <c r="DK15" s="29">
        <v>0</v>
      </c>
      <c r="DL15" s="29">
        <v>0</v>
      </c>
      <c r="DM15" s="29">
        <v>0</v>
      </c>
      <c r="DN15" s="29">
        <v>0</v>
      </c>
      <c r="DO15" s="29">
        <v>0</v>
      </c>
      <c r="DP15" s="29">
        <v>0</v>
      </c>
      <c r="DQ15" s="29">
        <v>0</v>
      </c>
      <c r="DR15" s="29">
        <v>0</v>
      </c>
      <c r="DS15" s="29">
        <v>0</v>
      </c>
      <c r="DT15" s="29">
        <v>0</v>
      </c>
      <c r="DU15" s="29">
        <v>0</v>
      </c>
      <c r="DV15" s="29">
        <v>0</v>
      </c>
      <c r="DW15" s="29">
        <v>0</v>
      </c>
      <c r="DX15" s="29">
        <v>0</v>
      </c>
      <c r="DY15" s="29">
        <v>0</v>
      </c>
      <c r="DZ15" s="29">
        <v>0</v>
      </c>
      <c r="EA15" s="29">
        <v>0</v>
      </c>
      <c r="EB15" s="29">
        <v>0</v>
      </c>
      <c r="EC15" s="29">
        <v>0</v>
      </c>
      <c r="ED15" s="29">
        <v>0</v>
      </c>
      <c r="EE15" s="29">
        <v>0</v>
      </c>
      <c r="EF15" s="29">
        <v>0</v>
      </c>
      <c r="EG15" s="29">
        <v>0</v>
      </c>
      <c r="EH15" s="29">
        <v>0</v>
      </c>
      <c r="EI15" s="29">
        <v>0</v>
      </c>
      <c r="EJ15" s="29">
        <v>0</v>
      </c>
      <c r="EK15" s="29">
        <v>0</v>
      </c>
      <c r="EL15" s="29">
        <v>0</v>
      </c>
      <c r="EM15" s="29">
        <v>0.052378277</v>
      </c>
      <c r="EN15" s="29">
        <v>0.052378277</v>
      </c>
      <c r="EO15" s="29">
        <v>0.052378277</v>
      </c>
      <c r="EP15" s="29">
        <v>0.052378277</v>
      </c>
      <c r="EQ15" s="29">
        <v>0.052378277</v>
      </c>
      <c r="ER15" s="29">
        <v>0</v>
      </c>
      <c r="ES15" s="29">
        <v>0</v>
      </c>
      <c r="ET15" s="29">
        <v>0</v>
      </c>
      <c r="EU15" s="29">
        <v>0</v>
      </c>
      <c r="EV15" s="29">
        <v>0</v>
      </c>
      <c r="EW15" s="29">
        <v>0</v>
      </c>
      <c r="EX15" s="29">
        <v>0</v>
      </c>
      <c r="EY15" s="29">
        <v>0</v>
      </c>
      <c r="EZ15" s="29">
        <v>0</v>
      </c>
      <c r="FA15" s="29">
        <v>0</v>
      </c>
      <c r="FB15" s="29">
        <v>0.0032252590000000003</v>
      </c>
      <c r="FC15" s="29">
        <v>0.0032252590000000003</v>
      </c>
      <c r="FD15" s="29">
        <v>0.0032252590000000003</v>
      </c>
      <c r="FE15" s="29">
        <v>0.0032252590000000003</v>
      </c>
      <c r="FF15" s="29">
        <v>0.0032252590000000003</v>
      </c>
      <c r="FG15" s="29">
        <v>0.0032252590000000003</v>
      </c>
      <c r="FH15" s="29">
        <v>0.0032252590000000003</v>
      </c>
      <c r="FI15" s="29">
        <v>0.0032252590000000003</v>
      </c>
      <c r="FJ15" s="29">
        <v>0.0032252590000000003</v>
      </c>
      <c r="FK15" s="29">
        <v>0.0032252590000000003</v>
      </c>
      <c r="FL15" s="29">
        <v>0.0032252590000000003</v>
      </c>
      <c r="FM15" s="29">
        <v>0.005755259</v>
      </c>
      <c r="FN15" s="29">
        <v>0.005755259</v>
      </c>
      <c r="FO15" s="29">
        <v>0.005755259</v>
      </c>
      <c r="FP15" s="29">
        <v>0.005755259</v>
      </c>
      <c r="FQ15" s="29">
        <v>0.005755259</v>
      </c>
      <c r="FR15" s="29">
        <v>0.005755259</v>
      </c>
      <c r="FS15" s="29">
        <v>0.005755259</v>
      </c>
      <c r="FT15" s="29">
        <v>0.005755259</v>
      </c>
      <c r="FU15" s="29">
        <v>0.005755259</v>
      </c>
      <c r="FV15" s="29">
        <v>0.005755259</v>
      </c>
      <c r="FW15" s="29">
        <v>0.005755259</v>
      </c>
      <c r="FX15" s="29">
        <v>0.005755259</v>
      </c>
      <c r="FY15" s="29">
        <v>0.005755259</v>
      </c>
      <c r="FZ15" s="29">
        <v>0.008090259</v>
      </c>
      <c r="GA15" s="29">
        <v>0.008090259</v>
      </c>
      <c r="GB15" s="29">
        <v>0.008090259</v>
      </c>
      <c r="GC15" s="29">
        <v>0.008090259</v>
      </c>
      <c r="GD15" s="29">
        <v>0.008090259</v>
      </c>
      <c r="GE15" s="29">
        <v>0.008090259</v>
      </c>
      <c r="GF15" s="29">
        <v>0.008090259</v>
      </c>
      <c r="GG15" s="29">
        <v>0.008090259</v>
      </c>
      <c r="GH15" s="29">
        <v>0.008980376</v>
      </c>
      <c r="GI15" s="29">
        <v>0.008980376</v>
      </c>
      <c r="GJ15" s="29">
        <v>0.008980376</v>
      </c>
      <c r="GK15" s="29">
        <v>0.008980376</v>
      </c>
      <c r="GL15" s="29">
        <v>0.008980376</v>
      </c>
      <c r="GM15" s="26">
        <v>0.008980376</v>
      </c>
      <c r="GN15" s="26">
        <v>0.008980376</v>
      </c>
      <c r="GO15" s="29">
        <v>0</v>
      </c>
      <c r="GP15" s="29">
        <v>0</v>
      </c>
      <c r="GQ15" s="22"/>
    </row>
    <row r="16" spans="1:199" ht="12.75">
      <c r="A16" s="27" t="s">
        <v>28</v>
      </c>
      <c r="B16" s="28" t="s">
        <v>20</v>
      </c>
      <c r="C16" s="29">
        <v>0.48648185371301</v>
      </c>
      <c r="D16" s="29">
        <v>0.49348632049134605</v>
      </c>
      <c r="E16" s="29">
        <v>0.44748185371301</v>
      </c>
      <c r="F16" s="29">
        <v>0.46748185371301</v>
      </c>
      <c r="G16" s="29">
        <v>0.47548185371301</v>
      </c>
      <c r="H16" s="29">
        <v>0.46348185371301</v>
      </c>
      <c r="I16" s="29">
        <v>0.454486320491346</v>
      </c>
      <c r="J16" s="29">
        <v>0.52448185371301</v>
      </c>
      <c r="K16" s="29">
        <v>0.45948185371301</v>
      </c>
      <c r="L16" s="29">
        <v>0.445544388609715</v>
      </c>
      <c r="M16" s="29">
        <v>0.436539921831379</v>
      </c>
      <c r="N16" s="29">
        <v>0.40267839195979904</v>
      </c>
      <c r="O16" s="29">
        <v>0.39367839195979903</v>
      </c>
      <c r="P16" s="29">
        <v>0.38861585706309304</v>
      </c>
      <c r="Q16" s="29">
        <v>0.358615857063093</v>
      </c>
      <c r="R16" s="29">
        <v>0.39561585706309305</v>
      </c>
      <c r="S16" s="29">
        <v>0.421615857063093</v>
      </c>
      <c r="T16" s="29">
        <v>0.421615857063093</v>
      </c>
      <c r="U16" s="29">
        <v>0.415615857063093</v>
      </c>
      <c r="V16" s="29">
        <v>0.319678391959799</v>
      </c>
      <c r="W16" s="29">
        <v>0.319678391959799</v>
      </c>
      <c r="X16" s="29">
        <v>0.33867839195979904</v>
      </c>
      <c r="Y16" s="29">
        <v>0.33167839195979903</v>
      </c>
      <c r="Z16" s="29">
        <v>0.347673925181463</v>
      </c>
      <c r="AA16" s="29">
        <v>0.367678391959799</v>
      </c>
      <c r="AB16" s="29">
        <v>0.427678391959799</v>
      </c>
      <c r="AC16" s="29">
        <v>0.5255443886097151</v>
      </c>
      <c r="AD16" s="29">
        <v>0.48653992183137906</v>
      </c>
      <c r="AE16" s="29">
        <v>0.48654438860971505</v>
      </c>
      <c r="AF16" s="29">
        <v>0.48554438860971505</v>
      </c>
      <c r="AG16" s="29">
        <v>0.513495254048018</v>
      </c>
      <c r="AH16" s="29">
        <v>0.5304684533780011</v>
      </c>
      <c r="AI16" s="29">
        <v>0.5084997208263541</v>
      </c>
      <c r="AJ16" s="29">
        <v>0.580544388609715</v>
      </c>
      <c r="AK16" s="29">
        <v>0.588544388609715</v>
      </c>
      <c r="AL16" s="29">
        <v>0.591553322166388</v>
      </c>
      <c r="AM16" s="29">
        <v>0.670419318816304</v>
      </c>
      <c r="AN16" s="29">
        <v>0.691414852037968</v>
      </c>
      <c r="AO16" s="29">
        <v>0.659441652707984</v>
      </c>
      <c r="AP16" s="29">
        <v>0.8664193188163041</v>
      </c>
      <c r="AQ16" s="29">
        <v>0.9734193188163041</v>
      </c>
      <c r="AR16" s="29">
        <v>1.00840145170296</v>
      </c>
      <c r="AS16" s="29">
        <v>1.20739251814629</v>
      </c>
      <c r="AT16" s="29">
        <v>3.29716359575656</v>
      </c>
      <c r="AU16" s="29">
        <v>2.94428531546622</v>
      </c>
      <c r="AV16" s="29">
        <v>3.1784059184813</v>
      </c>
      <c r="AW16" s="29">
        <v>5.69012283640424</v>
      </c>
      <c r="AX16" s="29">
        <v>4.69663874930207</v>
      </c>
      <c r="AY16" s="29">
        <v>4.73450083752094</v>
      </c>
      <c r="AZ16" s="29">
        <v>4.43328308207705</v>
      </c>
      <c r="BA16" s="29">
        <v>4.61709547738693</v>
      </c>
      <c r="BB16" s="29">
        <v>4.78355108877722</v>
      </c>
      <c r="BC16" s="29">
        <v>4.50077733109994</v>
      </c>
      <c r="BD16" s="29">
        <v>4.75321217197097</v>
      </c>
      <c r="BE16" s="29">
        <v>4.33203003908431</v>
      </c>
      <c r="BF16" s="29">
        <v>3.10435187046343</v>
      </c>
      <c r="BG16" s="29">
        <v>3.10597353433836</v>
      </c>
      <c r="BH16" s="29">
        <v>2.69197520938023</v>
      </c>
      <c r="BI16" s="29">
        <v>3.06949391401452</v>
      </c>
      <c r="BJ16" s="29">
        <v>5.78919385817979</v>
      </c>
      <c r="BK16" s="29">
        <v>5.81520759352317</v>
      </c>
      <c r="BL16" s="29">
        <v>5.77948364042434</v>
      </c>
      <c r="BM16" s="29">
        <v>5.75403606923506</v>
      </c>
      <c r="BN16" s="29">
        <v>5.77582869905081</v>
      </c>
      <c r="BO16" s="29">
        <v>5.8940850921273</v>
      </c>
      <c r="BP16" s="29">
        <v>6.08940435510888</v>
      </c>
      <c r="BQ16" s="29">
        <v>6.35123997766611</v>
      </c>
      <c r="BR16" s="29">
        <v>6.63174059184813</v>
      </c>
      <c r="BS16" s="29">
        <v>6.8191089893914</v>
      </c>
      <c r="BT16" s="29">
        <v>6.98454349525405</v>
      </c>
      <c r="BU16" s="29">
        <v>6.81875432719151</v>
      </c>
      <c r="BV16" s="29">
        <v>5.5256730318258</v>
      </c>
      <c r="BW16" s="29">
        <v>5.93696192071469</v>
      </c>
      <c r="BX16" s="29">
        <v>6.44337286432161</v>
      </c>
      <c r="BY16" s="29">
        <v>6.6514035734226695</v>
      </c>
      <c r="BZ16" s="29">
        <v>6.69035979899498</v>
      </c>
      <c r="CA16" s="29">
        <v>6.79734729201563</v>
      </c>
      <c r="CB16" s="29">
        <v>6.97725293132328</v>
      </c>
      <c r="CC16" s="29">
        <v>7.48491613623674</v>
      </c>
      <c r="CD16" s="29">
        <v>7.52715700725851</v>
      </c>
      <c r="CE16" s="29">
        <v>7.88704031267448</v>
      </c>
      <c r="CF16" s="29">
        <v>8.81195767727527</v>
      </c>
      <c r="CG16" s="29">
        <v>8.05535198213289</v>
      </c>
      <c r="CH16" s="29">
        <v>7.95637699609157</v>
      </c>
      <c r="CI16" s="29">
        <v>7.94771591289782</v>
      </c>
      <c r="CJ16" s="29">
        <v>8.04108397543272</v>
      </c>
      <c r="CK16" s="29">
        <v>8.2721495254048</v>
      </c>
      <c r="CL16" s="29">
        <v>7.33238805136795</v>
      </c>
      <c r="CM16" s="29">
        <v>7.70432484645449</v>
      </c>
      <c r="CN16" s="29">
        <v>10.4079420435511</v>
      </c>
      <c r="CO16" s="29">
        <v>10.8119863763261</v>
      </c>
      <c r="CP16" s="29">
        <v>18.0811546621999</v>
      </c>
      <c r="CQ16" s="29">
        <v>16.8081411501954</v>
      </c>
      <c r="CR16" s="29">
        <v>16.8300934673367</v>
      </c>
      <c r="CS16" s="29">
        <v>21.7989883863763</v>
      </c>
      <c r="CT16" s="29">
        <v>24.3223290898939</v>
      </c>
      <c r="CU16" s="29">
        <v>22.0759937465103</v>
      </c>
      <c r="CV16" s="29">
        <v>24.4624207705193</v>
      </c>
      <c r="CW16" s="29">
        <v>24.5478722501396</v>
      </c>
      <c r="CX16" s="29">
        <v>22.3108365159129</v>
      </c>
      <c r="CY16" s="29">
        <v>24.3145408151871</v>
      </c>
      <c r="CZ16" s="29">
        <v>18.6462862088219</v>
      </c>
      <c r="DA16" s="29">
        <v>18.7935211613624</v>
      </c>
      <c r="DB16" s="29">
        <v>20.0055021775544</v>
      </c>
      <c r="DC16" s="29">
        <v>21.1947344500279</v>
      </c>
      <c r="DD16" s="29">
        <v>24.556552987158</v>
      </c>
      <c r="DE16" s="29">
        <v>24.2704719151312</v>
      </c>
      <c r="DF16" s="29">
        <v>23.7726130653266</v>
      </c>
      <c r="DG16" s="29">
        <v>23.4152964824121</v>
      </c>
      <c r="DH16" s="29">
        <v>23.3211005025126</v>
      </c>
      <c r="DI16" s="29">
        <v>23.3624301507538</v>
      </c>
      <c r="DJ16" s="29">
        <v>23.6593125628141</v>
      </c>
      <c r="DK16" s="29">
        <v>23.7550073701843</v>
      </c>
      <c r="DL16" s="29">
        <v>23.8335407035176</v>
      </c>
      <c r="DM16" s="29">
        <v>24.0621467336683</v>
      </c>
      <c r="DN16" s="29">
        <v>24.5277089893914</v>
      </c>
      <c r="DO16" s="29">
        <v>26.0328358458961</v>
      </c>
      <c r="DP16" s="29">
        <v>24.9890074818537</v>
      </c>
      <c r="DQ16" s="29">
        <v>20.0793171412619</v>
      </c>
      <c r="DR16" s="29">
        <v>22.2129816862088</v>
      </c>
      <c r="DS16" s="29">
        <v>22.3188369625907</v>
      </c>
      <c r="DT16" s="29">
        <v>22.861289893914</v>
      </c>
      <c r="DU16" s="29">
        <v>25.9077092127303</v>
      </c>
      <c r="DV16" s="29">
        <v>25.7360737018425</v>
      </c>
      <c r="DW16" s="29">
        <v>26.2859216080402</v>
      </c>
      <c r="DX16" s="29">
        <v>26.8522274706868</v>
      </c>
      <c r="DY16" s="29">
        <v>27.3662785036293</v>
      </c>
      <c r="DZ16" s="29">
        <v>28.1250875488554</v>
      </c>
      <c r="EA16" s="29">
        <v>28.0566948073702</v>
      </c>
      <c r="EB16" s="29">
        <v>29.0410405360134</v>
      </c>
      <c r="EC16" s="29">
        <v>29.4386661083194</v>
      </c>
      <c r="ED16" s="29">
        <v>29.9289207146845</v>
      </c>
      <c r="EE16" s="29">
        <v>29.7119314349525</v>
      </c>
      <c r="EF16" s="29">
        <v>29.743618760469</v>
      </c>
      <c r="EG16" s="29">
        <v>29.3400999441653</v>
      </c>
      <c r="EH16" s="29">
        <v>27.9820237855946</v>
      </c>
      <c r="EI16" s="29">
        <v>28.2663609156896</v>
      </c>
      <c r="EJ16" s="29">
        <v>29.0949035175879</v>
      </c>
      <c r="EK16" s="29">
        <v>30.3734479061977</v>
      </c>
      <c r="EL16" s="29">
        <v>29.9651481853713</v>
      </c>
      <c r="EM16" s="29">
        <v>31.0889620323841</v>
      </c>
      <c r="EN16" s="29">
        <v>31.5703679508654</v>
      </c>
      <c r="EO16" s="29">
        <v>31.3147025125628</v>
      </c>
      <c r="EP16" s="29">
        <v>31.8816874371859</v>
      </c>
      <c r="EQ16" s="29">
        <v>31.0721095477387</v>
      </c>
      <c r="ER16" s="29">
        <v>37.3901419318816</v>
      </c>
      <c r="ES16" s="29">
        <v>30.9572346175321</v>
      </c>
      <c r="ET16" s="29">
        <v>24.1578917922948</v>
      </c>
      <c r="EU16" s="29">
        <v>24.0633714126186</v>
      </c>
      <c r="EV16" s="29">
        <v>26.4111409268565</v>
      </c>
      <c r="EW16" s="29">
        <v>23.9395750977108</v>
      </c>
      <c r="EX16" s="29">
        <v>30.2261206030151</v>
      </c>
      <c r="EY16" s="29">
        <v>30.5952361809045</v>
      </c>
      <c r="EZ16" s="29">
        <v>30.735950307091</v>
      </c>
      <c r="FA16" s="29">
        <v>24.260959798995</v>
      </c>
      <c r="FB16" s="29">
        <v>30.6137096594081</v>
      </c>
      <c r="FC16" s="29">
        <v>31.2550932439978</v>
      </c>
      <c r="FD16" s="29">
        <v>30.5756884422111</v>
      </c>
      <c r="FE16" s="29">
        <v>29.8371568955891</v>
      </c>
      <c r="FF16" s="29">
        <v>29.3532819653825</v>
      </c>
      <c r="FG16" s="29">
        <v>31.3481568955891</v>
      </c>
      <c r="FH16" s="29">
        <v>33.1594115019542</v>
      </c>
      <c r="FI16" s="29">
        <v>36.0010625348967</v>
      </c>
      <c r="FJ16" s="29">
        <v>38.4404511446119</v>
      </c>
      <c r="FK16" s="29">
        <v>39.094531546622</v>
      </c>
      <c r="FL16" s="29">
        <v>39.6127487437186</v>
      </c>
      <c r="FM16" s="29">
        <v>38.4360351758794</v>
      </c>
      <c r="FN16" s="29">
        <v>38.7288961474037</v>
      </c>
      <c r="FO16" s="29">
        <v>38.15</v>
      </c>
      <c r="FP16" s="29">
        <v>37.873</v>
      </c>
      <c r="FQ16" s="29">
        <v>37.547</v>
      </c>
      <c r="FR16" s="29">
        <v>36.743</v>
      </c>
      <c r="FS16" s="29">
        <v>37.724</v>
      </c>
      <c r="FT16" s="29">
        <v>41.324</v>
      </c>
      <c r="FU16" s="29">
        <v>43.998</v>
      </c>
      <c r="FV16" s="29">
        <v>47.097</v>
      </c>
      <c r="FW16" s="29">
        <v>47.727</v>
      </c>
      <c r="FX16" s="29">
        <v>47.321</v>
      </c>
      <c r="FY16" s="29">
        <v>47.34</v>
      </c>
      <c r="FZ16" s="29">
        <v>45.899</v>
      </c>
      <c r="GA16" s="29">
        <v>46.789</v>
      </c>
      <c r="GB16" s="29">
        <v>46.303</v>
      </c>
      <c r="GC16" s="29">
        <v>48.053</v>
      </c>
      <c r="GD16" s="29">
        <v>48.462</v>
      </c>
      <c r="GE16" s="29">
        <v>49.008</v>
      </c>
      <c r="GF16" s="29">
        <v>52.099</v>
      </c>
      <c r="GG16" s="29">
        <v>52.461</v>
      </c>
      <c r="GH16" s="29">
        <v>53.374</v>
      </c>
      <c r="GI16" s="29">
        <v>55.461</v>
      </c>
      <c r="GJ16" s="29">
        <v>55.869</v>
      </c>
      <c r="GK16" s="29">
        <v>56.609</v>
      </c>
      <c r="GL16" s="29">
        <v>56.399</v>
      </c>
      <c r="GM16" s="26">
        <v>57.023</v>
      </c>
      <c r="GN16" s="26">
        <v>55.796</v>
      </c>
      <c r="GO16" s="29">
        <f>+41.5+3</f>
        <v>44.5</v>
      </c>
      <c r="GP16" s="29">
        <v>52.5</v>
      </c>
      <c r="GQ16" s="22"/>
    </row>
    <row r="17" spans="1:199" ht="12.75">
      <c r="A17" s="34" t="s">
        <v>29</v>
      </c>
      <c r="B17" s="35" t="s">
        <v>30</v>
      </c>
      <c r="C17" s="36">
        <f aca="true" t="shared" si="24" ref="C17:AH17">+C13+C14</f>
        <v>31.36121333770855</v>
      </c>
      <c r="D17" s="36">
        <f t="shared" si="24"/>
        <v>30.519407528288237</v>
      </c>
      <c r="E17" s="36">
        <f t="shared" si="24"/>
        <v>30.24431429051415</v>
      </c>
      <c r="F17" s="36">
        <f t="shared" si="24"/>
        <v>31.775431155866112</v>
      </c>
      <c r="G17" s="36">
        <f t="shared" si="24"/>
        <v>31.956325106792907</v>
      </c>
      <c r="H17" s="36">
        <f t="shared" si="24"/>
        <v>37.08765654153751</v>
      </c>
      <c r="I17" s="36">
        <f t="shared" si="24"/>
        <v>38.11672913052898</v>
      </c>
      <c r="J17" s="36">
        <f t="shared" si="24"/>
        <v>40.10383182334081</v>
      </c>
      <c r="K17" s="36">
        <f t="shared" si="24"/>
        <v>39.434141048933206</v>
      </c>
      <c r="L17" s="36">
        <f t="shared" si="24"/>
        <v>41.36716576800892</v>
      </c>
      <c r="M17" s="36">
        <f t="shared" si="24"/>
        <v>41.24615352218949</v>
      </c>
      <c r="N17" s="36">
        <f t="shared" si="24"/>
        <v>42.98527606076094</v>
      </c>
      <c r="O17" s="36">
        <f t="shared" si="24"/>
        <v>40.9676249603507</v>
      </c>
      <c r="P17" s="36">
        <f t="shared" si="24"/>
        <v>38.552314720335495</v>
      </c>
      <c r="Q17" s="36">
        <f t="shared" si="24"/>
        <v>40.439370059862696</v>
      </c>
      <c r="R17" s="36">
        <f t="shared" si="24"/>
        <v>43.93613075374859</v>
      </c>
      <c r="S17" s="36">
        <f t="shared" si="24"/>
        <v>58.9645616246115</v>
      </c>
      <c r="T17" s="36">
        <f t="shared" si="24"/>
        <v>57.664028354755</v>
      </c>
      <c r="U17" s="36">
        <f t="shared" si="24"/>
        <v>59.660898975760766</v>
      </c>
      <c r="V17" s="36">
        <f t="shared" si="24"/>
        <v>55.880510417811294</v>
      </c>
      <c r="W17" s="36">
        <f t="shared" si="24"/>
        <v>49.282915856770195</v>
      </c>
      <c r="X17" s="36">
        <f t="shared" si="24"/>
        <v>50.79153542116979</v>
      </c>
      <c r="Y17" s="36">
        <f t="shared" si="24"/>
        <v>49.1841409700272</v>
      </c>
      <c r="Z17" s="36">
        <f t="shared" si="24"/>
        <v>50.95916650803241</v>
      </c>
      <c r="AA17" s="36">
        <f t="shared" si="24"/>
        <v>49.184886805306704</v>
      </c>
      <c r="AB17" s="36">
        <f t="shared" si="24"/>
        <v>50.0520207270314</v>
      </c>
      <c r="AC17" s="36">
        <f t="shared" si="24"/>
        <v>50.90808238704672</v>
      </c>
      <c r="AD17" s="36">
        <f t="shared" si="24"/>
        <v>48.58673871504278</v>
      </c>
      <c r="AE17" s="36">
        <f t="shared" si="24"/>
        <v>52.13230957980892</v>
      </c>
      <c r="AF17" s="36">
        <f t="shared" si="24"/>
        <v>52.99853271118652</v>
      </c>
      <c r="AG17" s="36">
        <f t="shared" si="24"/>
        <v>54.897112324616316</v>
      </c>
      <c r="AH17" s="36">
        <f t="shared" si="24"/>
        <v>58.854887232524696</v>
      </c>
      <c r="AI17" s="36">
        <f aca="true" t="shared" si="25" ref="AI17:BN17">+AI13+AI14</f>
        <v>54.00386244941085</v>
      </c>
      <c r="AJ17" s="36">
        <f t="shared" si="25"/>
        <v>51.995843430459715</v>
      </c>
      <c r="AK17" s="36">
        <f t="shared" si="25"/>
        <v>52.76071424064981</v>
      </c>
      <c r="AL17" s="36">
        <f t="shared" si="25"/>
        <v>53.15885769604709</v>
      </c>
      <c r="AM17" s="36">
        <f t="shared" si="25"/>
        <v>54.89577606341431</v>
      </c>
      <c r="AN17" s="36">
        <f t="shared" si="25"/>
        <v>54.44598075698576</v>
      </c>
      <c r="AO17" s="36">
        <f t="shared" si="25"/>
        <v>55.10362564921178</v>
      </c>
      <c r="AP17" s="36">
        <f t="shared" si="25"/>
        <v>53.7687739630989</v>
      </c>
      <c r="AQ17" s="36">
        <f t="shared" si="25"/>
        <v>55.33865040781141</v>
      </c>
      <c r="AR17" s="36">
        <f t="shared" si="25"/>
        <v>58.91996115185986</v>
      </c>
      <c r="AS17" s="36">
        <f t="shared" si="25"/>
        <v>58.1925251941161</v>
      </c>
      <c r="AT17" s="36">
        <f t="shared" si="25"/>
        <v>65.44761000417385</v>
      </c>
      <c r="AU17" s="36">
        <f t="shared" si="25"/>
        <v>68.84852252516461</v>
      </c>
      <c r="AV17" s="36">
        <f t="shared" si="25"/>
        <v>66.0520132907617</v>
      </c>
      <c r="AW17" s="36">
        <f t="shared" si="25"/>
        <v>65.25393938761444</v>
      </c>
      <c r="AX17" s="36">
        <f t="shared" si="25"/>
        <v>67.30157062458737</v>
      </c>
      <c r="AY17" s="36">
        <f t="shared" si="25"/>
        <v>68.14483042100294</v>
      </c>
      <c r="AZ17" s="36">
        <f t="shared" si="25"/>
        <v>70.00776827661925</v>
      </c>
      <c r="BA17" s="36">
        <f t="shared" si="25"/>
        <v>70.77435563951212</v>
      </c>
      <c r="BB17" s="36">
        <f t="shared" si="25"/>
        <v>77.09133070136582</v>
      </c>
      <c r="BC17" s="36">
        <f t="shared" si="25"/>
        <v>90.69516393823314</v>
      </c>
      <c r="BD17" s="36">
        <f t="shared" si="25"/>
        <v>104.23165737673597</v>
      </c>
      <c r="BE17" s="36">
        <f t="shared" si="25"/>
        <v>96.89359668957923</v>
      </c>
      <c r="BF17" s="36">
        <f t="shared" si="25"/>
        <v>95.03882301697953</v>
      </c>
      <c r="BG17" s="36">
        <f t="shared" si="25"/>
        <v>90.26568215796456</v>
      </c>
      <c r="BH17" s="36">
        <f t="shared" si="25"/>
        <v>84.44781965197883</v>
      </c>
      <c r="BI17" s="36">
        <f t="shared" si="25"/>
        <v>83.79999070976932</v>
      </c>
      <c r="BJ17" s="36">
        <f t="shared" si="25"/>
        <v>87.30974411826259</v>
      </c>
      <c r="BK17" s="36">
        <f t="shared" si="25"/>
        <v>83.30529702898427</v>
      </c>
      <c r="BL17" s="36">
        <f t="shared" si="25"/>
        <v>77.33945906421094</v>
      </c>
      <c r="BM17" s="36">
        <f t="shared" si="25"/>
        <v>75.64633310297056</v>
      </c>
      <c r="BN17" s="36">
        <f t="shared" si="25"/>
        <v>74.31889743926891</v>
      </c>
      <c r="BO17" s="36">
        <f aca="true" t="shared" si="26" ref="BO17:CT17">+BO13+BO14</f>
        <v>81.9368275983319</v>
      </c>
      <c r="BP17" s="36">
        <f t="shared" si="26"/>
        <v>94.63033813452678</v>
      </c>
      <c r="BQ17" s="36">
        <f t="shared" si="26"/>
        <v>97.26857570530521</v>
      </c>
      <c r="BR17" s="36">
        <f t="shared" si="26"/>
        <v>91.68656844356543</v>
      </c>
      <c r="BS17" s="36">
        <f t="shared" si="26"/>
        <v>91.96444320654919</v>
      </c>
      <c r="BT17" s="36">
        <f t="shared" si="26"/>
        <v>88.90434373345434</v>
      </c>
      <c r="BU17" s="36">
        <f t="shared" si="26"/>
        <v>86.3114223385627</v>
      </c>
      <c r="BV17" s="36">
        <f t="shared" si="26"/>
        <v>93.62383558450951</v>
      </c>
      <c r="BW17" s="36">
        <f t="shared" si="26"/>
        <v>96.41960051647489</v>
      </c>
      <c r="BX17" s="36">
        <f t="shared" si="26"/>
        <v>96.00659156779241</v>
      </c>
      <c r="BY17" s="36">
        <f t="shared" si="26"/>
        <v>95.45765427476115</v>
      </c>
      <c r="BZ17" s="36">
        <f t="shared" si="26"/>
        <v>98.50196548896668</v>
      </c>
      <c r="CA17" s="36">
        <f t="shared" si="26"/>
        <v>118.44821335708193</v>
      </c>
      <c r="CB17" s="36">
        <f t="shared" si="26"/>
        <v>118.79683087995738</v>
      </c>
      <c r="CC17" s="36">
        <f t="shared" si="26"/>
        <v>121.64452857543354</v>
      </c>
      <c r="CD17" s="36">
        <f t="shared" si="26"/>
        <v>120.99839798080072</v>
      </c>
      <c r="CE17" s="36">
        <f t="shared" si="26"/>
        <v>115.45041168746799</v>
      </c>
      <c r="CF17" s="36">
        <f t="shared" si="26"/>
        <v>112.01320282645777</v>
      </c>
      <c r="CG17" s="36">
        <f t="shared" si="26"/>
        <v>111.04846242832929</v>
      </c>
      <c r="CH17" s="36">
        <f t="shared" si="26"/>
        <v>111.92344071203897</v>
      </c>
      <c r="CI17" s="36">
        <f t="shared" si="26"/>
        <v>111.43168246999622</v>
      </c>
      <c r="CJ17" s="36">
        <f t="shared" si="26"/>
        <v>111.44686707691142</v>
      </c>
      <c r="CK17" s="36">
        <f t="shared" si="26"/>
        <v>112.74269221539599</v>
      </c>
      <c r="CL17" s="36">
        <f t="shared" si="26"/>
        <v>123.34775317098155</v>
      </c>
      <c r="CM17" s="36">
        <f t="shared" si="26"/>
        <v>167.5974160177758</v>
      </c>
      <c r="CN17" s="36">
        <f t="shared" si="26"/>
        <v>169.89751026624438</v>
      </c>
      <c r="CO17" s="36">
        <f t="shared" si="26"/>
        <v>171.0734596032679</v>
      </c>
      <c r="CP17" s="36">
        <f t="shared" si="26"/>
        <v>164.87940084601252</v>
      </c>
      <c r="CQ17" s="36">
        <f t="shared" si="26"/>
        <v>165.02418041281092</v>
      </c>
      <c r="CR17" s="36">
        <f t="shared" si="26"/>
        <v>163.73594986872268</v>
      </c>
      <c r="CS17" s="36">
        <f t="shared" si="26"/>
        <v>160.9236497682648</v>
      </c>
      <c r="CT17" s="36">
        <f t="shared" si="26"/>
        <v>162.8733587760567</v>
      </c>
      <c r="CU17" s="36">
        <f aca="true" t="shared" si="27" ref="CU17:DZ17">+CU13+CU14</f>
        <v>149.7482704898397</v>
      </c>
      <c r="CV17" s="36">
        <f t="shared" si="27"/>
        <v>154.16326281622372</v>
      </c>
      <c r="CW17" s="36">
        <f t="shared" si="27"/>
        <v>155.9288923131264</v>
      </c>
      <c r="CX17" s="36">
        <f t="shared" si="27"/>
        <v>150.4555572968157</v>
      </c>
      <c r="CY17" s="36">
        <f t="shared" si="27"/>
        <v>172.33748372059898</v>
      </c>
      <c r="CZ17" s="36">
        <f t="shared" si="27"/>
        <v>160.55565919173108</v>
      </c>
      <c r="DA17" s="36">
        <f t="shared" si="27"/>
        <v>148.2784952817307</v>
      </c>
      <c r="DB17" s="36">
        <f t="shared" si="27"/>
        <v>165.00635605134252</v>
      </c>
      <c r="DC17" s="36">
        <f t="shared" si="27"/>
        <v>158.7461696242975</v>
      </c>
      <c r="DD17" s="36">
        <f t="shared" si="27"/>
        <v>158.35535677802528</v>
      </c>
      <c r="DE17" s="36">
        <f t="shared" si="27"/>
        <v>154.4593582015508</v>
      </c>
      <c r="DF17" s="36">
        <f t="shared" si="27"/>
        <v>154.0951406336412</v>
      </c>
      <c r="DG17" s="36">
        <f t="shared" si="27"/>
        <v>154.8307860278612</v>
      </c>
      <c r="DH17" s="36">
        <f t="shared" si="27"/>
        <v>157.4110185874843</v>
      </c>
      <c r="DI17" s="36">
        <f t="shared" si="27"/>
        <v>151.5818062272906</v>
      </c>
      <c r="DJ17" s="36">
        <f t="shared" si="27"/>
        <v>155.22850545614392</v>
      </c>
      <c r="DK17" s="36">
        <f t="shared" si="27"/>
        <v>161.9447040841425</v>
      </c>
      <c r="DL17" s="36">
        <f t="shared" si="27"/>
        <v>166.59027461224179</v>
      </c>
      <c r="DM17" s="36">
        <f t="shared" si="27"/>
        <v>169.7838095864991</v>
      </c>
      <c r="DN17" s="36">
        <f t="shared" si="27"/>
        <v>167.02319889833296</v>
      </c>
      <c r="DO17" s="36">
        <f t="shared" si="27"/>
        <v>162.9216183004321</v>
      </c>
      <c r="DP17" s="36">
        <f t="shared" si="27"/>
        <v>165.40365023374778</v>
      </c>
      <c r="DQ17" s="36">
        <f t="shared" si="27"/>
        <v>161.4288823178253</v>
      </c>
      <c r="DR17" s="36">
        <f t="shared" si="27"/>
        <v>161.79212582804618</v>
      </c>
      <c r="DS17" s="36">
        <f t="shared" si="27"/>
        <v>169.3090114536582</v>
      </c>
      <c r="DT17" s="36">
        <f t="shared" si="27"/>
        <v>191.5784762463975</v>
      </c>
      <c r="DU17" s="36">
        <f t="shared" si="27"/>
        <v>197.05119288340552</v>
      </c>
      <c r="DV17" s="36">
        <f t="shared" si="27"/>
        <v>199.26432385470008</v>
      </c>
      <c r="DW17" s="36">
        <f t="shared" si="27"/>
        <v>220.32065299286091</v>
      </c>
      <c r="DX17" s="36">
        <f t="shared" si="27"/>
        <v>233.9473824597751</v>
      </c>
      <c r="DY17" s="36">
        <f t="shared" si="27"/>
        <v>242.6405748576612</v>
      </c>
      <c r="DZ17" s="36">
        <f t="shared" si="27"/>
        <v>243.1060725791499</v>
      </c>
      <c r="EA17" s="36">
        <f aca="true" t="shared" si="28" ref="EA17:FF17">+EA13+EA14</f>
        <v>240.1465305463836</v>
      </c>
      <c r="EB17" s="36">
        <f t="shared" si="28"/>
        <v>241.56151198411</v>
      </c>
      <c r="EC17" s="36">
        <f t="shared" si="28"/>
        <v>239.93921315127642</v>
      </c>
      <c r="ED17" s="36">
        <f t="shared" si="28"/>
        <v>240.71290108117978</v>
      </c>
      <c r="EE17" s="36">
        <f t="shared" si="28"/>
        <v>237.9800851300306</v>
      </c>
      <c r="EF17" s="36">
        <f t="shared" si="28"/>
        <v>241.6371932147459</v>
      </c>
      <c r="EG17" s="36">
        <f t="shared" si="28"/>
        <v>244.96552116179302</v>
      </c>
      <c r="EH17" s="36">
        <f t="shared" si="28"/>
        <v>259.0342817101307</v>
      </c>
      <c r="EI17" s="36">
        <f t="shared" si="28"/>
        <v>307.59415199200066</v>
      </c>
      <c r="EJ17" s="36">
        <f t="shared" si="28"/>
        <v>322.20444575612964</v>
      </c>
      <c r="EK17" s="36">
        <f t="shared" si="28"/>
        <v>334.4869793656112</v>
      </c>
      <c r="EL17" s="36">
        <f t="shared" si="28"/>
        <v>324.5792586952756</v>
      </c>
      <c r="EM17" s="36">
        <f t="shared" si="28"/>
        <v>319.0382084287055</v>
      </c>
      <c r="EN17" s="36">
        <f t="shared" si="28"/>
        <v>307.26050801861106</v>
      </c>
      <c r="EO17" s="36">
        <f t="shared" si="28"/>
        <v>304.73418601591203</v>
      </c>
      <c r="EP17" s="36">
        <f t="shared" si="28"/>
        <v>306.16901896185044</v>
      </c>
      <c r="EQ17" s="36">
        <f t="shared" si="28"/>
        <v>306.4330779582243</v>
      </c>
      <c r="ER17" s="36">
        <f t="shared" si="28"/>
        <v>309.08584362362404</v>
      </c>
      <c r="ES17" s="36">
        <f t="shared" si="28"/>
        <v>295.2779847137117</v>
      </c>
      <c r="ET17" s="36">
        <f t="shared" si="28"/>
        <v>294.09907776710156</v>
      </c>
      <c r="EU17" s="36">
        <f t="shared" si="28"/>
        <v>343.76551103786517</v>
      </c>
      <c r="EV17" s="36">
        <f t="shared" si="28"/>
        <v>351.1176795940558</v>
      </c>
      <c r="EW17" s="36">
        <f t="shared" si="28"/>
        <v>342.2664416301452</v>
      </c>
      <c r="EX17" s="36">
        <f t="shared" si="28"/>
        <v>356.4965017414353</v>
      </c>
      <c r="EY17" s="36">
        <f t="shared" si="28"/>
        <v>343.0033134472518</v>
      </c>
      <c r="EZ17" s="36">
        <f t="shared" si="28"/>
        <v>339.7012340026314</v>
      </c>
      <c r="FA17" s="36">
        <f t="shared" si="28"/>
        <v>320.38130002052804</v>
      </c>
      <c r="FB17" s="36">
        <f t="shared" si="28"/>
        <v>334.76122735326237</v>
      </c>
      <c r="FC17" s="36">
        <f t="shared" si="28"/>
        <v>316.8582911595064</v>
      </c>
      <c r="FD17" s="36">
        <f t="shared" si="28"/>
        <v>292.6786516440804</v>
      </c>
      <c r="FE17" s="36">
        <f t="shared" si="28"/>
        <v>318.11461630381433</v>
      </c>
      <c r="FF17" s="36">
        <f t="shared" si="28"/>
        <v>345.8764789167063</v>
      </c>
      <c r="FG17" s="36">
        <f aca="true" t="shared" si="29" ref="FG17:GP17">+FG13+FG14</f>
        <v>388.1137141234186</v>
      </c>
      <c r="FH17" s="36">
        <f t="shared" si="29"/>
        <v>327.8371415494238</v>
      </c>
      <c r="FI17" s="36">
        <f t="shared" si="29"/>
        <v>317.2426642804632</v>
      </c>
      <c r="FJ17" s="36">
        <f t="shared" si="29"/>
        <v>310.396089872682</v>
      </c>
      <c r="FK17" s="36">
        <f t="shared" si="29"/>
        <v>375.58943065124777</v>
      </c>
      <c r="FL17" s="36">
        <f t="shared" si="29"/>
        <v>361.5540765683722</v>
      </c>
      <c r="FM17" s="36">
        <f t="shared" si="29"/>
        <v>346.7076197297019</v>
      </c>
      <c r="FN17" s="36">
        <f t="shared" si="29"/>
        <v>344.1883564265456</v>
      </c>
      <c r="FO17" s="36">
        <f t="shared" si="29"/>
        <v>331.073515221</v>
      </c>
      <c r="FP17" s="36">
        <f t="shared" si="29"/>
        <v>331.06925898000003</v>
      </c>
      <c r="FQ17" s="36">
        <f t="shared" si="29"/>
        <v>316.59619077599996</v>
      </c>
      <c r="FR17" s="36">
        <f t="shared" si="29"/>
        <v>326.124600219</v>
      </c>
      <c r="FS17" s="36">
        <f t="shared" si="29"/>
        <v>366.230370356</v>
      </c>
      <c r="FT17" s="36">
        <f t="shared" si="29"/>
        <v>411.21249814099997</v>
      </c>
      <c r="FU17" s="36">
        <f t="shared" si="29"/>
        <v>411.474896788</v>
      </c>
      <c r="FV17" s="36">
        <f t="shared" si="29"/>
        <v>405.607841339</v>
      </c>
      <c r="FW17" s="36">
        <f t="shared" si="29"/>
        <v>387.558274441</v>
      </c>
      <c r="FX17" s="36">
        <f t="shared" si="29"/>
        <v>376.304159541</v>
      </c>
      <c r="FY17" s="36">
        <f t="shared" si="29"/>
        <v>357.846132159</v>
      </c>
      <c r="FZ17" s="36">
        <f t="shared" si="29"/>
        <v>365.030793649</v>
      </c>
      <c r="GA17" s="36">
        <f t="shared" si="29"/>
        <v>351.72578398728103</v>
      </c>
      <c r="GB17" s="36">
        <f t="shared" si="29"/>
        <v>349.13617333411605</v>
      </c>
      <c r="GC17" s="36">
        <f t="shared" si="29"/>
        <v>350.420034804</v>
      </c>
      <c r="GD17" s="36">
        <f t="shared" si="29"/>
        <v>350.57980105244803</v>
      </c>
      <c r="GE17" s="36">
        <f t="shared" si="29"/>
        <v>377.04164193995297</v>
      </c>
      <c r="GF17" s="36">
        <f t="shared" si="29"/>
        <v>406.12834584281205</v>
      </c>
      <c r="GG17" s="36">
        <f t="shared" si="29"/>
        <v>389.343829272</v>
      </c>
      <c r="GH17" s="36">
        <f t="shared" si="29"/>
        <v>381.34694214999996</v>
      </c>
      <c r="GI17" s="36">
        <f t="shared" si="29"/>
        <v>376.59163561699995</v>
      </c>
      <c r="GJ17" s="36">
        <f t="shared" si="29"/>
        <v>362.61237716713697</v>
      </c>
      <c r="GK17" s="36">
        <f t="shared" si="29"/>
        <v>364.65376589100003</v>
      </c>
      <c r="GL17" s="36">
        <f t="shared" si="29"/>
        <v>365.954961115328</v>
      </c>
      <c r="GM17" s="36">
        <f t="shared" si="29"/>
        <v>356.821131544781</v>
      </c>
      <c r="GN17" s="36">
        <f t="shared" si="29"/>
        <v>356.333475303468</v>
      </c>
      <c r="GO17" s="36">
        <f t="shared" si="29"/>
        <v>370.40000000000003</v>
      </c>
      <c r="GP17" s="36">
        <f t="shared" si="29"/>
        <v>377.09999999999997</v>
      </c>
      <c r="GQ17" s="22"/>
    </row>
    <row r="18" spans="1:255" s="16" customFormat="1" ht="12.75">
      <c r="A18" s="14"/>
      <c r="B18" s="15" t="s">
        <v>31</v>
      </c>
      <c r="GQ18" s="22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199" ht="12.75">
      <c r="A19" s="30" t="s">
        <v>32</v>
      </c>
      <c r="B19" s="31" t="s">
        <v>33</v>
      </c>
      <c r="C19" s="32">
        <v>14.693232114058</v>
      </c>
      <c r="D19" s="32">
        <v>12.5270745068025</v>
      </c>
      <c r="E19" s="32">
        <v>20.6854064449213</v>
      </c>
      <c r="F19" s="32">
        <v>20.4895082218726</v>
      </c>
      <c r="G19" s="32">
        <v>18.8177130739126</v>
      </c>
      <c r="H19" s="32">
        <v>21.146799096969</v>
      </c>
      <c r="I19" s="32">
        <v>28.0704616059118</v>
      </c>
      <c r="J19" s="32">
        <v>32.5903565732497</v>
      </c>
      <c r="K19" s="32">
        <v>29.5974571231566</v>
      </c>
      <c r="L19" s="32">
        <v>28.7940124501635</v>
      </c>
      <c r="M19" s="32">
        <v>27.183160769796</v>
      </c>
      <c r="N19" s="32">
        <v>30.1477763210804</v>
      </c>
      <c r="O19" s="32">
        <v>30.7934488117279</v>
      </c>
      <c r="P19" s="32">
        <v>29.1788114635095</v>
      </c>
      <c r="Q19" s="32">
        <v>30.915260056696</v>
      </c>
      <c r="R19" s="32">
        <v>33.6820718822557</v>
      </c>
      <c r="S19" s="32">
        <v>48.3698960994001</v>
      </c>
      <c r="T19" s="32">
        <v>49.6707689715986</v>
      </c>
      <c r="U19" s="32">
        <v>51.6430306243829</v>
      </c>
      <c r="V19" s="32">
        <v>47.2215539439002</v>
      </c>
      <c r="W19" s="32">
        <v>35.6402159538182</v>
      </c>
      <c r="X19" s="32">
        <v>36.1678542333689</v>
      </c>
      <c r="Y19" s="32">
        <v>28.9016319743648</v>
      </c>
      <c r="Z19" s="32">
        <v>36.220257539546</v>
      </c>
      <c r="AA19" s="32">
        <v>37.9971454383504</v>
      </c>
      <c r="AB19" s="32">
        <v>35.3455079392966</v>
      </c>
      <c r="AC19" s="32">
        <v>37.93433467664</v>
      </c>
      <c r="AD19" s="32">
        <v>37.0988489737185</v>
      </c>
      <c r="AE19" s="32">
        <v>41.1424791051956</v>
      </c>
      <c r="AF19" s="32">
        <v>40.9113925050184</v>
      </c>
      <c r="AG19" s="32">
        <v>44.5577853596559</v>
      </c>
      <c r="AH19" s="32">
        <v>46.5855965633836</v>
      </c>
      <c r="AI19" s="32">
        <v>42.8278674856632</v>
      </c>
      <c r="AJ19" s="32">
        <v>37.7002245698605</v>
      </c>
      <c r="AK19" s="32">
        <v>39.6224601770445</v>
      </c>
      <c r="AL19" s="32">
        <v>40.8557594892716</v>
      </c>
      <c r="AM19" s="32">
        <v>46.6713025146294</v>
      </c>
      <c r="AN19" s="32">
        <v>42.8042132492161</v>
      </c>
      <c r="AO19" s="32">
        <v>40.1713167938735</v>
      </c>
      <c r="AP19" s="32">
        <v>42.0186256575438</v>
      </c>
      <c r="AQ19" s="32">
        <v>40.6460964974314</v>
      </c>
      <c r="AR19" s="32">
        <v>43.5163461813735</v>
      </c>
      <c r="AS19" s="32">
        <v>41.1871477804403</v>
      </c>
      <c r="AT19" s="32">
        <v>48.6033093400845</v>
      </c>
      <c r="AU19" s="32">
        <v>49.1732069567637</v>
      </c>
      <c r="AV19" s="32">
        <v>44.4819953675146</v>
      </c>
      <c r="AW19" s="32">
        <v>48.2915582950267</v>
      </c>
      <c r="AX19" s="32">
        <v>50.0118448665602</v>
      </c>
      <c r="AY19" s="32">
        <v>50.4871154774874</v>
      </c>
      <c r="AZ19" s="32">
        <v>49.5404397977668</v>
      </c>
      <c r="BA19" s="32">
        <v>43.533852779803</v>
      </c>
      <c r="BB19" s="32">
        <v>44.3486889292435</v>
      </c>
      <c r="BC19" s="32">
        <v>51.064553200405</v>
      </c>
      <c r="BD19" s="32">
        <v>56.7248506709189</v>
      </c>
      <c r="BE19" s="32">
        <v>61.4202618343488</v>
      </c>
      <c r="BF19" s="32">
        <v>68.8812810087001</v>
      </c>
      <c r="BG19" s="32">
        <v>62.4651500769718</v>
      </c>
      <c r="BH19" s="32">
        <v>51.6587642048737</v>
      </c>
      <c r="BI19" s="32">
        <v>56.4477346658563</v>
      </c>
      <c r="BJ19" s="32">
        <v>59.6909448202436</v>
      </c>
      <c r="BK19" s="32">
        <v>58.4358538406445</v>
      </c>
      <c r="BL19" s="32">
        <v>52.6969363848696</v>
      </c>
      <c r="BM19" s="32">
        <v>50.5545745590469</v>
      </c>
      <c r="BN19" s="32">
        <v>46.9452092933085</v>
      </c>
      <c r="BO19" s="32">
        <v>52.0419805164391</v>
      </c>
      <c r="BP19" s="32">
        <v>64.8084433072888</v>
      </c>
      <c r="BQ19" s="32">
        <v>67.6589106344716</v>
      </c>
      <c r="BR19" s="32">
        <v>61.5144967968897</v>
      </c>
      <c r="BS19" s="32">
        <v>66.2966415009005</v>
      </c>
      <c r="BT19" s="32">
        <v>58.7212323606848</v>
      </c>
      <c r="BU19" s="32">
        <v>58.9869394305391</v>
      </c>
      <c r="BV19" s="32">
        <v>73.9119652178485</v>
      </c>
      <c r="BW19" s="32">
        <v>67.5930699706932</v>
      </c>
      <c r="BX19" s="32">
        <v>64.9080322719545</v>
      </c>
      <c r="BY19" s="32">
        <v>59.1302187094441</v>
      </c>
      <c r="BZ19" s="32">
        <v>60.5254718528543</v>
      </c>
      <c r="CA19" s="32">
        <v>71.990281602301</v>
      </c>
      <c r="CB19" s="32">
        <v>81.5773990769196</v>
      </c>
      <c r="CC19" s="32">
        <v>88.720258452499</v>
      </c>
      <c r="CD19" s="32">
        <v>79.0853309046064</v>
      </c>
      <c r="CE19" s="32">
        <v>80.8087060997985</v>
      </c>
      <c r="CF19" s="32">
        <v>69.4948548236649</v>
      </c>
      <c r="CG19" s="32">
        <v>72.8916918076537</v>
      </c>
      <c r="CH19" s="32">
        <v>84.9276318120197</v>
      </c>
      <c r="CI19" s="32">
        <v>79.7525125677699</v>
      </c>
      <c r="CJ19" s="32">
        <v>76.9600125758796</v>
      </c>
      <c r="CK19" s="32">
        <v>73.3239350931406</v>
      </c>
      <c r="CL19" s="32">
        <v>76.386780723021</v>
      </c>
      <c r="CM19" s="32">
        <v>103.990198869329</v>
      </c>
      <c r="CN19" s="32">
        <v>103.704510899724</v>
      </c>
      <c r="CO19" s="32">
        <v>108.418508141817</v>
      </c>
      <c r="CP19" s="32">
        <v>111.805210610977</v>
      </c>
      <c r="CQ19" s="32">
        <v>110.826973217352</v>
      </c>
      <c r="CR19" s="32">
        <v>106.755642391247</v>
      </c>
      <c r="CS19" s="32">
        <v>94.4096873442521</v>
      </c>
      <c r="CT19" s="32">
        <v>116.505284081886</v>
      </c>
      <c r="CU19" s="32">
        <v>102.672140382092</v>
      </c>
      <c r="CV19" s="32">
        <v>100.431102713607</v>
      </c>
      <c r="CW19" s="32">
        <v>90.1741612374901</v>
      </c>
      <c r="CX19" s="32">
        <v>83.8164653546986</v>
      </c>
      <c r="CY19" s="32">
        <v>90.6187100933005</v>
      </c>
      <c r="CZ19" s="32">
        <v>82.6195112738548</v>
      </c>
      <c r="DA19" s="32">
        <v>77.9948335500134</v>
      </c>
      <c r="DB19" s="32">
        <v>93.5610904979117</v>
      </c>
      <c r="DC19" s="32">
        <v>83.5834256064082</v>
      </c>
      <c r="DD19" s="32">
        <v>79.7744196185496</v>
      </c>
      <c r="DE19" s="32">
        <v>72.9692004975981</v>
      </c>
      <c r="DF19" s="32">
        <v>70.4142727399664</v>
      </c>
      <c r="DG19" s="32">
        <v>70.9879759582354</v>
      </c>
      <c r="DH19" s="32">
        <v>69.9482447467164</v>
      </c>
      <c r="DI19" s="32">
        <v>63.3789396586997</v>
      </c>
      <c r="DJ19" s="32">
        <v>65.535597680839</v>
      </c>
      <c r="DK19" s="32">
        <v>73.9824674614707</v>
      </c>
      <c r="DL19" s="32">
        <v>88.2685478572982</v>
      </c>
      <c r="DM19" s="32">
        <v>91.148103422707</v>
      </c>
      <c r="DN19" s="32">
        <v>90.8665214931075</v>
      </c>
      <c r="DO19" s="32">
        <v>82.3722593029503</v>
      </c>
      <c r="DP19" s="32">
        <v>85.1040723582647</v>
      </c>
      <c r="DQ19" s="32">
        <v>78.0810269282059</v>
      </c>
      <c r="DR19" s="32">
        <v>94.0336647062269</v>
      </c>
      <c r="DS19" s="32">
        <v>91.4331064943087</v>
      </c>
      <c r="DT19" s="32">
        <v>110.945584055418</v>
      </c>
      <c r="DU19" s="32">
        <v>119.59198042484</v>
      </c>
      <c r="DV19" s="32">
        <v>121.714147713737</v>
      </c>
      <c r="DW19" s="32">
        <v>137.89740172038</v>
      </c>
      <c r="DX19" s="32">
        <v>153.208423205249</v>
      </c>
      <c r="DY19" s="32">
        <v>163.750688107902</v>
      </c>
      <c r="DZ19" s="32">
        <v>157.144523725233</v>
      </c>
      <c r="EA19" s="32">
        <v>158.15175694928</v>
      </c>
      <c r="EB19" s="32">
        <v>159.279679755029</v>
      </c>
      <c r="EC19" s="32">
        <v>145.348077957827</v>
      </c>
      <c r="ED19" s="32">
        <v>153.407753033919</v>
      </c>
      <c r="EE19" s="32">
        <v>149.374914506944</v>
      </c>
      <c r="EF19" s="32">
        <v>147.787610654406</v>
      </c>
      <c r="EG19" s="32">
        <v>141.546365172355</v>
      </c>
      <c r="EH19" s="32">
        <v>161.276841648068</v>
      </c>
      <c r="EI19" s="32">
        <v>194.955147734806</v>
      </c>
      <c r="EJ19" s="32">
        <v>226.005947014498</v>
      </c>
      <c r="EK19" s="32">
        <v>209.904433568383</v>
      </c>
      <c r="EL19" s="32">
        <v>200.370283355527</v>
      </c>
      <c r="EM19" s="32">
        <v>193.52980804675</v>
      </c>
      <c r="EN19" s="32">
        <v>178.65268718891</v>
      </c>
      <c r="EO19" s="32">
        <v>178.184579304181</v>
      </c>
      <c r="EP19" s="32">
        <v>168.567754118298</v>
      </c>
      <c r="EQ19" s="32">
        <v>176.762864411735</v>
      </c>
      <c r="ER19" s="32">
        <v>162.52072647992</v>
      </c>
      <c r="ES19" s="32">
        <v>161.646700048694</v>
      </c>
      <c r="ET19" s="32">
        <v>175.75177049642</v>
      </c>
      <c r="EU19" s="32">
        <v>219.656528734472</v>
      </c>
      <c r="EV19" s="32">
        <v>222.532366290066</v>
      </c>
      <c r="EW19" s="32">
        <v>221.808441200906</v>
      </c>
      <c r="EX19" s="32">
        <v>229.46750758618</v>
      </c>
      <c r="EY19" s="32">
        <v>213.982548751897</v>
      </c>
      <c r="EZ19" s="32">
        <v>213.742308803996</v>
      </c>
      <c r="FA19" s="32">
        <v>204.078830372077</v>
      </c>
      <c r="FB19" s="32">
        <v>202.196573695353</v>
      </c>
      <c r="FC19" s="32">
        <v>191.564874188484</v>
      </c>
      <c r="FD19" s="32">
        <v>167.759850781969</v>
      </c>
      <c r="FE19" s="32">
        <v>195.734603974291</v>
      </c>
      <c r="FF19" s="32">
        <v>224.836194978966</v>
      </c>
      <c r="FG19" s="32">
        <v>255.395097071951</v>
      </c>
      <c r="FH19" s="32">
        <v>211.909512917501</v>
      </c>
      <c r="FI19" s="32">
        <v>202.371460599578</v>
      </c>
      <c r="FJ19" s="32">
        <v>200.53522435133</v>
      </c>
      <c r="FK19" s="32">
        <v>269.625277835288</v>
      </c>
      <c r="FL19" s="32">
        <v>253.847277704035</v>
      </c>
      <c r="FM19" s="32">
        <v>233.701905434749</v>
      </c>
      <c r="FN19" s="32">
        <v>226.221736279805</v>
      </c>
      <c r="FO19" s="32">
        <v>200.138626589</v>
      </c>
      <c r="FP19" s="32">
        <v>197.433910762</v>
      </c>
      <c r="FQ19" s="32">
        <v>208.141177754</v>
      </c>
      <c r="FR19" s="32">
        <v>202.937764885</v>
      </c>
      <c r="FS19" s="32">
        <v>236.732991373</v>
      </c>
      <c r="FT19" s="32">
        <v>270.561060129</v>
      </c>
      <c r="FU19" s="32">
        <v>282.82086283</v>
      </c>
      <c r="FV19" s="32">
        <v>277.237403624</v>
      </c>
      <c r="FW19" s="32">
        <v>274.240585012</v>
      </c>
      <c r="FX19" s="32">
        <v>225.231673179</v>
      </c>
      <c r="FY19" s="32">
        <v>224.409525308</v>
      </c>
      <c r="FZ19" s="32">
        <v>233.024451023</v>
      </c>
      <c r="GA19" s="32">
        <v>216.011111510281</v>
      </c>
      <c r="GB19" s="32">
        <v>208.141709831116</v>
      </c>
      <c r="GC19" s="32">
        <v>206.117016912</v>
      </c>
      <c r="GD19" s="32">
        <v>202.745883956448</v>
      </c>
      <c r="GE19" s="32">
        <v>220.039498136953</v>
      </c>
      <c r="GF19" s="32">
        <v>241.066867581812</v>
      </c>
      <c r="GG19" s="32">
        <v>230.981695127</v>
      </c>
      <c r="GH19" s="32">
        <v>229.967147946</v>
      </c>
      <c r="GI19" s="32">
        <v>223.361009348</v>
      </c>
      <c r="GJ19" s="32">
        <v>225.860309783137</v>
      </c>
      <c r="GK19" s="32">
        <v>213.354380272</v>
      </c>
      <c r="GL19" s="32">
        <v>217.526073128328</v>
      </c>
      <c r="GM19" s="33">
        <v>203.510961253781</v>
      </c>
      <c r="GN19" s="33">
        <v>215.485499636468</v>
      </c>
      <c r="GO19" s="32">
        <f>+GO20+GO21</f>
        <v>216.9</v>
      </c>
      <c r="GP19" s="32">
        <f>+GP20+GP21</f>
        <v>207.6</v>
      </c>
      <c r="GQ19" s="22"/>
    </row>
    <row r="20" spans="1:199" ht="12.75">
      <c r="A20" s="27" t="s">
        <v>34</v>
      </c>
      <c r="B20" s="28" t="s">
        <v>18</v>
      </c>
      <c r="C20" s="29">
        <v>6.98288477600001</v>
      </c>
      <c r="D20" s="29">
        <v>6.75533545100001</v>
      </c>
      <c r="E20" s="29">
        <v>13.464723782</v>
      </c>
      <c r="F20" s="29">
        <v>11.609600911</v>
      </c>
      <c r="G20" s="29">
        <v>9.48826073899998</v>
      </c>
      <c r="H20" s="29">
        <v>14.727663094</v>
      </c>
      <c r="I20" s="29">
        <v>18.614054402</v>
      </c>
      <c r="J20" s="29">
        <v>26.258141687</v>
      </c>
      <c r="K20" s="29">
        <v>23.75754877</v>
      </c>
      <c r="L20" s="29">
        <v>23.903919268</v>
      </c>
      <c r="M20" s="29">
        <v>22.173984283</v>
      </c>
      <c r="N20" s="29">
        <v>23.791380577</v>
      </c>
      <c r="O20" s="29">
        <v>24.018486705</v>
      </c>
      <c r="P20" s="29">
        <v>21.906169172</v>
      </c>
      <c r="Q20" s="29">
        <v>23.18435301</v>
      </c>
      <c r="R20" s="29">
        <v>26.807903075</v>
      </c>
      <c r="S20" s="29">
        <v>41.43654594</v>
      </c>
      <c r="T20" s="29">
        <v>44.380928662</v>
      </c>
      <c r="U20" s="29">
        <v>47.693232642</v>
      </c>
      <c r="V20" s="29">
        <v>43.663166177</v>
      </c>
      <c r="W20" s="29">
        <v>33.487073228</v>
      </c>
      <c r="X20" s="29">
        <v>34.216552794</v>
      </c>
      <c r="Y20" s="29">
        <v>27.202431882</v>
      </c>
      <c r="Z20" s="29">
        <v>34.197399651</v>
      </c>
      <c r="AA20" s="29">
        <v>34.073180626</v>
      </c>
      <c r="AB20" s="29">
        <v>29.498279838</v>
      </c>
      <c r="AC20" s="29">
        <v>30.721766528</v>
      </c>
      <c r="AD20" s="29">
        <v>29.646638214</v>
      </c>
      <c r="AE20" s="29">
        <v>35.003040032</v>
      </c>
      <c r="AF20" s="29">
        <v>31.528663531</v>
      </c>
      <c r="AG20" s="29">
        <v>34.412412853</v>
      </c>
      <c r="AH20" s="29">
        <v>38.241218132</v>
      </c>
      <c r="AI20" s="29">
        <v>35.801563505</v>
      </c>
      <c r="AJ20" s="29">
        <v>31.135683293</v>
      </c>
      <c r="AK20" s="29">
        <v>32.090865129</v>
      </c>
      <c r="AL20" s="29">
        <v>31.600873501</v>
      </c>
      <c r="AM20" s="29">
        <v>37.337030513</v>
      </c>
      <c r="AN20" s="29">
        <v>36.809258841</v>
      </c>
      <c r="AO20" s="29">
        <v>34.141491628</v>
      </c>
      <c r="AP20" s="29">
        <v>33.442062993</v>
      </c>
      <c r="AQ20" s="29">
        <v>33.032341886</v>
      </c>
      <c r="AR20" s="29">
        <v>37.094488715</v>
      </c>
      <c r="AS20" s="29">
        <v>35.326329829</v>
      </c>
      <c r="AT20" s="29">
        <v>43.350891796</v>
      </c>
      <c r="AU20" s="29">
        <v>42.205922798</v>
      </c>
      <c r="AV20" s="29">
        <v>39.703396269</v>
      </c>
      <c r="AW20" s="29">
        <v>42.129054382</v>
      </c>
      <c r="AX20" s="29">
        <v>42.572724771</v>
      </c>
      <c r="AY20" s="29">
        <v>45.278377276</v>
      </c>
      <c r="AZ20" s="29">
        <v>43.57309554</v>
      </c>
      <c r="BA20" s="29">
        <v>41.115116715</v>
      </c>
      <c r="BB20" s="29">
        <v>42.999349604</v>
      </c>
      <c r="BC20" s="29">
        <v>54.047198627</v>
      </c>
      <c r="BD20" s="29">
        <v>61.640785173</v>
      </c>
      <c r="BE20" s="29">
        <v>56.384161121</v>
      </c>
      <c r="BF20" s="29">
        <v>55.419981878</v>
      </c>
      <c r="BG20" s="29">
        <v>47.0272647</v>
      </c>
      <c r="BH20" s="29">
        <v>42.393316371</v>
      </c>
      <c r="BI20" s="29">
        <v>43.055180878</v>
      </c>
      <c r="BJ20" s="29">
        <v>47.944342268</v>
      </c>
      <c r="BK20" s="29">
        <v>45.053977697</v>
      </c>
      <c r="BL20" s="29">
        <v>41.319575608</v>
      </c>
      <c r="BM20" s="29">
        <v>37.77678233</v>
      </c>
      <c r="BN20" s="29">
        <v>37.136738893</v>
      </c>
      <c r="BO20" s="29">
        <v>46.24313879</v>
      </c>
      <c r="BP20" s="29">
        <v>55.122256683</v>
      </c>
      <c r="BQ20" s="29">
        <v>56.042533606</v>
      </c>
      <c r="BR20" s="29">
        <v>45.245117261</v>
      </c>
      <c r="BS20" s="29">
        <v>51.278764209</v>
      </c>
      <c r="BT20" s="29">
        <v>40.439601437</v>
      </c>
      <c r="BU20" s="29">
        <v>42.445623845</v>
      </c>
      <c r="BV20" s="29">
        <v>54.294036792</v>
      </c>
      <c r="BW20" s="29">
        <v>48.028330524</v>
      </c>
      <c r="BX20" s="29">
        <v>49.455838699</v>
      </c>
      <c r="BY20" s="29">
        <v>40.173017957</v>
      </c>
      <c r="BZ20" s="29">
        <v>43.240256255</v>
      </c>
      <c r="CA20" s="29">
        <v>55.831720083</v>
      </c>
      <c r="CB20" s="29">
        <v>66.279646755</v>
      </c>
      <c r="CC20" s="29">
        <v>67.698716829</v>
      </c>
      <c r="CD20" s="29">
        <v>60.300379376</v>
      </c>
      <c r="CE20" s="29">
        <v>57.677006025</v>
      </c>
      <c r="CF20" s="29">
        <v>50.257105946</v>
      </c>
      <c r="CG20" s="29">
        <v>46.75354107</v>
      </c>
      <c r="CH20" s="29">
        <v>55.643340365</v>
      </c>
      <c r="CI20" s="29">
        <v>59.352204392</v>
      </c>
      <c r="CJ20" s="29">
        <v>57.452659153</v>
      </c>
      <c r="CK20" s="29">
        <v>49.798578911</v>
      </c>
      <c r="CL20" s="29">
        <v>52.396227607</v>
      </c>
      <c r="CM20" s="29">
        <v>82.237803527</v>
      </c>
      <c r="CN20" s="29">
        <v>87.746232392</v>
      </c>
      <c r="CO20" s="29">
        <v>86.559033484</v>
      </c>
      <c r="CP20" s="29">
        <v>84.334811417</v>
      </c>
      <c r="CQ20" s="29">
        <v>82.32521731</v>
      </c>
      <c r="CR20" s="29">
        <v>81.860700288</v>
      </c>
      <c r="CS20" s="29">
        <v>76.82352246</v>
      </c>
      <c r="CT20" s="29">
        <v>85.235493932</v>
      </c>
      <c r="CU20" s="29">
        <v>75.961601991</v>
      </c>
      <c r="CV20" s="29">
        <v>68.026294603</v>
      </c>
      <c r="CW20" s="29">
        <v>65.525798293</v>
      </c>
      <c r="CX20" s="29">
        <v>62.530206178</v>
      </c>
      <c r="CY20" s="29">
        <v>70.532515023</v>
      </c>
      <c r="CZ20" s="29">
        <v>80.130541171</v>
      </c>
      <c r="DA20" s="29">
        <v>76.006221628</v>
      </c>
      <c r="DB20" s="29">
        <v>75.361326422</v>
      </c>
      <c r="DC20" s="29">
        <v>63.663476796</v>
      </c>
      <c r="DD20" s="29">
        <v>60.798074279</v>
      </c>
      <c r="DE20" s="29">
        <v>56.169565627</v>
      </c>
      <c r="DF20" s="29">
        <v>54.838800657</v>
      </c>
      <c r="DG20" s="29">
        <v>58.730124258000004</v>
      </c>
      <c r="DH20" s="29">
        <v>57.769305466</v>
      </c>
      <c r="DI20" s="29">
        <v>53.624097335</v>
      </c>
      <c r="DJ20" s="29">
        <v>57.253751979</v>
      </c>
      <c r="DK20" s="29">
        <v>59.273744288</v>
      </c>
      <c r="DL20" s="29">
        <v>65.768902384</v>
      </c>
      <c r="DM20" s="29">
        <v>70.628531952</v>
      </c>
      <c r="DN20" s="29">
        <v>67.477900264</v>
      </c>
      <c r="DO20" s="29">
        <v>61.774278532</v>
      </c>
      <c r="DP20" s="29">
        <v>61.497765096</v>
      </c>
      <c r="DQ20" s="29">
        <v>59.499499632</v>
      </c>
      <c r="DR20" s="29">
        <v>56.392766541</v>
      </c>
      <c r="DS20" s="29">
        <v>61.348482956</v>
      </c>
      <c r="DT20" s="29">
        <v>84.914122737</v>
      </c>
      <c r="DU20" s="29">
        <v>81.392845746</v>
      </c>
      <c r="DV20" s="29">
        <v>84.356318464</v>
      </c>
      <c r="DW20" s="29">
        <v>100.640650922</v>
      </c>
      <c r="DX20" s="29">
        <v>118.032851348</v>
      </c>
      <c r="DY20" s="29">
        <v>138.157403007</v>
      </c>
      <c r="DZ20" s="29">
        <v>132.633632938</v>
      </c>
      <c r="EA20" s="29">
        <v>127.434785904</v>
      </c>
      <c r="EB20" s="29">
        <v>128.046874668</v>
      </c>
      <c r="EC20" s="29">
        <v>121.344254644</v>
      </c>
      <c r="ED20" s="29">
        <v>120.267512298</v>
      </c>
      <c r="EE20" s="29">
        <v>120.467642251</v>
      </c>
      <c r="EF20" s="29">
        <v>124.260654547</v>
      </c>
      <c r="EG20" s="29">
        <v>127.920479876</v>
      </c>
      <c r="EH20" s="29">
        <v>142.799047529</v>
      </c>
      <c r="EI20" s="29">
        <v>184.351503041</v>
      </c>
      <c r="EJ20" s="29">
        <v>205.182531924</v>
      </c>
      <c r="EK20" s="29">
        <v>188.351415591</v>
      </c>
      <c r="EL20" s="29">
        <v>179.186350461</v>
      </c>
      <c r="EM20" s="29">
        <v>171.380779853</v>
      </c>
      <c r="EN20" s="29">
        <v>154.157946765</v>
      </c>
      <c r="EO20" s="29">
        <v>157.575121166</v>
      </c>
      <c r="EP20" s="29">
        <v>159.538351594</v>
      </c>
      <c r="EQ20" s="29">
        <v>148.114220597</v>
      </c>
      <c r="ER20" s="29">
        <v>142.385627883</v>
      </c>
      <c r="ES20" s="29">
        <v>132.77374383</v>
      </c>
      <c r="ET20" s="29">
        <v>158.724105527</v>
      </c>
      <c r="EU20" s="29">
        <v>190.329414722</v>
      </c>
      <c r="EV20" s="29">
        <v>194.619237591</v>
      </c>
      <c r="EW20" s="29">
        <v>196.270313163</v>
      </c>
      <c r="EX20" s="29">
        <v>187.74118888368</v>
      </c>
      <c r="EY20" s="29">
        <v>170.103333233</v>
      </c>
      <c r="EZ20" s="29">
        <v>161.015729699</v>
      </c>
      <c r="FA20" s="29">
        <v>161.067295914</v>
      </c>
      <c r="FB20" s="29">
        <v>153.122455534</v>
      </c>
      <c r="FC20" s="29">
        <v>145.37495506</v>
      </c>
      <c r="FD20" s="29">
        <v>119.001489683557</v>
      </c>
      <c r="FE20" s="29">
        <v>139.961366326</v>
      </c>
      <c r="FF20" s="29">
        <v>176.180439635</v>
      </c>
      <c r="FG20" s="29">
        <v>222.284375936929</v>
      </c>
      <c r="FH20" s="29">
        <v>162.068752469</v>
      </c>
      <c r="FI20" s="29">
        <v>148.096757078</v>
      </c>
      <c r="FJ20" s="29">
        <v>140.466930020654</v>
      </c>
      <c r="FK20" s="29">
        <v>221.52527585088</v>
      </c>
      <c r="FL20" s="29">
        <v>202.540999355362</v>
      </c>
      <c r="FM20" s="29">
        <v>191.728361230699</v>
      </c>
      <c r="FN20" s="29">
        <v>176.224365715154</v>
      </c>
      <c r="FO20" s="29">
        <v>170.298626589</v>
      </c>
      <c r="FP20" s="29">
        <v>164.394910762</v>
      </c>
      <c r="FQ20" s="29">
        <v>154.765177754</v>
      </c>
      <c r="FR20" s="29">
        <v>162.480764885</v>
      </c>
      <c r="FS20" s="29">
        <v>188.268991373</v>
      </c>
      <c r="FT20" s="29">
        <v>229.051060129</v>
      </c>
      <c r="FU20" s="29">
        <v>223.63186283</v>
      </c>
      <c r="FV20" s="29">
        <v>214.746403624</v>
      </c>
      <c r="FW20" s="29">
        <v>202.417585012</v>
      </c>
      <c r="FX20" s="29">
        <v>173.662673179</v>
      </c>
      <c r="FY20" s="29">
        <v>160.267525308</v>
      </c>
      <c r="FZ20" s="29">
        <v>169.759451023</v>
      </c>
      <c r="GA20" s="29">
        <v>161.682111510281</v>
      </c>
      <c r="GB20" s="29">
        <v>158.551709831116</v>
      </c>
      <c r="GC20" s="29">
        <v>160.986016912</v>
      </c>
      <c r="GD20" s="29">
        <v>154.893883956448</v>
      </c>
      <c r="GE20" s="29">
        <v>185.511498136953</v>
      </c>
      <c r="GF20" s="29">
        <v>209.320867581812</v>
      </c>
      <c r="GG20" s="29">
        <v>192.333695127</v>
      </c>
      <c r="GH20" s="29">
        <v>179.953147946</v>
      </c>
      <c r="GI20" s="29">
        <v>178.334009348</v>
      </c>
      <c r="GJ20" s="29">
        <v>182.364309783137</v>
      </c>
      <c r="GK20" s="29">
        <v>168.516380272</v>
      </c>
      <c r="GL20" s="29">
        <v>182.386073128328</v>
      </c>
      <c r="GM20" s="26">
        <v>168.413961253781</v>
      </c>
      <c r="GN20" s="26">
        <v>170.368499636468</v>
      </c>
      <c r="GO20" s="29">
        <v>184</v>
      </c>
      <c r="GP20" s="29">
        <v>175.7</v>
      </c>
      <c r="GQ20" s="22"/>
    </row>
    <row r="21" spans="1:199" ht="12.75">
      <c r="A21" s="27" t="s">
        <v>35</v>
      </c>
      <c r="B21" s="28" t="s">
        <v>20</v>
      </c>
      <c r="C21" s="29">
        <v>7.71034733805798</v>
      </c>
      <c r="D21" s="29">
        <v>5.7717390558025</v>
      </c>
      <c r="E21" s="29">
        <v>7.22068266292131</v>
      </c>
      <c r="F21" s="29">
        <v>8.87990731087258</v>
      </c>
      <c r="G21" s="29">
        <v>9.32945233491262</v>
      </c>
      <c r="H21" s="29">
        <v>6.41913600296903</v>
      </c>
      <c r="I21" s="29">
        <v>9.45640720391185</v>
      </c>
      <c r="J21" s="29">
        <v>6.33221488624968</v>
      </c>
      <c r="K21" s="29">
        <v>5.83990835315661</v>
      </c>
      <c r="L21" s="29">
        <v>4.89009318216353</v>
      </c>
      <c r="M21" s="29">
        <v>5.00917648679603</v>
      </c>
      <c r="N21" s="29">
        <v>6.35639574408038</v>
      </c>
      <c r="O21" s="29">
        <v>6.77496210672788</v>
      </c>
      <c r="P21" s="29">
        <v>7.27264229150945</v>
      </c>
      <c r="Q21" s="29">
        <v>7.730907046696</v>
      </c>
      <c r="R21" s="29">
        <v>6.87416880725577</v>
      </c>
      <c r="S21" s="29">
        <v>6.93335015940012</v>
      </c>
      <c r="T21" s="29">
        <v>5.28984030959864</v>
      </c>
      <c r="U21" s="29">
        <v>3.94979798238292</v>
      </c>
      <c r="V21" s="29">
        <v>3.55838776690024</v>
      </c>
      <c r="W21" s="29">
        <v>2.15314272581812</v>
      </c>
      <c r="X21" s="29">
        <v>1.9513014393688901</v>
      </c>
      <c r="Y21" s="29">
        <v>1.69920009236485</v>
      </c>
      <c r="Z21" s="29">
        <v>2.02285788854595</v>
      </c>
      <c r="AA21" s="29">
        <v>3.92396481235042</v>
      </c>
      <c r="AB21" s="29">
        <v>5.84722810129657</v>
      </c>
      <c r="AC21" s="29">
        <v>7.21256814864006</v>
      </c>
      <c r="AD21" s="29">
        <v>7.45221075971846</v>
      </c>
      <c r="AE21" s="29">
        <v>6.13943907319565</v>
      </c>
      <c r="AF21" s="29">
        <v>9.38272897401838</v>
      </c>
      <c r="AG21" s="29">
        <v>10.145372506656</v>
      </c>
      <c r="AH21" s="29">
        <v>8.34437843138356</v>
      </c>
      <c r="AI21" s="29">
        <v>7.02630398066318</v>
      </c>
      <c r="AJ21" s="29">
        <v>6.5645412768605</v>
      </c>
      <c r="AK21" s="29">
        <v>7.53159504804454</v>
      </c>
      <c r="AL21" s="29">
        <v>9.25488598827162</v>
      </c>
      <c r="AM21" s="29">
        <v>9.33427200162942</v>
      </c>
      <c r="AN21" s="29">
        <v>5.9949544082160795</v>
      </c>
      <c r="AO21" s="29">
        <v>6.02982516587353</v>
      </c>
      <c r="AP21" s="29">
        <v>8.57656266454376</v>
      </c>
      <c r="AQ21" s="29">
        <v>7.61375461143143</v>
      </c>
      <c r="AR21" s="29">
        <v>6.42185746637356</v>
      </c>
      <c r="AS21" s="29">
        <v>5.86081795144029</v>
      </c>
      <c r="AT21" s="29">
        <v>5.25241754408446</v>
      </c>
      <c r="AU21" s="29">
        <v>6.9672841587637</v>
      </c>
      <c r="AV21" s="29">
        <v>4.77859909851464</v>
      </c>
      <c r="AW21" s="29">
        <v>6.16250391302666</v>
      </c>
      <c r="AX21" s="29">
        <v>7.43912009556016</v>
      </c>
      <c r="AY21" s="29">
        <v>5.20873820148737</v>
      </c>
      <c r="AZ21" s="29">
        <v>5.96734425776682</v>
      </c>
      <c r="BA21" s="29">
        <v>2.41873606480297</v>
      </c>
      <c r="BB21" s="29">
        <v>1.34933932524351</v>
      </c>
      <c r="BC21" s="29">
        <v>-2.98264542659497</v>
      </c>
      <c r="BD21" s="29">
        <v>-4.91593450208109</v>
      </c>
      <c r="BE21" s="29">
        <v>5.03610071334882</v>
      </c>
      <c r="BF21" s="29">
        <v>13.4612991307001</v>
      </c>
      <c r="BG21" s="29">
        <v>15.4378853769718</v>
      </c>
      <c r="BH21" s="29">
        <v>9.26544783387367</v>
      </c>
      <c r="BI21" s="29">
        <v>13.3925537878563</v>
      </c>
      <c r="BJ21" s="29">
        <v>11.7466025522436</v>
      </c>
      <c r="BK21" s="29">
        <v>13.3818761436445</v>
      </c>
      <c r="BL21" s="29">
        <v>11.3773607768696</v>
      </c>
      <c r="BM21" s="29">
        <v>12.7777922290469</v>
      </c>
      <c r="BN21" s="29">
        <v>9.80847040030849</v>
      </c>
      <c r="BO21" s="29">
        <v>5.79884172643909</v>
      </c>
      <c r="BP21" s="29">
        <v>9.68618662428879</v>
      </c>
      <c r="BQ21" s="29">
        <v>11.6163770284716</v>
      </c>
      <c r="BR21" s="29">
        <v>16.2693795358898</v>
      </c>
      <c r="BS21" s="29">
        <v>15.0178772919005</v>
      </c>
      <c r="BT21" s="29">
        <v>18.2816309236848</v>
      </c>
      <c r="BU21" s="29">
        <v>16.5413155855391</v>
      </c>
      <c r="BV21" s="29">
        <v>19.6179284258485</v>
      </c>
      <c r="BW21" s="29">
        <v>19.5647394466932</v>
      </c>
      <c r="BX21" s="29">
        <v>15.4521935729545</v>
      </c>
      <c r="BY21" s="29">
        <v>18.9572007524441</v>
      </c>
      <c r="BZ21" s="29">
        <v>17.2852155978543</v>
      </c>
      <c r="CA21" s="29">
        <v>16.158561519301</v>
      </c>
      <c r="CB21" s="29">
        <v>15.2977523219196</v>
      </c>
      <c r="CC21" s="29">
        <v>21.021541623499</v>
      </c>
      <c r="CD21" s="29">
        <v>18.7849515286064</v>
      </c>
      <c r="CE21" s="29">
        <v>23.1317000747985</v>
      </c>
      <c r="CF21" s="29">
        <v>19.2377488776649</v>
      </c>
      <c r="CG21" s="29">
        <v>26.1381507376537</v>
      </c>
      <c r="CH21" s="29">
        <v>29.2842914470197</v>
      </c>
      <c r="CI21" s="29">
        <v>20.4003081757699</v>
      </c>
      <c r="CJ21" s="29">
        <v>19.5073534228796</v>
      </c>
      <c r="CK21" s="29">
        <v>23.5253561821406</v>
      </c>
      <c r="CL21" s="29">
        <v>23.990553116021</v>
      </c>
      <c r="CM21" s="29">
        <v>21.7523953423292</v>
      </c>
      <c r="CN21" s="29">
        <v>15.9582785077239</v>
      </c>
      <c r="CO21" s="29">
        <v>21.8594746578168</v>
      </c>
      <c r="CP21" s="29">
        <v>27.4703991939767</v>
      </c>
      <c r="CQ21" s="29">
        <v>28.5017559073523</v>
      </c>
      <c r="CR21" s="29">
        <v>24.8949421032469</v>
      </c>
      <c r="CS21" s="29">
        <v>17.5861648842521</v>
      </c>
      <c r="CT21" s="29">
        <v>31.2697901498864</v>
      </c>
      <c r="CU21" s="29">
        <v>26.7105383910918</v>
      </c>
      <c r="CV21" s="29">
        <v>32.4048081106067</v>
      </c>
      <c r="CW21" s="29">
        <v>24.6483629444901</v>
      </c>
      <c r="CX21" s="29">
        <v>21.2862591766986</v>
      </c>
      <c r="CY21" s="29">
        <v>20.0861950703005</v>
      </c>
      <c r="CZ21" s="29">
        <v>2.48897010285477</v>
      </c>
      <c r="DA21" s="29">
        <v>1.98861192201337</v>
      </c>
      <c r="DB21" s="29">
        <v>18.1997640759117</v>
      </c>
      <c r="DC21" s="29">
        <v>19.9199488104082</v>
      </c>
      <c r="DD21" s="29">
        <v>18.9763453395496</v>
      </c>
      <c r="DE21" s="29">
        <v>16.7996348705981</v>
      </c>
      <c r="DF21" s="29">
        <v>15.5754720829665</v>
      </c>
      <c r="DG21" s="29">
        <v>12.2578517002354</v>
      </c>
      <c r="DH21" s="29">
        <v>12.1789392807164</v>
      </c>
      <c r="DI21" s="29">
        <v>9.754842323699659</v>
      </c>
      <c r="DJ21" s="29">
        <v>8.281845701839</v>
      </c>
      <c r="DK21" s="29">
        <v>14.7087231734707</v>
      </c>
      <c r="DL21" s="29">
        <v>22.4996454732982</v>
      </c>
      <c r="DM21" s="29">
        <v>20.519571470707</v>
      </c>
      <c r="DN21" s="29">
        <v>23.3886212291075</v>
      </c>
      <c r="DO21" s="29">
        <v>20.5979807709503</v>
      </c>
      <c r="DP21" s="29">
        <v>23.6063072622648</v>
      </c>
      <c r="DQ21" s="29">
        <v>18.5815272962058</v>
      </c>
      <c r="DR21" s="29">
        <v>37.6408981652269</v>
      </c>
      <c r="DS21" s="29">
        <v>30.0846235383087</v>
      </c>
      <c r="DT21" s="29">
        <v>26.0314613184175</v>
      </c>
      <c r="DU21" s="29">
        <v>38.1991346788395</v>
      </c>
      <c r="DV21" s="29">
        <v>37.3578292497368</v>
      </c>
      <c r="DW21" s="29">
        <v>37.2567507983803</v>
      </c>
      <c r="DX21" s="29">
        <v>35.1755718572489</v>
      </c>
      <c r="DY21" s="29">
        <v>25.5932851009022</v>
      </c>
      <c r="DZ21" s="29">
        <v>24.5108907872328</v>
      </c>
      <c r="EA21" s="29">
        <v>30.7169710452796</v>
      </c>
      <c r="EB21" s="29">
        <v>31.2328050870288</v>
      </c>
      <c r="EC21" s="29">
        <v>24.0038233138271</v>
      </c>
      <c r="ED21" s="29">
        <v>33.1402407359186</v>
      </c>
      <c r="EE21" s="29">
        <v>28.9072722559444</v>
      </c>
      <c r="EF21" s="29">
        <v>23.5269561074064</v>
      </c>
      <c r="EG21" s="29">
        <v>13.6258852963549</v>
      </c>
      <c r="EH21" s="29">
        <v>18.477794119068</v>
      </c>
      <c r="EI21" s="29">
        <v>10.6036446938059</v>
      </c>
      <c r="EJ21" s="29">
        <v>20.8234150904981</v>
      </c>
      <c r="EK21" s="29">
        <v>21.553017977383</v>
      </c>
      <c r="EL21" s="29">
        <v>21.1839328945266</v>
      </c>
      <c r="EM21" s="29">
        <v>22.1490281937496</v>
      </c>
      <c r="EN21" s="29">
        <v>24.4947404239101</v>
      </c>
      <c r="EO21" s="29">
        <v>20.609458138181</v>
      </c>
      <c r="EP21" s="29">
        <v>9.02940252429798</v>
      </c>
      <c r="EQ21" s="29">
        <v>28.6486438147355</v>
      </c>
      <c r="ER21" s="29">
        <v>20.1350985969204</v>
      </c>
      <c r="ES21" s="29">
        <v>28.8729562186935</v>
      </c>
      <c r="ET21" s="29">
        <v>17.0276649694195</v>
      </c>
      <c r="EU21" s="29">
        <v>29.3271140124723</v>
      </c>
      <c r="EV21" s="29">
        <v>27.9131286990658</v>
      </c>
      <c r="EW21" s="29">
        <v>25.5381280379059</v>
      </c>
      <c r="EX21" s="29">
        <v>41.7263187024998</v>
      </c>
      <c r="EY21" s="29">
        <v>43.8792155188975</v>
      </c>
      <c r="EZ21" s="29">
        <v>52.7265791049959</v>
      </c>
      <c r="FA21" s="29">
        <v>43.0115344580773</v>
      </c>
      <c r="FB21" s="29">
        <v>49.0741181613534</v>
      </c>
      <c r="FC21" s="29">
        <v>46.1899191284837</v>
      </c>
      <c r="FD21" s="29">
        <v>48.7583610984122</v>
      </c>
      <c r="FE21" s="29">
        <v>55.7732376482914</v>
      </c>
      <c r="FF21" s="29">
        <v>48.6557553439659</v>
      </c>
      <c r="FG21" s="29">
        <v>33.1107211350219</v>
      </c>
      <c r="FH21" s="29">
        <v>49.8407604485008</v>
      </c>
      <c r="FI21" s="29">
        <v>54.2747035215781</v>
      </c>
      <c r="FJ21" s="29">
        <v>60.0682943306761</v>
      </c>
      <c r="FK21" s="29">
        <v>48.1000019844077</v>
      </c>
      <c r="FL21" s="29">
        <v>51.3062783486728</v>
      </c>
      <c r="FM21" s="29">
        <v>41.9735442040499</v>
      </c>
      <c r="FN21" s="29">
        <v>49.9973705646514</v>
      </c>
      <c r="FO21" s="29">
        <v>29.84</v>
      </c>
      <c r="FP21" s="29">
        <v>33.039</v>
      </c>
      <c r="FQ21" s="29">
        <v>53.376</v>
      </c>
      <c r="FR21" s="29">
        <v>40.457</v>
      </c>
      <c r="FS21" s="29">
        <v>48.464</v>
      </c>
      <c r="FT21" s="29">
        <v>41.51</v>
      </c>
      <c r="FU21" s="29">
        <v>59.189</v>
      </c>
      <c r="FV21" s="29">
        <v>62.491</v>
      </c>
      <c r="FW21" s="29">
        <v>71.823</v>
      </c>
      <c r="FX21" s="29">
        <v>51.569</v>
      </c>
      <c r="FY21" s="29">
        <v>64.142</v>
      </c>
      <c r="FZ21" s="29">
        <v>63.265</v>
      </c>
      <c r="GA21" s="29">
        <v>54.329</v>
      </c>
      <c r="GB21" s="29">
        <v>49.59</v>
      </c>
      <c r="GC21" s="29">
        <v>45.131</v>
      </c>
      <c r="GD21" s="29">
        <v>47.852</v>
      </c>
      <c r="GE21" s="29">
        <v>34.528</v>
      </c>
      <c r="GF21" s="29">
        <v>31.746</v>
      </c>
      <c r="GG21" s="29">
        <v>38.648</v>
      </c>
      <c r="GH21" s="29">
        <v>50.014</v>
      </c>
      <c r="GI21" s="29">
        <v>45.027</v>
      </c>
      <c r="GJ21" s="29">
        <v>43.496</v>
      </c>
      <c r="GK21" s="29">
        <v>44.838</v>
      </c>
      <c r="GL21" s="29">
        <v>35.14</v>
      </c>
      <c r="GM21" s="26">
        <v>35.097</v>
      </c>
      <c r="GN21" s="26">
        <v>45.117</v>
      </c>
      <c r="GO21" s="29">
        <v>32.9</v>
      </c>
      <c r="GP21" s="29">
        <v>31.900000000000006</v>
      </c>
      <c r="GQ21" s="22"/>
    </row>
    <row r="22" spans="1:199" ht="12.75">
      <c r="A22" s="30" t="s">
        <v>36</v>
      </c>
      <c r="B22" s="37" t="s">
        <v>37</v>
      </c>
      <c r="C22" s="32">
        <f aca="true" t="shared" si="30" ref="C22:AH22">+C23+C26</f>
        <v>18.24660380465056</v>
      </c>
      <c r="D22" s="32">
        <f t="shared" si="30"/>
        <v>18.46038784148573</v>
      </c>
      <c r="E22" s="32">
        <f t="shared" si="30"/>
        <v>10.32219640859283</v>
      </c>
      <c r="F22" s="32">
        <f t="shared" si="30"/>
        <v>13.135277571993488</v>
      </c>
      <c r="G22" s="32">
        <f t="shared" si="30"/>
        <v>14.49233857988029</v>
      </c>
      <c r="H22" s="32">
        <f t="shared" si="30"/>
        <v>15.79395985656847</v>
      </c>
      <c r="I22" s="32">
        <f t="shared" si="30"/>
        <v>11.19357067261712</v>
      </c>
      <c r="J22" s="32">
        <f t="shared" si="30"/>
        <v>9.1504434200911</v>
      </c>
      <c r="K22" s="32">
        <f t="shared" si="30"/>
        <v>11.36671796377664</v>
      </c>
      <c r="L22" s="32">
        <f t="shared" si="30"/>
        <v>11.17937196684539</v>
      </c>
      <c r="M22" s="32">
        <f t="shared" si="30"/>
        <v>15.42511757839343</v>
      </c>
      <c r="N22" s="32">
        <f t="shared" si="30"/>
        <v>15.810360997680561</v>
      </c>
      <c r="O22" s="32">
        <f t="shared" si="30"/>
        <v>16.75051445062282</v>
      </c>
      <c r="P22" s="32">
        <f t="shared" si="30"/>
        <v>16.09038476182601</v>
      </c>
      <c r="Q22" s="32">
        <f t="shared" si="30"/>
        <v>18.16396611716669</v>
      </c>
      <c r="R22" s="32">
        <f t="shared" si="30"/>
        <v>19.65065995649282</v>
      </c>
      <c r="S22" s="32">
        <f t="shared" si="30"/>
        <v>20.202661539211398</v>
      </c>
      <c r="T22" s="32">
        <f t="shared" si="30"/>
        <v>18.90242196915633</v>
      </c>
      <c r="U22" s="32">
        <f t="shared" si="30"/>
        <v>15.33454117137783</v>
      </c>
      <c r="V22" s="32">
        <f t="shared" si="30"/>
        <v>15.822036416911079</v>
      </c>
      <c r="W22" s="32">
        <f t="shared" si="30"/>
        <v>19.19927782895209</v>
      </c>
      <c r="X22" s="32">
        <f t="shared" si="30"/>
        <v>18.14930733880092</v>
      </c>
      <c r="Y22" s="32">
        <f t="shared" si="30"/>
        <v>22.213945626662312</v>
      </c>
      <c r="Z22" s="32">
        <f t="shared" si="30"/>
        <v>22.17609711948646</v>
      </c>
      <c r="AA22" s="32">
        <f t="shared" si="30"/>
        <v>19.065442229956272</v>
      </c>
      <c r="AB22" s="32">
        <f t="shared" si="30"/>
        <v>22.870937614734828</v>
      </c>
      <c r="AC22" s="32">
        <f t="shared" si="30"/>
        <v>20.0690924194067</v>
      </c>
      <c r="AD22" s="32">
        <f t="shared" si="30"/>
        <v>19.45445488732428</v>
      </c>
      <c r="AE22" s="32">
        <f t="shared" si="30"/>
        <v>20.53013927261326</v>
      </c>
      <c r="AF22" s="32">
        <f t="shared" si="30"/>
        <v>19.74001552016814</v>
      </c>
      <c r="AG22" s="32">
        <f t="shared" si="30"/>
        <v>18.45165091696038</v>
      </c>
      <c r="AH22" s="32">
        <f t="shared" si="30"/>
        <v>19.17074016614113</v>
      </c>
      <c r="AI22" s="32">
        <f aca="true" t="shared" si="31" ref="AI22:BN22">+AI23+AI26</f>
        <v>19.181173510747698</v>
      </c>
      <c r="AJ22" s="32">
        <f t="shared" si="31"/>
        <v>19.7229818065992</v>
      </c>
      <c r="AK22" s="32">
        <f t="shared" si="31"/>
        <v>19.5484012806053</v>
      </c>
      <c r="AL22" s="32">
        <f t="shared" si="31"/>
        <v>19.86713529277544</v>
      </c>
      <c r="AM22" s="32">
        <f t="shared" si="31"/>
        <v>18.53514019178493</v>
      </c>
      <c r="AN22" s="32">
        <f t="shared" si="31"/>
        <v>19.49930234076973</v>
      </c>
      <c r="AO22" s="32">
        <f t="shared" si="31"/>
        <v>20.50884150833828</v>
      </c>
      <c r="AP22" s="32">
        <f t="shared" si="31"/>
        <v>21.003178045555103</v>
      </c>
      <c r="AQ22" s="32">
        <f t="shared" si="31"/>
        <v>22.87364501538</v>
      </c>
      <c r="AR22" s="32">
        <f t="shared" si="31"/>
        <v>25.4045794104863</v>
      </c>
      <c r="AS22" s="32">
        <f t="shared" si="31"/>
        <v>22.8533004046758</v>
      </c>
      <c r="AT22" s="32">
        <f t="shared" si="31"/>
        <v>21.5276164410894</v>
      </c>
      <c r="AU22" s="32">
        <f t="shared" si="31"/>
        <v>22.4258765484009</v>
      </c>
      <c r="AV22" s="32">
        <f t="shared" si="31"/>
        <v>25.716476119247098</v>
      </c>
      <c r="AW22" s="32">
        <f t="shared" si="31"/>
        <v>22.2112493575878</v>
      </c>
      <c r="AX22" s="32">
        <f t="shared" si="31"/>
        <v>20.7795490460272</v>
      </c>
      <c r="AY22" s="32">
        <f t="shared" si="31"/>
        <v>23.265680130515598</v>
      </c>
      <c r="AZ22" s="32">
        <f t="shared" si="31"/>
        <v>25.462963619852502</v>
      </c>
      <c r="BA22" s="32">
        <f t="shared" si="31"/>
        <v>29.2623980107092</v>
      </c>
      <c r="BB22" s="32">
        <f t="shared" si="31"/>
        <v>32.1016919961223</v>
      </c>
      <c r="BC22" s="32">
        <f t="shared" si="31"/>
        <v>40.2740371958281</v>
      </c>
      <c r="BD22" s="32">
        <f t="shared" si="31"/>
        <v>49.7318448188171</v>
      </c>
      <c r="BE22" s="32">
        <f t="shared" si="31"/>
        <v>39.3949815592304</v>
      </c>
      <c r="BF22" s="32">
        <f t="shared" si="31"/>
        <v>32.9229241512795</v>
      </c>
      <c r="BG22" s="32">
        <f t="shared" si="31"/>
        <v>31.6351700869927</v>
      </c>
      <c r="BH22" s="32">
        <f t="shared" si="31"/>
        <v>33.0858418611051</v>
      </c>
      <c r="BI22" s="32">
        <f t="shared" si="31"/>
        <v>32.399275274913</v>
      </c>
      <c r="BJ22" s="32">
        <f t="shared" si="31"/>
        <v>30.043396937018997</v>
      </c>
      <c r="BK22" s="32">
        <f t="shared" si="31"/>
        <v>31.467666176339804</v>
      </c>
      <c r="BL22" s="32">
        <f t="shared" si="31"/>
        <v>32.4280264603414</v>
      </c>
      <c r="BM22" s="32">
        <f t="shared" si="31"/>
        <v>31.9329485479237</v>
      </c>
      <c r="BN22" s="32">
        <f t="shared" si="31"/>
        <v>35.7546748689604</v>
      </c>
      <c r="BO22" s="32">
        <f aca="true" t="shared" si="32" ref="BO22:CT22">+BO23+BO26</f>
        <v>36.16223670889279</v>
      </c>
      <c r="BP22" s="32">
        <f t="shared" si="32"/>
        <v>35.048381113238</v>
      </c>
      <c r="BQ22" s="32">
        <f t="shared" si="32"/>
        <v>35.5650885348336</v>
      </c>
      <c r="BR22" s="32">
        <f t="shared" si="32"/>
        <v>35.3059156446757</v>
      </c>
      <c r="BS22" s="32">
        <f t="shared" si="32"/>
        <v>32.5916346476488</v>
      </c>
      <c r="BT22" s="32">
        <f t="shared" si="32"/>
        <v>37.0366455957695</v>
      </c>
      <c r="BU22" s="32">
        <f t="shared" si="32"/>
        <v>33.1204219730236</v>
      </c>
      <c r="BV22" s="32">
        <f t="shared" si="32"/>
        <v>24.780100276661</v>
      </c>
      <c r="BW22" s="32">
        <f t="shared" si="32"/>
        <v>36.0858393067817</v>
      </c>
      <c r="BX22" s="32">
        <f t="shared" si="32"/>
        <v>38.8827312628379</v>
      </c>
      <c r="BY22" s="32">
        <f t="shared" si="32"/>
        <v>45.2227982133171</v>
      </c>
      <c r="BZ22" s="32">
        <f t="shared" si="32"/>
        <v>46.9737749691124</v>
      </c>
      <c r="CA22" s="32">
        <f t="shared" si="32"/>
        <v>59.150969068781</v>
      </c>
      <c r="CB22" s="32">
        <f t="shared" si="32"/>
        <v>46.7467237420378</v>
      </c>
      <c r="CC22" s="32">
        <f t="shared" si="32"/>
        <v>44.225412945934494</v>
      </c>
      <c r="CD22" s="32">
        <f t="shared" si="32"/>
        <v>52.149165681194305</v>
      </c>
      <c r="CE22" s="32">
        <f t="shared" si="32"/>
        <v>50.428504330669504</v>
      </c>
      <c r="CF22" s="32">
        <f t="shared" si="32"/>
        <v>55.1688056017929</v>
      </c>
      <c r="CG22" s="32">
        <f t="shared" si="32"/>
        <v>52.2971193546756</v>
      </c>
      <c r="CH22" s="32">
        <f t="shared" si="32"/>
        <v>42.7840567080193</v>
      </c>
      <c r="CI22" s="32">
        <f t="shared" si="32"/>
        <v>46.7583436002262</v>
      </c>
      <c r="CJ22" s="32">
        <f t="shared" si="32"/>
        <v>50.737275736031705</v>
      </c>
      <c r="CK22" s="32">
        <f t="shared" si="32"/>
        <v>57.6806832302554</v>
      </c>
      <c r="CL22" s="32">
        <f t="shared" si="32"/>
        <v>64.63683161296049</v>
      </c>
      <c r="CM22" s="32">
        <f t="shared" si="32"/>
        <v>89.1946252434466</v>
      </c>
      <c r="CN22" s="32">
        <f t="shared" si="32"/>
        <v>85.3176243875205</v>
      </c>
      <c r="CO22" s="32">
        <f t="shared" si="32"/>
        <v>77.8224836824511</v>
      </c>
      <c r="CP22" s="32">
        <f t="shared" si="32"/>
        <v>76.8399340540357</v>
      </c>
      <c r="CQ22" s="32">
        <f t="shared" si="32"/>
        <v>73.58165888045869</v>
      </c>
      <c r="CR22" s="32">
        <f t="shared" si="32"/>
        <v>79.0338185584757</v>
      </c>
      <c r="CS22" s="32">
        <f t="shared" si="32"/>
        <v>82.09296981501271</v>
      </c>
      <c r="CT22" s="32">
        <f t="shared" si="32"/>
        <v>62.406138026170304</v>
      </c>
      <c r="CU22" s="32">
        <f aca="true" t="shared" si="33" ref="CU22:DZ22">+CU23+CU26</f>
        <v>68.860190326748</v>
      </c>
      <c r="CV22" s="32">
        <f t="shared" si="33"/>
        <v>73.6293136916169</v>
      </c>
      <c r="CW22" s="32">
        <f t="shared" si="33"/>
        <v>88.1779623496363</v>
      </c>
      <c r="CX22" s="32">
        <f t="shared" si="33"/>
        <v>86.5245685421171</v>
      </c>
      <c r="CY22" s="32">
        <f t="shared" si="33"/>
        <v>104.1328543792985</v>
      </c>
      <c r="CZ22" s="32">
        <f t="shared" si="33"/>
        <v>105.5115425698763</v>
      </c>
      <c r="DA22" s="32">
        <f t="shared" si="33"/>
        <v>95.2810146487173</v>
      </c>
      <c r="DB22" s="32">
        <f t="shared" si="33"/>
        <v>95.89494697143081</v>
      </c>
      <c r="DC22" s="32">
        <f t="shared" si="33"/>
        <v>102.07539586988929</v>
      </c>
      <c r="DD22" s="32">
        <f t="shared" si="33"/>
        <v>103.89703064147571</v>
      </c>
      <c r="DE22" s="32">
        <f t="shared" si="33"/>
        <v>106.1492379169527</v>
      </c>
      <c r="DF22" s="32">
        <f t="shared" si="33"/>
        <v>106.95864055167479</v>
      </c>
      <c r="DG22" s="32">
        <f t="shared" si="33"/>
        <v>107.12122171962581</v>
      </c>
      <c r="DH22" s="32">
        <f t="shared" si="33"/>
        <v>107.7584660117679</v>
      </c>
      <c r="DI22" s="32">
        <f t="shared" si="33"/>
        <v>107.1196962765909</v>
      </c>
      <c r="DJ22" s="32">
        <f t="shared" si="33"/>
        <v>108.17702086830491</v>
      </c>
      <c r="DK22" s="32">
        <f t="shared" si="33"/>
        <v>111.0246583606718</v>
      </c>
      <c r="DL22" s="32">
        <f t="shared" si="33"/>
        <v>104.5269594409436</v>
      </c>
      <c r="DM22" s="32">
        <f t="shared" si="33"/>
        <v>104.9053921297921</v>
      </c>
      <c r="DN22" s="32">
        <f t="shared" si="33"/>
        <v>103.5596304482255</v>
      </c>
      <c r="DO22" s="32">
        <f t="shared" si="33"/>
        <v>105.91569538848191</v>
      </c>
      <c r="DP22" s="32">
        <f t="shared" si="33"/>
        <v>109.4037913954831</v>
      </c>
      <c r="DQ22" s="32">
        <f t="shared" si="33"/>
        <v>111.5594113746194</v>
      </c>
      <c r="DR22" s="32">
        <f t="shared" si="33"/>
        <v>94.2854217278192</v>
      </c>
      <c r="DS22" s="32">
        <f t="shared" si="33"/>
        <v>112.1953610853495</v>
      </c>
      <c r="DT22" s="32">
        <f t="shared" si="33"/>
        <v>110.20092250698</v>
      </c>
      <c r="DU22" s="32">
        <f t="shared" si="33"/>
        <v>105.34419425456599</v>
      </c>
      <c r="DV22" s="32">
        <f t="shared" si="33"/>
        <v>109.53805037979559</v>
      </c>
      <c r="DW22" s="32">
        <f t="shared" si="33"/>
        <v>115.521213210745</v>
      </c>
      <c r="DX22" s="32">
        <f t="shared" si="33"/>
        <v>122.799882099383</v>
      </c>
      <c r="DY22" s="32">
        <f t="shared" si="33"/>
        <v>112.94334499812089</v>
      </c>
      <c r="DZ22" s="32">
        <f t="shared" si="33"/>
        <v>114.2455258799171</v>
      </c>
      <c r="EA22" s="32">
        <f aca="true" t="shared" si="34" ref="EA22:FF22">+EA23+EA26</f>
        <v>112.052244497104</v>
      </c>
      <c r="EB22" s="32">
        <f t="shared" si="34"/>
        <v>118.51631515910199</v>
      </c>
      <c r="EC22" s="32">
        <f t="shared" si="34"/>
        <v>121.9977157687363</v>
      </c>
      <c r="ED22" s="32">
        <f t="shared" si="34"/>
        <v>117.7205726872612</v>
      </c>
      <c r="EE22" s="32">
        <f t="shared" si="34"/>
        <v>119.44110446408621</v>
      </c>
      <c r="EF22" s="32">
        <f t="shared" si="34"/>
        <v>128.7167316083395</v>
      </c>
      <c r="EG22" s="32">
        <f t="shared" si="34"/>
        <v>123.69533854743801</v>
      </c>
      <c r="EH22" s="32">
        <f t="shared" si="34"/>
        <v>123.0045985490628</v>
      </c>
      <c r="EI22" s="32">
        <f t="shared" si="34"/>
        <v>131.8471948851947</v>
      </c>
      <c r="EJ22" s="32">
        <f t="shared" si="34"/>
        <v>121.3122364386316</v>
      </c>
      <c r="EK22" s="32">
        <f t="shared" si="34"/>
        <v>152.7648404672281</v>
      </c>
      <c r="EL22" s="32">
        <f t="shared" si="34"/>
        <v>153.23902383474888</v>
      </c>
      <c r="EM22" s="32">
        <f t="shared" si="34"/>
        <v>153.4686111319559</v>
      </c>
      <c r="EN22" s="32">
        <f t="shared" si="34"/>
        <v>159.072605008701</v>
      </c>
      <c r="EO22" s="32">
        <f t="shared" si="34"/>
        <v>154.2076169817311</v>
      </c>
      <c r="EP22" s="32">
        <f t="shared" si="34"/>
        <v>150.9442278695524</v>
      </c>
      <c r="EQ22" s="32">
        <f t="shared" si="34"/>
        <v>158.1764339664888</v>
      </c>
      <c r="ER22" s="32">
        <f t="shared" si="34"/>
        <v>170.1332106137036</v>
      </c>
      <c r="ES22" s="32">
        <f t="shared" si="34"/>
        <v>166.1173962520182</v>
      </c>
      <c r="ET22" s="32">
        <f t="shared" si="34"/>
        <v>141.5105266516822</v>
      </c>
      <c r="EU22" s="32">
        <f t="shared" si="34"/>
        <v>147.3521749013929</v>
      </c>
      <c r="EV22" s="32">
        <f t="shared" si="34"/>
        <v>151.78237344999002</v>
      </c>
      <c r="EW22" s="32">
        <f t="shared" si="34"/>
        <v>153.3133325032393</v>
      </c>
      <c r="EX22" s="32">
        <f t="shared" si="34"/>
        <v>174.1588492032555</v>
      </c>
      <c r="EY22" s="32">
        <f t="shared" si="34"/>
        <v>173.2234718433544</v>
      </c>
      <c r="EZ22" s="32">
        <f t="shared" si="34"/>
        <v>165.4297261486355</v>
      </c>
      <c r="FA22" s="32">
        <f t="shared" si="34"/>
        <v>144.0820621504507</v>
      </c>
      <c r="FB22" s="32">
        <f t="shared" si="34"/>
        <v>167.5575308719091</v>
      </c>
      <c r="FC22" s="32">
        <f t="shared" si="34"/>
        <v>168.26275374102272</v>
      </c>
      <c r="FD22" s="32">
        <f t="shared" si="34"/>
        <v>172.5836660011112</v>
      </c>
      <c r="FE22" s="32">
        <f t="shared" si="34"/>
        <v>160.4998569265228</v>
      </c>
      <c r="FF22" s="32">
        <f t="shared" si="34"/>
        <v>159.4600624647403</v>
      </c>
      <c r="FG22" s="32">
        <f aca="true" t="shared" si="35" ref="FG22:GL22">+FG23+FG26</f>
        <v>177.982209022468</v>
      </c>
      <c r="FH22" s="32">
        <f t="shared" si="35"/>
        <v>164.606563550923</v>
      </c>
      <c r="FI22" s="32">
        <f t="shared" si="35"/>
        <v>157.693404020885</v>
      </c>
      <c r="FJ22" s="32">
        <f t="shared" si="35"/>
        <v>155.54598173635202</v>
      </c>
      <c r="FK22" s="32">
        <f t="shared" si="35"/>
        <v>155.3628790669601</v>
      </c>
      <c r="FL22" s="32">
        <f t="shared" si="35"/>
        <v>153.72428067333732</v>
      </c>
      <c r="FM22" s="32">
        <f t="shared" si="35"/>
        <v>155.6447819669529</v>
      </c>
      <c r="FN22" s="32">
        <f t="shared" si="35"/>
        <v>162.22273019374</v>
      </c>
      <c r="FO22" s="32">
        <f t="shared" si="35"/>
        <v>165.041772728</v>
      </c>
      <c r="FP22" s="32">
        <f t="shared" si="35"/>
        <v>173.354794226</v>
      </c>
      <c r="FQ22" s="32">
        <f t="shared" si="35"/>
        <v>171.15275568</v>
      </c>
      <c r="FR22" s="32">
        <f t="shared" si="35"/>
        <v>170.100073512</v>
      </c>
      <c r="FS22" s="32">
        <f t="shared" si="35"/>
        <v>185.40238886</v>
      </c>
      <c r="FT22" s="32">
        <f t="shared" si="35"/>
        <v>192.092418114</v>
      </c>
      <c r="FU22" s="32">
        <f t="shared" si="35"/>
        <v>179.424141424</v>
      </c>
      <c r="FV22" s="32">
        <f t="shared" si="35"/>
        <v>165.167445618</v>
      </c>
      <c r="FW22" s="32">
        <f t="shared" si="35"/>
        <v>155.75157075700002</v>
      </c>
      <c r="FX22" s="32">
        <f t="shared" si="35"/>
        <v>169.28699561</v>
      </c>
      <c r="FY22" s="32">
        <f t="shared" si="35"/>
        <v>174.459398418</v>
      </c>
      <c r="FZ22" s="32">
        <f t="shared" si="35"/>
        <v>173.739059396</v>
      </c>
      <c r="GA22" s="32">
        <f t="shared" si="35"/>
        <v>182.66094893000002</v>
      </c>
      <c r="GB22" s="32">
        <f t="shared" si="35"/>
        <v>188.314976546</v>
      </c>
      <c r="GC22" s="32">
        <f t="shared" si="35"/>
        <v>185.280341454</v>
      </c>
      <c r="GD22" s="32">
        <f t="shared" si="35"/>
        <v>192.002682768</v>
      </c>
      <c r="GE22" s="32">
        <f t="shared" si="35"/>
        <v>199.937714367</v>
      </c>
      <c r="GF22" s="32">
        <f t="shared" si="35"/>
        <v>210.862277543</v>
      </c>
      <c r="GG22" s="32">
        <f t="shared" si="35"/>
        <v>207.831997844</v>
      </c>
      <c r="GH22" s="32">
        <f t="shared" si="35"/>
        <v>200.792401062</v>
      </c>
      <c r="GI22" s="32">
        <f t="shared" si="35"/>
        <v>201.84071346300001</v>
      </c>
      <c r="GJ22" s="32">
        <f t="shared" si="35"/>
        <v>184.621141051</v>
      </c>
      <c r="GK22" s="32">
        <f t="shared" si="35"/>
        <v>195.85350280799997</v>
      </c>
      <c r="GL22" s="32">
        <f t="shared" si="35"/>
        <v>197.71761548900002</v>
      </c>
      <c r="GM22" s="33">
        <f>+GM23+GM26</f>
        <v>189.90955760100002</v>
      </c>
      <c r="GN22" s="33">
        <f>+GN23+GN26</f>
        <v>188.632620703</v>
      </c>
      <c r="GO22" s="32">
        <f>+GO23+GO26</f>
        <v>202.29999999999998</v>
      </c>
      <c r="GP22" s="32">
        <f>+GP23+GP26</f>
        <v>211</v>
      </c>
      <c r="GQ22" s="22"/>
    </row>
    <row r="23" spans="1:199" ht="12.75">
      <c r="A23" s="27" t="s">
        <v>38</v>
      </c>
      <c r="B23" s="28" t="s">
        <v>39</v>
      </c>
      <c r="C23" s="29">
        <f aca="true" t="shared" si="36" ref="C23:AH23">+C24+C25</f>
        <v>15.289024883</v>
      </c>
      <c r="D23" s="29">
        <f t="shared" si="36"/>
        <v>15.61009391</v>
      </c>
      <c r="E23" s="29">
        <f t="shared" si="36"/>
        <v>7.339692899</v>
      </c>
      <c r="F23" s="29">
        <f t="shared" si="36"/>
        <v>9.632366699999999</v>
      </c>
      <c r="G23" s="29">
        <f t="shared" si="36"/>
        <v>9.837095195</v>
      </c>
      <c r="H23" s="29">
        <f t="shared" si="36"/>
        <v>11.249794847</v>
      </c>
      <c r="I23" s="29">
        <f t="shared" si="36"/>
        <v>7.528619691000001</v>
      </c>
      <c r="J23" s="29">
        <f t="shared" si="36"/>
        <v>5.547719116000001</v>
      </c>
      <c r="K23" s="29">
        <f t="shared" si="36"/>
        <v>7.980614303000001</v>
      </c>
      <c r="L23" s="29">
        <f t="shared" si="36"/>
        <v>7.741298002</v>
      </c>
      <c r="M23" s="29">
        <f t="shared" si="36"/>
        <v>11.883898395</v>
      </c>
      <c r="N23" s="29">
        <f t="shared" si="36"/>
        <v>12.287043471</v>
      </c>
      <c r="O23" s="29">
        <f t="shared" si="36"/>
        <v>13.213672891</v>
      </c>
      <c r="P23" s="29">
        <f t="shared" si="36"/>
        <v>12.194190824</v>
      </c>
      <c r="Q23" s="29">
        <f t="shared" si="36"/>
        <v>14.26466547</v>
      </c>
      <c r="R23" s="29">
        <f t="shared" si="36"/>
        <v>11.818704442</v>
      </c>
      <c r="S23" s="29">
        <f t="shared" si="36"/>
        <v>12.525040993</v>
      </c>
      <c r="T23" s="29">
        <f t="shared" si="36"/>
        <v>11.131971779</v>
      </c>
      <c r="U23" s="29">
        <f t="shared" si="36"/>
        <v>10.608267915</v>
      </c>
      <c r="V23" s="29">
        <f t="shared" si="36"/>
        <v>11.423026765</v>
      </c>
      <c r="W23" s="29">
        <f t="shared" si="36"/>
        <v>14.034003144</v>
      </c>
      <c r="X23" s="29">
        <f t="shared" si="36"/>
        <v>13.192311566</v>
      </c>
      <c r="Y23" s="29">
        <f t="shared" si="36"/>
        <v>17.457003269</v>
      </c>
      <c r="Z23" s="29">
        <f t="shared" si="36"/>
        <v>17.234346711</v>
      </c>
      <c r="AA23" s="29">
        <f t="shared" si="36"/>
        <v>14.059066378</v>
      </c>
      <c r="AB23" s="29">
        <f t="shared" si="36"/>
        <v>17.00603052</v>
      </c>
      <c r="AC23" s="29">
        <f t="shared" si="36"/>
        <v>14.27087038</v>
      </c>
      <c r="AD23" s="29">
        <f t="shared" si="36"/>
        <v>13.335699311</v>
      </c>
      <c r="AE23" s="29">
        <f t="shared" si="36"/>
        <v>12.706471026</v>
      </c>
      <c r="AF23" s="29">
        <f t="shared" si="36"/>
        <v>11.568331933</v>
      </c>
      <c r="AG23" s="29">
        <f t="shared" si="36"/>
        <v>10.375795996999999</v>
      </c>
      <c r="AH23" s="29">
        <f t="shared" si="36"/>
        <v>9.939298053</v>
      </c>
      <c r="AI23" s="29">
        <f aca="true" t="shared" si="37" ref="AI23:BN23">+AI24+AI25</f>
        <v>11.045933599</v>
      </c>
      <c r="AJ23" s="29">
        <f t="shared" si="37"/>
        <v>11.19961844</v>
      </c>
      <c r="AK23" s="29">
        <f t="shared" si="37"/>
        <v>12.501783769000001</v>
      </c>
      <c r="AL23" s="29">
        <f t="shared" si="37"/>
        <v>11.949816168</v>
      </c>
      <c r="AM23" s="29">
        <f t="shared" si="37"/>
        <v>10.74931291</v>
      </c>
      <c r="AN23" s="29">
        <f t="shared" si="37"/>
        <v>10.924183142</v>
      </c>
      <c r="AO23" s="29">
        <f t="shared" si="37"/>
        <v>11.074680492999999</v>
      </c>
      <c r="AP23" s="29">
        <f t="shared" si="37"/>
        <v>10.471790330000001</v>
      </c>
      <c r="AQ23" s="29">
        <f t="shared" si="37"/>
        <v>10.175189276</v>
      </c>
      <c r="AR23" s="29">
        <f t="shared" si="37"/>
        <v>11.345551175</v>
      </c>
      <c r="AS23" s="29">
        <f t="shared" si="37"/>
        <v>8.884341277999999</v>
      </c>
      <c r="AT23" s="29">
        <f t="shared" si="37"/>
        <v>8.151819645</v>
      </c>
      <c r="AU23" s="29">
        <f t="shared" si="37"/>
        <v>10.826881744</v>
      </c>
      <c r="AV23" s="29">
        <f t="shared" si="37"/>
        <v>11.234164388</v>
      </c>
      <c r="AW23" s="29">
        <f t="shared" si="37"/>
        <v>10.716608291</v>
      </c>
      <c r="AX23" s="29">
        <f t="shared" si="37"/>
        <v>8.739310065000002</v>
      </c>
      <c r="AY23" s="29">
        <f t="shared" si="37"/>
        <v>9.823230126</v>
      </c>
      <c r="AZ23" s="29">
        <f t="shared" si="37"/>
        <v>11.698946753</v>
      </c>
      <c r="BA23" s="29">
        <f t="shared" si="37"/>
        <v>10.269439547000001</v>
      </c>
      <c r="BB23" s="29">
        <f t="shared" si="37"/>
        <v>8.600082267</v>
      </c>
      <c r="BC23" s="29">
        <f t="shared" si="37"/>
        <v>10.883081717000001</v>
      </c>
      <c r="BD23" s="29">
        <f t="shared" si="37"/>
        <v>13.173234758000001</v>
      </c>
      <c r="BE23" s="29">
        <f t="shared" si="37"/>
        <v>10.904041194000001</v>
      </c>
      <c r="BF23" s="29">
        <f t="shared" si="37"/>
        <v>10.574299115999999</v>
      </c>
      <c r="BG23" s="29">
        <f t="shared" si="37"/>
        <v>9.981547226</v>
      </c>
      <c r="BH23" s="29">
        <f t="shared" si="37"/>
        <v>10.673663469</v>
      </c>
      <c r="BI23" s="29">
        <f t="shared" si="37"/>
        <v>9.753117407000003</v>
      </c>
      <c r="BJ23" s="29">
        <f t="shared" si="37"/>
        <v>8.203076713999998</v>
      </c>
      <c r="BK23" s="29">
        <f t="shared" si="37"/>
        <v>8.593980018000002</v>
      </c>
      <c r="BL23" s="29">
        <f t="shared" si="37"/>
        <v>9.866090045999998</v>
      </c>
      <c r="BM23" s="29">
        <f t="shared" si="37"/>
        <v>10.833962575000001</v>
      </c>
      <c r="BN23" s="29">
        <f t="shared" si="37"/>
        <v>9.893405627000002</v>
      </c>
      <c r="BO23" s="29">
        <f aca="true" t="shared" si="38" ref="BO23:CT23">+BO24+BO25</f>
        <v>10.071092981999996</v>
      </c>
      <c r="BP23" s="29">
        <f t="shared" si="38"/>
        <v>7.57866304</v>
      </c>
      <c r="BQ23" s="29">
        <f t="shared" si="38"/>
        <v>10.117729865</v>
      </c>
      <c r="BR23" s="29">
        <f t="shared" si="38"/>
        <v>10.869333832</v>
      </c>
      <c r="BS23" s="29">
        <f t="shared" si="38"/>
        <v>8.947247228</v>
      </c>
      <c r="BT23" s="29">
        <f t="shared" si="38"/>
        <v>12.715530827</v>
      </c>
      <c r="BU23" s="29">
        <f t="shared" si="38"/>
        <v>8.717627808000001</v>
      </c>
      <c r="BV23" s="29">
        <f t="shared" si="38"/>
        <v>1.3991162609999994</v>
      </c>
      <c r="BW23" s="29">
        <f t="shared" si="38"/>
        <v>12.161539721</v>
      </c>
      <c r="BX23" s="29">
        <f t="shared" si="38"/>
        <v>12.494112655</v>
      </c>
      <c r="BY23" s="29">
        <f t="shared" si="38"/>
        <v>19.070221317999998</v>
      </c>
      <c r="BZ23" s="29">
        <f t="shared" si="38"/>
        <v>17.92332536</v>
      </c>
      <c r="CA23" s="29">
        <f t="shared" si="38"/>
        <v>22.141063862000003</v>
      </c>
      <c r="CB23" s="29">
        <f t="shared" si="38"/>
        <v>11.909191756</v>
      </c>
      <c r="CC23" s="29">
        <f t="shared" si="38"/>
        <v>10.941925336</v>
      </c>
      <c r="CD23" s="29">
        <f t="shared" si="38"/>
        <v>20.63063365</v>
      </c>
      <c r="CE23" s="29">
        <f t="shared" si="38"/>
        <v>21.487203839000003</v>
      </c>
      <c r="CF23" s="29">
        <f t="shared" si="38"/>
        <v>25.384002981</v>
      </c>
      <c r="CG23" s="29">
        <f t="shared" si="38"/>
        <v>22.197873187</v>
      </c>
      <c r="CH23" s="29">
        <f t="shared" si="38"/>
        <v>12.107277681</v>
      </c>
      <c r="CI23" s="29">
        <f t="shared" si="38"/>
        <v>14.055752891000001</v>
      </c>
      <c r="CJ23" s="29">
        <f t="shared" si="38"/>
        <v>13.93483205</v>
      </c>
      <c r="CK23" s="29">
        <f t="shared" si="38"/>
        <v>19.960105445</v>
      </c>
      <c r="CL23" s="29">
        <f t="shared" si="38"/>
        <v>17.581810116</v>
      </c>
      <c r="CM23" s="29">
        <f t="shared" si="38"/>
        <v>24.818914563999996</v>
      </c>
      <c r="CN23" s="29">
        <f t="shared" si="38"/>
        <v>15.499172202999999</v>
      </c>
      <c r="CO23" s="29">
        <f t="shared" si="38"/>
        <v>14.524826187</v>
      </c>
      <c r="CP23" s="29">
        <f t="shared" si="38"/>
        <v>18.089046382</v>
      </c>
      <c r="CQ23" s="29">
        <f t="shared" si="38"/>
        <v>22.854066466</v>
      </c>
      <c r="CR23" s="29">
        <f t="shared" si="38"/>
        <v>25.485769894999997</v>
      </c>
      <c r="CS23" s="29">
        <f t="shared" si="38"/>
        <v>26.647046736</v>
      </c>
      <c r="CT23" s="29">
        <f t="shared" si="38"/>
        <v>6.74947959</v>
      </c>
      <c r="CU23" s="29">
        <f aca="true" t="shared" si="39" ref="CU23:DZ23">+CU24+CU25</f>
        <v>8.659913601000003</v>
      </c>
      <c r="CV23" s="29">
        <f t="shared" si="39"/>
        <v>13.923142706000002</v>
      </c>
      <c r="CW23" s="29">
        <f t="shared" si="39"/>
        <v>28.100477431</v>
      </c>
      <c r="CX23" s="29">
        <f t="shared" si="39"/>
        <v>24.087351799</v>
      </c>
      <c r="CY23" s="29">
        <f t="shared" si="39"/>
        <v>33.249792502</v>
      </c>
      <c r="CZ23" s="29">
        <f t="shared" si="39"/>
        <v>28.111226932</v>
      </c>
      <c r="DA23" s="29">
        <f t="shared" si="39"/>
        <v>21.193929515999997</v>
      </c>
      <c r="DB23" s="29">
        <f t="shared" si="39"/>
        <v>20.824724755000002</v>
      </c>
      <c r="DC23" s="29">
        <f t="shared" si="39"/>
        <v>26.260178035000003</v>
      </c>
      <c r="DD23" s="29">
        <f t="shared" si="39"/>
        <v>29.957024684</v>
      </c>
      <c r="DE23" s="29">
        <f t="shared" si="39"/>
        <v>32.088912882</v>
      </c>
      <c r="DF23" s="29">
        <f t="shared" si="39"/>
        <v>32.133331831</v>
      </c>
      <c r="DG23" s="29">
        <f t="shared" si="39"/>
        <v>34.540715804</v>
      </c>
      <c r="DH23" s="29">
        <f t="shared" si="39"/>
        <v>34.541242302</v>
      </c>
      <c r="DI23" s="29">
        <f t="shared" si="39"/>
        <v>36.703395752</v>
      </c>
      <c r="DJ23" s="29">
        <f t="shared" si="39"/>
        <v>38.174454685</v>
      </c>
      <c r="DK23" s="29">
        <f t="shared" si="39"/>
        <v>39.930456703</v>
      </c>
      <c r="DL23" s="29">
        <f t="shared" si="39"/>
        <v>29.710592179</v>
      </c>
      <c r="DM23" s="29">
        <f t="shared" si="39"/>
        <v>31.246732009000002</v>
      </c>
      <c r="DN23" s="29">
        <f t="shared" si="39"/>
        <v>32.95262371300001</v>
      </c>
      <c r="DO23" s="29">
        <f t="shared" si="39"/>
        <v>33.853741064000005</v>
      </c>
      <c r="DP23" s="29">
        <f t="shared" si="39"/>
        <v>37.917260224</v>
      </c>
      <c r="DQ23" s="29">
        <f t="shared" si="39"/>
        <v>39.104082790999996</v>
      </c>
      <c r="DR23" s="29">
        <f t="shared" si="39"/>
        <v>21.444484689</v>
      </c>
      <c r="DS23" s="29">
        <f t="shared" si="39"/>
        <v>37.005920101</v>
      </c>
      <c r="DT23" s="29">
        <f t="shared" si="39"/>
        <v>35.515679398</v>
      </c>
      <c r="DU23" s="29">
        <f t="shared" si="39"/>
        <v>28.904390134000003</v>
      </c>
      <c r="DV23" s="29">
        <f t="shared" si="39"/>
        <v>28.972167502999998</v>
      </c>
      <c r="DW23" s="29">
        <f t="shared" si="39"/>
        <v>30.301051782000002</v>
      </c>
      <c r="DX23" s="29">
        <f t="shared" si="39"/>
        <v>35.465905753</v>
      </c>
      <c r="DY23" s="29">
        <f t="shared" si="39"/>
        <v>27.991343502</v>
      </c>
      <c r="DZ23" s="29">
        <f t="shared" si="39"/>
        <v>32.332767367</v>
      </c>
      <c r="EA23" s="29">
        <f aca="true" t="shared" si="40" ref="EA23:FF23">+EA24+EA25</f>
        <v>30.051172262999998</v>
      </c>
      <c r="EB23" s="29">
        <f t="shared" si="40"/>
        <v>35.590057611999995</v>
      </c>
      <c r="EC23" s="29">
        <f t="shared" si="40"/>
        <v>40.611686648</v>
      </c>
      <c r="ED23" s="29">
        <f t="shared" si="40"/>
        <v>36.815483879</v>
      </c>
      <c r="EE23" s="29">
        <f t="shared" si="40"/>
        <v>39.894317134000005</v>
      </c>
      <c r="EF23" s="29">
        <f t="shared" si="40"/>
        <v>47.453671109</v>
      </c>
      <c r="EG23" s="29">
        <f t="shared" si="40"/>
        <v>48.211779727</v>
      </c>
      <c r="EH23" s="29">
        <f t="shared" si="40"/>
        <v>46.867756959000005</v>
      </c>
      <c r="EI23" s="29">
        <f t="shared" si="40"/>
        <v>46.234518287</v>
      </c>
      <c r="EJ23" s="29">
        <f t="shared" si="40"/>
        <v>36.944407586</v>
      </c>
      <c r="EK23" s="29">
        <f t="shared" si="40"/>
        <v>81.877706664</v>
      </c>
      <c r="EL23" s="29">
        <f t="shared" si="40"/>
        <v>84.399379032</v>
      </c>
      <c r="EM23" s="29">
        <f t="shared" si="40"/>
        <v>83.600788979</v>
      </c>
      <c r="EN23" s="29">
        <f t="shared" si="40"/>
        <v>86.05704115500001</v>
      </c>
      <c r="EO23" s="29">
        <f t="shared" si="40"/>
        <v>84.00166682</v>
      </c>
      <c r="EP23" s="29">
        <f t="shared" si="40"/>
        <v>94.07702509800001</v>
      </c>
      <c r="EQ23" s="29">
        <f t="shared" si="40"/>
        <v>97.303540691</v>
      </c>
      <c r="ER23" s="29">
        <f t="shared" si="40"/>
        <v>98.198275458</v>
      </c>
      <c r="ES23" s="29">
        <f t="shared" si="40"/>
        <v>96.54735866200001</v>
      </c>
      <c r="ET23" s="29">
        <f t="shared" si="40"/>
        <v>89.459356875</v>
      </c>
      <c r="EU23" s="29">
        <f t="shared" si="40"/>
        <v>101.996387315</v>
      </c>
      <c r="EV23" s="29">
        <f t="shared" si="40"/>
        <v>105.94405849500001</v>
      </c>
      <c r="EW23" s="29">
        <f t="shared" si="40"/>
        <v>100.609103054</v>
      </c>
      <c r="EX23" s="29">
        <f t="shared" si="40"/>
        <v>104.93292361799999</v>
      </c>
      <c r="EY23" s="29">
        <f t="shared" si="40"/>
        <v>103.29358594</v>
      </c>
      <c r="EZ23" s="29">
        <f t="shared" si="40"/>
        <v>105.131885979</v>
      </c>
      <c r="FA23" s="29">
        <f t="shared" si="40"/>
        <v>101.55242586</v>
      </c>
      <c r="FB23" s="29">
        <f t="shared" si="40"/>
        <v>111.32755165900001</v>
      </c>
      <c r="FC23" s="29">
        <f t="shared" si="40"/>
        <v>98.853933876</v>
      </c>
      <c r="FD23" s="29">
        <f t="shared" si="40"/>
        <v>103.113278091</v>
      </c>
      <c r="FE23" s="29">
        <f t="shared" si="40"/>
        <v>71.60451244000001</v>
      </c>
      <c r="FF23" s="29">
        <f t="shared" si="40"/>
        <v>65.50040997400001</v>
      </c>
      <c r="FG23" s="29">
        <f aca="true" t="shared" si="41" ref="FG23:GL23">+FG24+FG25</f>
        <v>68.880073391</v>
      </c>
      <c r="FH23" s="29">
        <f t="shared" si="41"/>
        <v>57.669836335</v>
      </c>
      <c r="FI23" s="29">
        <f t="shared" si="41"/>
        <v>56.086045917999996</v>
      </c>
      <c r="FJ23" s="29">
        <f t="shared" si="41"/>
        <v>56.963672711</v>
      </c>
      <c r="FK23" s="29">
        <f t="shared" si="41"/>
        <v>57.575647114</v>
      </c>
      <c r="FL23" s="29">
        <f t="shared" si="41"/>
        <v>59.370334114</v>
      </c>
      <c r="FM23" s="29">
        <f t="shared" si="41"/>
        <v>58.822286739999996</v>
      </c>
      <c r="FN23" s="29">
        <f t="shared" si="41"/>
        <v>61.808223794</v>
      </c>
      <c r="FO23" s="29">
        <f t="shared" si="41"/>
        <v>54.158403396</v>
      </c>
      <c r="FP23" s="29">
        <f t="shared" si="41"/>
        <v>58.09001162999999</v>
      </c>
      <c r="FQ23" s="29">
        <f t="shared" si="41"/>
        <v>55.974964616</v>
      </c>
      <c r="FR23" s="29">
        <f t="shared" si="41"/>
        <v>51.68315440000001</v>
      </c>
      <c r="FS23" s="29">
        <f t="shared" si="41"/>
        <v>49.628152576</v>
      </c>
      <c r="FT23" s="29">
        <f t="shared" si="41"/>
        <v>57.537303514</v>
      </c>
      <c r="FU23" s="29">
        <f t="shared" si="41"/>
        <v>55.55160893</v>
      </c>
      <c r="FV23" s="29">
        <f t="shared" si="41"/>
        <v>50.863214942</v>
      </c>
      <c r="FW23" s="29">
        <f t="shared" si="41"/>
        <v>44.784670555000005</v>
      </c>
      <c r="FX23" s="29">
        <f t="shared" si="41"/>
        <v>55.86132005899999</v>
      </c>
      <c r="FY23" s="29">
        <f t="shared" si="41"/>
        <v>55.606776486</v>
      </c>
      <c r="FZ23" s="29">
        <f t="shared" si="41"/>
        <v>51.707232818</v>
      </c>
      <c r="GA23" s="29">
        <f t="shared" si="41"/>
        <v>48.838089187</v>
      </c>
      <c r="GB23" s="29">
        <f t="shared" si="41"/>
        <v>52.212461854</v>
      </c>
      <c r="GC23" s="29">
        <f t="shared" si="41"/>
        <v>51.779404434</v>
      </c>
      <c r="GD23" s="29">
        <f t="shared" si="41"/>
        <v>52.927564835</v>
      </c>
      <c r="GE23" s="29">
        <f t="shared" si="41"/>
        <v>51.351132018</v>
      </c>
      <c r="GF23" s="29">
        <f t="shared" si="41"/>
        <v>52.60981609700001</v>
      </c>
      <c r="GG23" s="29">
        <f t="shared" si="41"/>
        <v>52.240401702</v>
      </c>
      <c r="GH23" s="29">
        <f t="shared" si="41"/>
        <v>53.007091732999996</v>
      </c>
      <c r="GI23" s="29">
        <f t="shared" si="41"/>
        <v>54.436106039</v>
      </c>
      <c r="GJ23" s="29">
        <f t="shared" si="41"/>
        <v>48.92612045600001</v>
      </c>
      <c r="GK23" s="29">
        <f t="shared" si="41"/>
        <v>52.129630946999995</v>
      </c>
      <c r="GL23" s="29">
        <f t="shared" si="41"/>
        <v>58.831925166000005</v>
      </c>
      <c r="GM23" s="26">
        <f>+GM24+GM25</f>
        <v>52.797080695</v>
      </c>
      <c r="GN23" s="26">
        <f>+GN24+GN25</f>
        <v>52.319562301999994</v>
      </c>
      <c r="GO23" s="29">
        <f>+GO24+GO25</f>
        <v>60.5</v>
      </c>
      <c r="GP23" s="29">
        <f>+GP24+GP25</f>
        <v>62.4</v>
      </c>
      <c r="GQ23" s="22"/>
    </row>
    <row r="24" spans="1:199" ht="12.75">
      <c r="A24" s="27" t="s">
        <v>40</v>
      </c>
      <c r="B24" s="38" t="s">
        <v>18</v>
      </c>
      <c r="C24" s="29">
        <v>13.712024883</v>
      </c>
      <c r="D24" s="29">
        <v>15.20009391</v>
      </c>
      <c r="E24" s="29">
        <v>8.055692899</v>
      </c>
      <c r="F24" s="29">
        <v>10.612366699999999</v>
      </c>
      <c r="G24" s="29">
        <v>10.671095195</v>
      </c>
      <c r="H24" s="29">
        <v>11.792794847</v>
      </c>
      <c r="I24" s="29">
        <v>10.606619691</v>
      </c>
      <c r="J24" s="29">
        <v>7.9147191160000006</v>
      </c>
      <c r="K24" s="29">
        <v>9.077614303</v>
      </c>
      <c r="L24" s="29">
        <v>8.160298002</v>
      </c>
      <c r="M24" s="29">
        <v>10.979898395</v>
      </c>
      <c r="N24" s="29">
        <v>10.771043471</v>
      </c>
      <c r="O24" s="29">
        <v>11.216672891</v>
      </c>
      <c r="P24" s="29">
        <v>11.255190824</v>
      </c>
      <c r="Q24" s="29">
        <v>10.93966547</v>
      </c>
      <c r="R24" s="29">
        <v>11.589704442</v>
      </c>
      <c r="S24" s="29">
        <v>11.121040993</v>
      </c>
      <c r="T24" s="29">
        <v>10.490971779</v>
      </c>
      <c r="U24" s="29">
        <v>12.625267915</v>
      </c>
      <c r="V24" s="29">
        <v>13.111026765</v>
      </c>
      <c r="W24" s="29">
        <v>13.167003144</v>
      </c>
      <c r="X24" s="29">
        <v>10.344311566</v>
      </c>
      <c r="Y24" s="29">
        <v>13.231003269</v>
      </c>
      <c r="Z24" s="29">
        <v>13.154346711</v>
      </c>
      <c r="AA24" s="29">
        <v>12.897066378</v>
      </c>
      <c r="AB24" s="29">
        <v>13.12503052</v>
      </c>
      <c r="AC24" s="29">
        <v>12.74287038</v>
      </c>
      <c r="AD24" s="29">
        <v>12.810699311</v>
      </c>
      <c r="AE24" s="29">
        <v>12.574471026</v>
      </c>
      <c r="AF24" s="29">
        <v>12.192331933</v>
      </c>
      <c r="AG24" s="29">
        <v>11.775795997</v>
      </c>
      <c r="AH24" s="29">
        <v>10.818298053</v>
      </c>
      <c r="AI24" s="29">
        <v>11.551933599</v>
      </c>
      <c r="AJ24" s="29">
        <v>11.53661844</v>
      </c>
      <c r="AK24" s="29">
        <v>11.532783769</v>
      </c>
      <c r="AL24" s="29">
        <v>10.416816168</v>
      </c>
      <c r="AM24" s="29">
        <v>10.91631291</v>
      </c>
      <c r="AN24" s="29">
        <v>10.901183142</v>
      </c>
      <c r="AO24" s="29">
        <v>10.769680493</v>
      </c>
      <c r="AP24" s="29">
        <v>10.186790330000001</v>
      </c>
      <c r="AQ24" s="29">
        <v>10.236189276</v>
      </c>
      <c r="AR24" s="29">
        <v>9.817551175</v>
      </c>
      <c r="AS24" s="29">
        <v>7.242341278</v>
      </c>
      <c r="AT24" s="29">
        <v>9.309819645</v>
      </c>
      <c r="AU24" s="29">
        <v>9.807881744</v>
      </c>
      <c r="AV24" s="29">
        <v>9.839164388</v>
      </c>
      <c r="AW24" s="29">
        <v>9.272608291</v>
      </c>
      <c r="AX24" s="29">
        <v>9.362310065</v>
      </c>
      <c r="AY24" s="29">
        <v>10.531230126</v>
      </c>
      <c r="AZ24" s="29">
        <v>10.342946753</v>
      </c>
      <c r="BA24" s="29">
        <v>10.345439547</v>
      </c>
      <c r="BB24" s="29">
        <v>10.219082267</v>
      </c>
      <c r="BC24" s="29">
        <v>9.970081717</v>
      </c>
      <c r="BD24" s="29">
        <v>9.472234758</v>
      </c>
      <c r="BE24" s="29">
        <v>10.532041194</v>
      </c>
      <c r="BF24" s="29">
        <v>10.587299116</v>
      </c>
      <c r="BG24" s="29">
        <v>10.454547226</v>
      </c>
      <c r="BH24" s="29">
        <v>10.637663469</v>
      </c>
      <c r="BI24" s="29">
        <v>10.626117407</v>
      </c>
      <c r="BJ24" s="29">
        <v>8.964076714</v>
      </c>
      <c r="BK24" s="29">
        <v>8.955980018</v>
      </c>
      <c r="BL24" s="29">
        <v>9.435090046</v>
      </c>
      <c r="BM24" s="29">
        <v>9.580962575000001</v>
      </c>
      <c r="BN24" s="29">
        <v>9.495405627</v>
      </c>
      <c r="BO24" s="29">
        <v>9.542092982</v>
      </c>
      <c r="BP24" s="29">
        <v>7.97866304</v>
      </c>
      <c r="BQ24" s="29">
        <v>10.872729865</v>
      </c>
      <c r="BR24" s="29">
        <v>10.805333832</v>
      </c>
      <c r="BS24" s="29">
        <v>8.638247228</v>
      </c>
      <c r="BT24" s="29">
        <v>10.822530827</v>
      </c>
      <c r="BU24" s="29">
        <v>7.779627808</v>
      </c>
      <c r="BV24" s="29">
        <v>-0.045883739000000597</v>
      </c>
      <c r="BW24" s="29">
        <v>15.702539721</v>
      </c>
      <c r="BX24" s="29">
        <v>15.359112655</v>
      </c>
      <c r="BY24" s="29">
        <v>22.001221318</v>
      </c>
      <c r="BZ24" s="29">
        <v>22.14632536</v>
      </c>
      <c r="CA24" s="29">
        <v>24.744063862</v>
      </c>
      <c r="CB24" s="29">
        <v>17.823191756</v>
      </c>
      <c r="CC24" s="29">
        <v>14.762925336</v>
      </c>
      <c r="CD24" s="29">
        <v>20.57963365</v>
      </c>
      <c r="CE24" s="29">
        <v>21.785203839</v>
      </c>
      <c r="CF24" s="29">
        <v>22.390002981</v>
      </c>
      <c r="CG24" s="29">
        <v>24.498873187</v>
      </c>
      <c r="CH24" s="29">
        <v>16.477277681</v>
      </c>
      <c r="CI24" s="29">
        <v>18.508752891</v>
      </c>
      <c r="CJ24" s="29">
        <v>20.14083205</v>
      </c>
      <c r="CK24" s="29">
        <v>20.656105445</v>
      </c>
      <c r="CL24" s="29">
        <v>20.873810116</v>
      </c>
      <c r="CM24" s="29">
        <v>23.951914564</v>
      </c>
      <c r="CN24" s="29">
        <v>17.283172203</v>
      </c>
      <c r="CO24" s="29">
        <v>18.511826187</v>
      </c>
      <c r="CP24" s="29">
        <v>18.532046382</v>
      </c>
      <c r="CQ24" s="29">
        <v>22.202066466</v>
      </c>
      <c r="CR24" s="29">
        <v>22.405769895</v>
      </c>
      <c r="CS24" s="29">
        <v>21.912046736</v>
      </c>
      <c r="CT24" s="29">
        <v>16.01347959</v>
      </c>
      <c r="CU24" s="29">
        <v>25.527913601</v>
      </c>
      <c r="CV24" s="29">
        <v>24.497142706</v>
      </c>
      <c r="CW24" s="29">
        <v>25.154477431</v>
      </c>
      <c r="CX24" s="29">
        <v>25.172351799</v>
      </c>
      <c r="CY24" s="29">
        <v>24.192792502</v>
      </c>
      <c r="CZ24" s="29">
        <v>24.550226932</v>
      </c>
      <c r="DA24" s="29">
        <v>19.898929516</v>
      </c>
      <c r="DB24" s="29">
        <v>20.316724755</v>
      </c>
      <c r="DC24" s="29">
        <v>21.023178035</v>
      </c>
      <c r="DD24" s="29">
        <v>23.236024684</v>
      </c>
      <c r="DE24" s="29">
        <v>24.694912882</v>
      </c>
      <c r="DF24" s="29">
        <v>26.735331831</v>
      </c>
      <c r="DG24" s="29">
        <v>26.458715804</v>
      </c>
      <c r="DH24" s="29">
        <v>25.053242302</v>
      </c>
      <c r="DI24" s="29">
        <v>26.053395752</v>
      </c>
      <c r="DJ24" s="29">
        <v>25.323454685</v>
      </c>
      <c r="DK24" s="29">
        <v>25.967456703</v>
      </c>
      <c r="DL24" s="29">
        <v>26.077592179</v>
      </c>
      <c r="DM24" s="29">
        <v>26.013732009</v>
      </c>
      <c r="DN24" s="29">
        <v>25.900623713</v>
      </c>
      <c r="DO24" s="29">
        <v>25.173741064</v>
      </c>
      <c r="DP24" s="29">
        <v>25.757260224</v>
      </c>
      <c r="DQ24" s="29">
        <v>25.888082791</v>
      </c>
      <c r="DR24" s="29">
        <v>27.209484689</v>
      </c>
      <c r="DS24" s="29">
        <v>27.192920101</v>
      </c>
      <c r="DT24" s="29">
        <v>27.215679398</v>
      </c>
      <c r="DU24" s="29">
        <v>27.042390134</v>
      </c>
      <c r="DV24" s="29">
        <v>27.109167503</v>
      </c>
      <c r="DW24" s="29">
        <v>26.695051782</v>
      </c>
      <c r="DX24" s="29">
        <v>26.141905753</v>
      </c>
      <c r="DY24" s="29">
        <v>12.661343502</v>
      </c>
      <c r="DZ24" s="29">
        <v>19.026767367</v>
      </c>
      <c r="EA24" s="29">
        <v>18.236172263</v>
      </c>
      <c r="EB24" s="29">
        <v>23.023057612</v>
      </c>
      <c r="EC24" s="29">
        <v>27.035686648</v>
      </c>
      <c r="ED24" s="29">
        <v>24.734483879</v>
      </c>
      <c r="EE24" s="29">
        <v>27.170317134</v>
      </c>
      <c r="EF24" s="29">
        <v>28.619671109</v>
      </c>
      <c r="EG24" s="29">
        <v>29.304779727</v>
      </c>
      <c r="EH24" s="29">
        <v>27.975756959</v>
      </c>
      <c r="EI24" s="29">
        <v>29.308518287</v>
      </c>
      <c r="EJ24" s="29">
        <v>23.767407586</v>
      </c>
      <c r="EK24" s="29">
        <v>30.748706664</v>
      </c>
      <c r="EL24" s="29">
        <v>30.557379032</v>
      </c>
      <c r="EM24" s="29">
        <v>29.964788979</v>
      </c>
      <c r="EN24" s="29">
        <v>31.146041155</v>
      </c>
      <c r="EO24" s="29">
        <v>28.75766682</v>
      </c>
      <c r="EP24" s="29">
        <v>27.969025098</v>
      </c>
      <c r="EQ24" s="29">
        <v>32.032540691</v>
      </c>
      <c r="ER24" s="29">
        <v>31.615275458</v>
      </c>
      <c r="ES24" s="29">
        <v>30.451358662</v>
      </c>
      <c r="ET24" s="29">
        <v>20.591356875</v>
      </c>
      <c r="EU24" s="29">
        <v>32.188387315</v>
      </c>
      <c r="EV24" s="29">
        <v>32.770058495</v>
      </c>
      <c r="EW24" s="29">
        <v>33.291103054</v>
      </c>
      <c r="EX24" s="29">
        <v>32.981923618</v>
      </c>
      <c r="EY24" s="29">
        <v>31.61158594</v>
      </c>
      <c r="EZ24" s="29">
        <v>32.613885979</v>
      </c>
      <c r="FA24" s="29">
        <v>29.84642586</v>
      </c>
      <c r="FB24" s="29">
        <v>37.656551659</v>
      </c>
      <c r="FC24" s="29">
        <v>37.692933876</v>
      </c>
      <c r="FD24" s="29">
        <v>37.215278091</v>
      </c>
      <c r="FE24" s="29">
        <v>37.71751244</v>
      </c>
      <c r="FF24" s="29">
        <v>36.533409974</v>
      </c>
      <c r="FG24" s="29">
        <v>36.582073391</v>
      </c>
      <c r="FH24" s="29">
        <v>32.013836335</v>
      </c>
      <c r="FI24" s="29">
        <v>30.008045918</v>
      </c>
      <c r="FJ24" s="29">
        <v>31.617672711</v>
      </c>
      <c r="FK24" s="29">
        <v>31.402647114</v>
      </c>
      <c r="FL24" s="29">
        <v>32.245334114</v>
      </c>
      <c r="FM24" s="29">
        <v>32.13728674</v>
      </c>
      <c r="FN24" s="29">
        <v>37.100223794</v>
      </c>
      <c r="FO24" s="29">
        <v>36.236403396</v>
      </c>
      <c r="FP24" s="29">
        <v>38.08801163</v>
      </c>
      <c r="FQ24" s="29">
        <v>39.718964616</v>
      </c>
      <c r="FR24" s="29">
        <v>41.3891544</v>
      </c>
      <c r="FS24" s="29">
        <v>40.329152576</v>
      </c>
      <c r="FT24" s="29">
        <v>39.832303514</v>
      </c>
      <c r="FU24" s="29">
        <v>39.42660893</v>
      </c>
      <c r="FV24" s="29">
        <v>35.154214942</v>
      </c>
      <c r="FW24" s="29">
        <v>32.301670555</v>
      </c>
      <c r="FX24" s="29">
        <v>43.073320059</v>
      </c>
      <c r="FY24" s="29">
        <v>40.560776486</v>
      </c>
      <c r="FZ24" s="29">
        <v>43.848232818</v>
      </c>
      <c r="GA24" s="29">
        <v>43.537089187</v>
      </c>
      <c r="GB24" s="29">
        <v>43.270461854</v>
      </c>
      <c r="GC24" s="29">
        <v>36.974404434</v>
      </c>
      <c r="GD24" s="29">
        <v>36.340564835</v>
      </c>
      <c r="GE24" s="29">
        <v>36.518132018</v>
      </c>
      <c r="GF24" s="29">
        <v>41.609929751</v>
      </c>
      <c r="GG24" s="29">
        <v>41.577515356</v>
      </c>
      <c r="GH24" s="29">
        <v>42.132205387</v>
      </c>
      <c r="GI24" s="29">
        <v>38.600219693</v>
      </c>
      <c r="GJ24" s="29">
        <v>36.16423411</v>
      </c>
      <c r="GK24" s="29">
        <v>37.194744601</v>
      </c>
      <c r="GL24" s="29">
        <v>42.64003882</v>
      </c>
      <c r="GM24" s="26">
        <v>32.880194349</v>
      </c>
      <c r="GN24" s="26">
        <v>33.971675956</v>
      </c>
      <c r="GO24" s="29">
        <f>+43</f>
        <v>43</v>
      </c>
      <c r="GP24" s="29">
        <v>44</v>
      </c>
      <c r="GQ24" s="22"/>
    </row>
    <row r="25" spans="1:199" ht="12.75">
      <c r="A25" s="27" t="s">
        <v>41</v>
      </c>
      <c r="B25" s="38" t="s">
        <v>20</v>
      </c>
      <c r="C25" s="29">
        <v>1.577</v>
      </c>
      <c r="D25" s="29">
        <v>0.41</v>
      </c>
      <c r="E25" s="29">
        <v>-0.716</v>
      </c>
      <c r="F25" s="29">
        <v>-0.98</v>
      </c>
      <c r="G25" s="29">
        <v>-0.834</v>
      </c>
      <c r="H25" s="29">
        <v>-0.543</v>
      </c>
      <c r="I25" s="29">
        <v>-3.078</v>
      </c>
      <c r="J25" s="29">
        <v>-2.367</v>
      </c>
      <c r="K25" s="29">
        <v>-1.097</v>
      </c>
      <c r="L25" s="29">
        <v>-0.419</v>
      </c>
      <c r="M25" s="29">
        <v>0.904</v>
      </c>
      <c r="N25" s="29">
        <v>1.516</v>
      </c>
      <c r="O25" s="29">
        <v>1.9969999999999999</v>
      </c>
      <c r="P25" s="29">
        <v>0.9390000000000001</v>
      </c>
      <c r="Q25" s="29">
        <v>3.325</v>
      </c>
      <c r="R25" s="29">
        <v>0.229</v>
      </c>
      <c r="S25" s="29">
        <v>1.404</v>
      </c>
      <c r="T25" s="29">
        <v>0.641</v>
      </c>
      <c r="U25" s="29">
        <v>-2.017</v>
      </c>
      <c r="V25" s="29">
        <v>-1.6880000000000002</v>
      </c>
      <c r="W25" s="29">
        <v>0.867</v>
      </c>
      <c r="X25" s="29">
        <v>2.848</v>
      </c>
      <c r="Y25" s="29">
        <v>4.226</v>
      </c>
      <c r="Z25" s="29">
        <v>4.08</v>
      </c>
      <c r="AA25" s="29">
        <v>1.162</v>
      </c>
      <c r="AB25" s="29">
        <v>3.8810000000000002</v>
      </c>
      <c r="AC25" s="29">
        <v>1.528</v>
      </c>
      <c r="AD25" s="29">
        <v>0.525</v>
      </c>
      <c r="AE25" s="29">
        <v>0.132</v>
      </c>
      <c r="AF25" s="29">
        <v>-0.624</v>
      </c>
      <c r="AG25" s="29">
        <v>-1.4</v>
      </c>
      <c r="AH25" s="29">
        <v>-0.879</v>
      </c>
      <c r="AI25" s="29">
        <v>-0.506</v>
      </c>
      <c r="AJ25" s="29">
        <v>-0.337</v>
      </c>
      <c r="AK25" s="29">
        <v>0.9690000000000011</v>
      </c>
      <c r="AL25" s="29">
        <v>1.533</v>
      </c>
      <c r="AM25" s="29">
        <v>-0.167</v>
      </c>
      <c r="AN25" s="29">
        <v>0.0229999999999997</v>
      </c>
      <c r="AO25" s="29">
        <v>0.305</v>
      </c>
      <c r="AP25" s="29">
        <v>0.28500000000000003</v>
      </c>
      <c r="AQ25" s="29">
        <v>-0.0610000000000004</v>
      </c>
      <c r="AR25" s="29">
        <v>1.528</v>
      </c>
      <c r="AS25" s="29">
        <v>1.642</v>
      </c>
      <c r="AT25" s="29">
        <v>-1.158</v>
      </c>
      <c r="AU25" s="29">
        <v>1.019</v>
      </c>
      <c r="AV25" s="29">
        <v>1.395</v>
      </c>
      <c r="AW25" s="29">
        <v>1.444</v>
      </c>
      <c r="AX25" s="29">
        <v>-0.622999999999999</v>
      </c>
      <c r="AY25" s="29">
        <v>-0.708</v>
      </c>
      <c r="AZ25" s="29">
        <v>1.3559999999999999</v>
      </c>
      <c r="BA25" s="29">
        <v>-0.0759999999999996</v>
      </c>
      <c r="BB25" s="29">
        <v>-1.619</v>
      </c>
      <c r="BC25" s="29">
        <v>0.913000000000002</v>
      </c>
      <c r="BD25" s="29">
        <v>3.701</v>
      </c>
      <c r="BE25" s="29">
        <v>0.37200000000000205</v>
      </c>
      <c r="BF25" s="29">
        <v>-0.0130000000000017</v>
      </c>
      <c r="BG25" s="29">
        <v>-0.47300000000000003</v>
      </c>
      <c r="BH25" s="29">
        <v>0.0359999999999996</v>
      </c>
      <c r="BI25" s="29">
        <v>-0.8729999999999981</v>
      </c>
      <c r="BJ25" s="29">
        <v>-0.761000000000003</v>
      </c>
      <c r="BK25" s="29">
        <v>-0.36199999999999805</v>
      </c>
      <c r="BL25" s="29">
        <v>0.431</v>
      </c>
      <c r="BM25" s="29">
        <v>1.2530000000000001</v>
      </c>
      <c r="BN25" s="29">
        <v>0.398000000000001</v>
      </c>
      <c r="BO25" s="29">
        <v>0.528999999999997</v>
      </c>
      <c r="BP25" s="29">
        <v>-0.399999999999999</v>
      </c>
      <c r="BQ25" s="29">
        <v>-0.755000000000001</v>
      </c>
      <c r="BR25" s="29">
        <v>0.0640000000000001</v>
      </c>
      <c r="BS25" s="29">
        <v>0.309</v>
      </c>
      <c r="BT25" s="29">
        <v>1.893</v>
      </c>
      <c r="BU25" s="29">
        <v>0.938000000000001</v>
      </c>
      <c r="BV25" s="29">
        <v>1.445</v>
      </c>
      <c r="BW25" s="29">
        <v>-3.541</v>
      </c>
      <c r="BX25" s="29">
        <v>-2.865</v>
      </c>
      <c r="BY25" s="29">
        <v>-2.931</v>
      </c>
      <c r="BZ25" s="29">
        <v>-4.223</v>
      </c>
      <c r="CA25" s="29">
        <v>-2.6029999999999998</v>
      </c>
      <c r="CB25" s="29">
        <v>-5.914</v>
      </c>
      <c r="CC25" s="29">
        <v>-3.821</v>
      </c>
      <c r="CD25" s="29">
        <v>0.0509999999999984</v>
      </c>
      <c r="CE25" s="29">
        <v>-0.298</v>
      </c>
      <c r="CF25" s="29">
        <v>2.9939999999999998</v>
      </c>
      <c r="CG25" s="29">
        <v>-2.301</v>
      </c>
      <c r="CH25" s="29">
        <v>-4.37</v>
      </c>
      <c r="CI25" s="29">
        <v>-4.453</v>
      </c>
      <c r="CJ25" s="29">
        <v>-6.206</v>
      </c>
      <c r="CK25" s="29">
        <v>-0.6960000000000001</v>
      </c>
      <c r="CL25" s="29">
        <v>-3.292</v>
      </c>
      <c r="CM25" s="29">
        <v>0.8669999999999971</v>
      </c>
      <c r="CN25" s="29">
        <v>-1.784</v>
      </c>
      <c r="CO25" s="29">
        <v>-3.987</v>
      </c>
      <c r="CP25" s="29">
        <v>-0.443</v>
      </c>
      <c r="CQ25" s="29">
        <v>0.651999999999999</v>
      </c>
      <c r="CR25" s="29">
        <v>3.08</v>
      </c>
      <c r="CS25" s="29">
        <v>4.735</v>
      </c>
      <c r="CT25" s="29">
        <v>-9.264</v>
      </c>
      <c r="CU25" s="29">
        <v>-16.868</v>
      </c>
      <c r="CV25" s="29">
        <v>-10.574</v>
      </c>
      <c r="CW25" s="29">
        <v>2.946</v>
      </c>
      <c r="CX25" s="29">
        <v>-1.085</v>
      </c>
      <c r="CY25" s="29">
        <v>9.057</v>
      </c>
      <c r="CZ25" s="29">
        <v>3.561</v>
      </c>
      <c r="DA25" s="29">
        <v>1.295</v>
      </c>
      <c r="DB25" s="29">
        <v>0.508000000000001</v>
      </c>
      <c r="DC25" s="29">
        <v>5.237</v>
      </c>
      <c r="DD25" s="29">
        <v>6.721</v>
      </c>
      <c r="DE25" s="29">
        <v>7.394</v>
      </c>
      <c r="DF25" s="29">
        <v>5.398</v>
      </c>
      <c r="DG25" s="29">
        <v>8.082</v>
      </c>
      <c r="DH25" s="29">
        <v>9.488</v>
      </c>
      <c r="DI25" s="29">
        <v>10.65</v>
      </c>
      <c r="DJ25" s="29">
        <v>12.850999999999999</v>
      </c>
      <c r="DK25" s="29">
        <v>13.963</v>
      </c>
      <c r="DL25" s="29">
        <v>3.633</v>
      </c>
      <c r="DM25" s="29">
        <v>5.233</v>
      </c>
      <c r="DN25" s="29">
        <v>7.05200000000001</v>
      </c>
      <c r="DO25" s="29">
        <v>8.68</v>
      </c>
      <c r="DP25" s="29">
        <v>12.16</v>
      </c>
      <c r="DQ25" s="29">
        <v>13.216</v>
      </c>
      <c r="DR25" s="29">
        <v>-5.765</v>
      </c>
      <c r="DS25" s="29">
        <v>9.813</v>
      </c>
      <c r="DT25" s="29">
        <v>8.3</v>
      </c>
      <c r="DU25" s="29">
        <v>1.862</v>
      </c>
      <c r="DV25" s="29">
        <v>1.863</v>
      </c>
      <c r="DW25" s="29">
        <v>3.606</v>
      </c>
      <c r="DX25" s="29">
        <v>9.324</v>
      </c>
      <c r="DY25" s="29">
        <v>15.33</v>
      </c>
      <c r="DZ25" s="29">
        <v>13.306</v>
      </c>
      <c r="EA25" s="29">
        <v>11.815</v>
      </c>
      <c r="EB25" s="29">
        <v>12.567</v>
      </c>
      <c r="EC25" s="29">
        <v>13.576</v>
      </c>
      <c r="ED25" s="29">
        <v>12.081</v>
      </c>
      <c r="EE25" s="29">
        <v>12.724</v>
      </c>
      <c r="EF25" s="29">
        <v>18.834</v>
      </c>
      <c r="EG25" s="29">
        <v>18.907</v>
      </c>
      <c r="EH25" s="29">
        <v>18.892</v>
      </c>
      <c r="EI25" s="29">
        <v>16.926</v>
      </c>
      <c r="EJ25" s="29">
        <v>13.177</v>
      </c>
      <c r="EK25" s="29">
        <v>51.129</v>
      </c>
      <c r="EL25" s="29">
        <v>53.842</v>
      </c>
      <c r="EM25" s="29">
        <v>53.636</v>
      </c>
      <c r="EN25" s="29">
        <v>54.911</v>
      </c>
      <c r="EO25" s="29">
        <v>55.244</v>
      </c>
      <c r="EP25" s="29">
        <v>66.108</v>
      </c>
      <c r="EQ25" s="29">
        <v>65.271</v>
      </c>
      <c r="ER25" s="29">
        <v>66.583</v>
      </c>
      <c r="ES25" s="29">
        <v>66.096</v>
      </c>
      <c r="ET25" s="29">
        <v>68.868</v>
      </c>
      <c r="EU25" s="29">
        <v>69.808</v>
      </c>
      <c r="EV25" s="29">
        <v>73.174</v>
      </c>
      <c r="EW25" s="29">
        <v>67.318</v>
      </c>
      <c r="EX25" s="29">
        <v>71.951</v>
      </c>
      <c r="EY25" s="29">
        <v>71.682</v>
      </c>
      <c r="EZ25" s="29">
        <v>72.518</v>
      </c>
      <c r="FA25" s="29">
        <v>71.706</v>
      </c>
      <c r="FB25" s="29">
        <v>73.671</v>
      </c>
      <c r="FC25" s="29">
        <v>61.161</v>
      </c>
      <c r="FD25" s="29">
        <v>65.898</v>
      </c>
      <c r="FE25" s="29">
        <v>33.887</v>
      </c>
      <c r="FF25" s="29">
        <v>28.967</v>
      </c>
      <c r="FG25" s="29">
        <v>32.298</v>
      </c>
      <c r="FH25" s="29">
        <v>25.656</v>
      </c>
      <c r="FI25" s="29">
        <v>26.078</v>
      </c>
      <c r="FJ25" s="29">
        <v>25.346</v>
      </c>
      <c r="FK25" s="29">
        <v>26.173</v>
      </c>
      <c r="FL25" s="29">
        <v>27.125</v>
      </c>
      <c r="FM25" s="29">
        <v>26.685</v>
      </c>
      <c r="FN25" s="29">
        <v>24.708</v>
      </c>
      <c r="FO25" s="29">
        <v>17.922</v>
      </c>
      <c r="FP25" s="29">
        <v>20.002</v>
      </c>
      <c r="FQ25" s="29">
        <v>16.256</v>
      </c>
      <c r="FR25" s="29">
        <v>10.294</v>
      </c>
      <c r="FS25" s="29">
        <v>9.299</v>
      </c>
      <c r="FT25" s="29">
        <v>17.705</v>
      </c>
      <c r="FU25" s="29">
        <v>16.125</v>
      </c>
      <c r="FV25" s="29">
        <v>15.709</v>
      </c>
      <c r="FW25" s="29">
        <v>12.483</v>
      </c>
      <c r="FX25" s="29">
        <v>12.788</v>
      </c>
      <c r="FY25" s="29">
        <v>15.046</v>
      </c>
      <c r="FZ25" s="29">
        <v>7.859</v>
      </c>
      <c r="GA25" s="29">
        <v>5.301</v>
      </c>
      <c r="GB25" s="29">
        <v>8.942</v>
      </c>
      <c r="GC25" s="29">
        <v>14.805</v>
      </c>
      <c r="GD25" s="29">
        <v>16.587</v>
      </c>
      <c r="GE25" s="29">
        <v>14.833</v>
      </c>
      <c r="GF25" s="29">
        <v>10.999886346</v>
      </c>
      <c r="GG25" s="29">
        <v>10.662886346</v>
      </c>
      <c r="GH25" s="29">
        <v>10.874886346</v>
      </c>
      <c r="GI25" s="29">
        <v>15.835886346</v>
      </c>
      <c r="GJ25" s="29">
        <v>12.761886346</v>
      </c>
      <c r="GK25" s="29">
        <v>14.934886346</v>
      </c>
      <c r="GL25" s="29">
        <v>16.191886346</v>
      </c>
      <c r="GM25" s="26">
        <v>19.916886346</v>
      </c>
      <c r="GN25" s="26">
        <v>18.347886346</v>
      </c>
      <c r="GO25" s="29">
        <v>17.5</v>
      </c>
      <c r="GP25" s="29">
        <v>18.4</v>
      </c>
      <c r="GQ25" s="22"/>
    </row>
    <row r="26" spans="1:199" ht="12.75">
      <c r="A26" s="27" t="s">
        <v>42</v>
      </c>
      <c r="B26" s="28" t="s">
        <v>43</v>
      </c>
      <c r="C26" s="29">
        <v>2.95757892165056</v>
      </c>
      <c r="D26" s="29">
        <v>2.85029393148573</v>
      </c>
      <c r="E26" s="29">
        <v>2.98250350959283</v>
      </c>
      <c r="F26" s="29">
        <v>3.50291087199349</v>
      </c>
      <c r="G26" s="29">
        <v>4.65524338488029</v>
      </c>
      <c r="H26" s="29">
        <v>4.54416500956847</v>
      </c>
      <c r="I26" s="29">
        <v>3.66495098161712</v>
      </c>
      <c r="J26" s="29">
        <v>3.6027243040911</v>
      </c>
      <c r="K26" s="29">
        <v>3.38610366077664</v>
      </c>
      <c r="L26" s="29">
        <v>3.43807396484539</v>
      </c>
      <c r="M26" s="29">
        <v>3.54121918339343</v>
      </c>
      <c r="N26" s="29">
        <v>3.52331752668056</v>
      </c>
      <c r="O26" s="29">
        <v>3.53684155962282</v>
      </c>
      <c r="P26" s="29">
        <v>3.89619393782601</v>
      </c>
      <c r="Q26" s="29">
        <v>3.8993006471666902</v>
      </c>
      <c r="R26" s="29">
        <v>7.83195551449282</v>
      </c>
      <c r="S26" s="29">
        <v>7.6776205462114</v>
      </c>
      <c r="T26" s="29">
        <v>7.77045019015633</v>
      </c>
      <c r="U26" s="29">
        <v>4.72627325637783</v>
      </c>
      <c r="V26" s="29">
        <v>4.39900965191108</v>
      </c>
      <c r="W26" s="29">
        <v>5.16527468495209</v>
      </c>
      <c r="X26" s="29">
        <v>4.95699577280092</v>
      </c>
      <c r="Y26" s="29">
        <v>4.75694235766231</v>
      </c>
      <c r="Z26" s="29">
        <v>4.94175040848646</v>
      </c>
      <c r="AA26" s="29">
        <v>5.00637585195627</v>
      </c>
      <c r="AB26" s="29">
        <v>5.86490709473483</v>
      </c>
      <c r="AC26" s="29">
        <v>5.7982220394067</v>
      </c>
      <c r="AD26" s="29">
        <v>6.11875557632428</v>
      </c>
      <c r="AE26" s="29">
        <v>7.82366824661326</v>
      </c>
      <c r="AF26" s="29">
        <v>8.17168358716814</v>
      </c>
      <c r="AG26" s="29">
        <v>8.07585491996038</v>
      </c>
      <c r="AH26" s="29">
        <v>9.23144211314113</v>
      </c>
      <c r="AI26" s="29">
        <v>8.1352399117477</v>
      </c>
      <c r="AJ26" s="29">
        <v>8.5233633665992</v>
      </c>
      <c r="AK26" s="29">
        <v>7.0466175116053</v>
      </c>
      <c r="AL26" s="29">
        <v>7.91731912477544</v>
      </c>
      <c r="AM26" s="29">
        <v>7.78582728178493</v>
      </c>
      <c r="AN26" s="29">
        <v>8.57511919876973</v>
      </c>
      <c r="AO26" s="29">
        <v>9.43416101533828</v>
      </c>
      <c r="AP26" s="29">
        <v>10.5313877155551</v>
      </c>
      <c r="AQ26" s="29">
        <v>12.69845573938</v>
      </c>
      <c r="AR26" s="29">
        <v>14.0590282354863</v>
      </c>
      <c r="AS26" s="29">
        <v>13.9689591266758</v>
      </c>
      <c r="AT26" s="29">
        <v>13.3757967960894</v>
      </c>
      <c r="AU26" s="29">
        <v>11.5989948044009</v>
      </c>
      <c r="AV26" s="29">
        <v>14.4823117312471</v>
      </c>
      <c r="AW26" s="29">
        <v>11.4946410665878</v>
      </c>
      <c r="AX26" s="29">
        <v>12.0402389810272</v>
      </c>
      <c r="AY26" s="29">
        <v>13.4424500045156</v>
      </c>
      <c r="AZ26" s="29">
        <v>13.7640168668525</v>
      </c>
      <c r="BA26" s="29">
        <v>18.9929584637092</v>
      </c>
      <c r="BB26" s="29">
        <v>23.5016097291223</v>
      </c>
      <c r="BC26" s="29">
        <v>29.3909554788281</v>
      </c>
      <c r="BD26" s="29">
        <v>36.5586100608171</v>
      </c>
      <c r="BE26" s="29">
        <v>28.4909403652304</v>
      </c>
      <c r="BF26" s="29">
        <v>22.3486250352795</v>
      </c>
      <c r="BG26" s="29">
        <v>21.6536228609927</v>
      </c>
      <c r="BH26" s="29">
        <v>22.4121783921051</v>
      </c>
      <c r="BI26" s="29">
        <v>22.646157867913</v>
      </c>
      <c r="BJ26" s="29">
        <v>21.840320223019</v>
      </c>
      <c r="BK26" s="29">
        <v>22.8736861583398</v>
      </c>
      <c r="BL26" s="29">
        <v>22.5619364143414</v>
      </c>
      <c r="BM26" s="29">
        <v>21.0989859729237</v>
      </c>
      <c r="BN26" s="29">
        <v>25.8612692419604</v>
      </c>
      <c r="BO26" s="29">
        <v>26.0911437268928</v>
      </c>
      <c r="BP26" s="29">
        <v>27.469718073238</v>
      </c>
      <c r="BQ26" s="29">
        <v>25.4473586698336</v>
      </c>
      <c r="BR26" s="29">
        <v>24.4365818126757</v>
      </c>
      <c r="BS26" s="29">
        <v>23.6443874196488</v>
      </c>
      <c r="BT26" s="29">
        <v>24.3211147687695</v>
      </c>
      <c r="BU26" s="29">
        <v>24.4027941650236</v>
      </c>
      <c r="BV26" s="29">
        <v>23.380984015661</v>
      </c>
      <c r="BW26" s="29">
        <v>23.9242995857817</v>
      </c>
      <c r="BX26" s="29">
        <v>26.3886186078379</v>
      </c>
      <c r="BY26" s="29">
        <v>26.1525768953171</v>
      </c>
      <c r="BZ26" s="29">
        <v>29.0504496091124</v>
      </c>
      <c r="CA26" s="29">
        <v>37.009905206781</v>
      </c>
      <c r="CB26" s="29">
        <v>34.8375319860378</v>
      </c>
      <c r="CC26" s="29">
        <v>33.2834876099345</v>
      </c>
      <c r="CD26" s="29">
        <v>31.5185320311943</v>
      </c>
      <c r="CE26" s="29">
        <v>28.9413004916695</v>
      </c>
      <c r="CF26" s="29">
        <v>29.7848026207929</v>
      </c>
      <c r="CG26" s="29">
        <v>30.0992461676756</v>
      </c>
      <c r="CH26" s="29">
        <v>30.6767790270193</v>
      </c>
      <c r="CI26" s="29">
        <v>32.7025907092262</v>
      </c>
      <c r="CJ26" s="29">
        <v>36.8024436860317</v>
      </c>
      <c r="CK26" s="29">
        <v>37.7205777852554</v>
      </c>
      <c r="CL26" s="29">
        <v>47.0550214969605</v>
      </c>
      <c r="CM26" s="29">
        <v>64.3757106794466</v>
      </c>
      <c r="CN26" s="29">
        <v>69.8184521845205</v>
      </c>
      <c r="CO26" s="29">
        <v>63.2976574954511</v>
      </c>
      <c r="CP26" s="29">
        <v>58.7508876720357</v>
      </c>
      <c r="CQ26" s="29">
        <v>50.7275924144587</v>
      </c>
      <c r="CR26" s="29">
        <v>53.5480486634757</v>
      </c>
      <c r="CS26" s="29">
        <v>55.4459230790127</v>
      </c>
      <c r="CT26" s="29">
        <v>55.656658436170304</v>
      </c>
      <c r="CU26" s="29">
        <v>60.200276725748</v>
      </c>
      <c r="CV26" s="29">
        <v>59.7061709856169</v>
      </c>
      <c r="CW26" s="29">
        <v>60.0774849186363</v>
      </c>
      <c r="CX26" s="29">
        <v>62.4372167431171</v>
      </c>
      <c r="CY26" s="29">
        <v>70.8830618772985</v>
      </c>
      <c r="CZ26" s="29">
        <v>77.4003156378763</v>
      </c>
      <c r="DA26" s="29">
        <v>74.0870851327173</v>
      </c>
      <c r="DB26" s="29">
        <v>75.0702222164308</v>
      </c>
      <c r="DC26" s="29">
        <v>75.8152178348893</v>
      </c>
      <c r="DD26" s="29">
        <v>73.9400059574757</v>
      </c>
      <c r="DE26" s="29">
        <v>74.0603250349527</v>
      </c>
      <c r="DF26" s="29">
        <v>74.8253087206748</v>
      </c>
      <c r="DG26" s="29">
        <v>72.5805059156258</v>
      </c>
      <c r="DH26" s="29">
        <v>73.2172237097679</v>
      </c>
      <c r="DI26" s="29">
        <v>70.4163005245909</v>
      </c>
      <c r="DJ26" s="29">
        <v>70.0025661833049</v>
      </c>
      <c r="DK26" s="29">
        <v>71.0942016576718</v>
      </c>
      <c r="DL26" s="29">
        <v>74.8163672619436</v>
      </c>
      <c r="DM26" s="29">
        <v>73.6586601207921</v>
      </c>
      <c r="DN26" s="29">
        <v>70.6070067352255</v>
      </c>
      <c r="DO26" s="29">
        <v>72.0619543244819</v>
      </c>
      <c r="DP26" s="29">
        <v>71.4865311714831</v>
      </c>
      <c r="DQ26" s="29">
        <v>72.4553285836194</v>
      </c>
      <c r="DR26" s="29">
        <v>72.8409370388192</v>
      </c>
      <c r="DS26" s="29">
        <v>75.1894409843495</v>
      </c>
      <c r="DT26" s="29">
        <v>74.68524310898</v>
      </c>
      <c r="DU26" s="29">
        <v>76.439804120566</v>
      </c>
      <c r="DV26" s="29">
        <v>80.5658828767956</v>
      </c>
      <c r="DW26" s="29">
        <v>85.220161428745</v>
      </c>
      <c r="DX26" s="29">
        <v>87.333976346383</v>
      </c>
      <c r="DY26" s="29">
        <v>84.9520014961209</v>
      </c>
      <c r="DZ26" s="29">
        <v>81.9127585129171</v>
      </c>
      <c r="EA26" s="29">
        <v>82.001072234104</v>
      </c>
      <c r="EB26" s="29">
        <v>82.926257547102</v>
      </c>
      <c r="EC26" s="29">
        <v>81.3860291207363</v>
      </c>
      <c r="ED26" s="29">
        <v>80.9050888082612</v>
      </c>
      <c r="EE26" s="29">
        <v>79.5467873300862</v>
      </c>
      <c r="EF26" s="29">
        <v>81.2630604993395</v>
      </c>
      <c r="EG26" s="29">
        <v>75.483558820438</v>
      </c>
      <c r="EH26" s="29">
        <v>76.1368415900628</v>
      </c>
      <c r="EI26" s="29">
        <v>85.6126765981947</v>
      </c>
      <c r="EJ26" s="29">
        <v>84.3678288526316</v>
      </c>
      <c r="EK26" s="29">
        <v>70.8871338032281</v>
      </c>
      <c r="EL26" s="29">
        <v>68.8396448027489</v>
      </c>
      <c r="EM26" s="29">
        <v>69.8678221529559</v>
      </c>
      <c r="EN26" s="29">
        <v>73.015563853701</v>
      </c>
      <c r="EO26" s="29">
        <v>70.2059501617311</v>
      </c>
      <c r="EP26" s="29">
        <v>56.8672027715524</v>
      </c>
      <c r="EQ26" s="29">
        <v>60.8728932754888</v>
      </c>
      <c r="ER26" s="29">
        <v>71.9349351557036</v>
      </c>
      <c r="ES26" s="29">
        <v>69.5700375900182</v>
      </c>
      <c r="ET26" s="29">
        <v>52.0511697766822</v>
      </c>
      <c r="EU26" s="29">
        <v>45.3557875863929</v>
      </c>
      <c r="EV26" s="29">
        <v>45.83831495499</v>
      </c>
      <c r="EW26" s="29">
        <v>52.7042294492393</v>
      </c>
      <c r="EX26" s="29">
        <v>69.2259255852555</v>
      </c>
      <c r="EY26" s="29">
        <v>69.9298859033544</v>
      </c>
      <c r="EZ26" s="29">
        <v>60.2978401696355</v>
      </c>
      <c r="FA26" s="29">
        <v>42.5296362904507</v>
      </c>
      <c r="FB26" s="29">
        <v>56.2299792129091</v>
      </c>
      <c r="FC26" s="29">
        <v>69.4088198650227</v>
      </c>
      <c r="FD26" s="29">
        <v>69.4703879101112</v>
      </c>
      <c r="FE26" s="29">
        <v>88.8953444865228</v>
      </c>
      <c r="FF26" s="29">
        <v>93.9596524907403</v>
      </c>
      <c r="FG26" s="29">
        <v>109.102135631468</v>
      </c>
      <c r="FH26" s="29">
        <v>106.936727215923</v>
      </c>
      <c r="FI26" s="29">
        <v>101.607358102885</v>
      </c>
      <c r="FJ26" s="29">
        <v>98.582309025352</v>
      </c>
      <c r="FK26" s="29">
        <v>97.7872319529601</v>
      </c>
      <c r="FL26" s="29">
        <v>94.3539465593373</v>
      </c>
      <c r="FM26" s="29">
        <v>96.8224952269529</v>
      </c>
      <c r="FN26" s="29">
        <v>100.41450639974</v>
      </c>
      <c r="FO26" s="29">
        <v>110.883369332</v>
      </c>
      <c r="FP26" s="29">
        <v>115.264782596</v>
      </c>
      <c r="FQ26" s="29">
        <v>115.177791064</v>
      </c>
      <c r="FR26" s="29">
        <v>118.416919112</v>
      </c>
      <c r="FS26" s="29">
        <v>135.774236284</v>
      </c>
      <c r="FT26" s="29">
        <v>134.5551146</v>
      </c>
      <c r="FU26" s="29">
        <v>123.872532494</v>
      </c>
      <c r="FV26" s="29">
        <v>114.304230676</v>
      </c>
      <c r="FW26" s="29">
        <v>110.966900202</v>
      </c>
      <c r="FX26" s="29">
        <v>113.425675551</v>
      </c>
      <c r="FY26" s="29">
        <v>118.852621932</v>
      </c>
      <c r="FZ26" s="29">
        <v>122.031826578</v>
      </c>
      <c r="GA26" s="29">
        <v>133.822859743</v>
      </c>
      <c r="GB26" s="29">
        <v>136.102514692</v>
      </c>
      <c r="GC26" s="29">
        <v>133.50093702</v>
      </c>
      <c r="GD26" s="29">
        <v>139.075117933</v>
      </c>
      <c r="GE26" s="29">
        <v>148.586582349</v>
      </c>
      <c r="GF26" s="29">
        <v>158.252461446</v>
      </c>
      <c r="GG26" s="29">
        <v>155.591596142</v>
      </c>
      <c r="GH26" s="29">
        <v>147.785309329</v>
      </c>
      <c r="GI26" s="29">
        <v>147.404607424</v>
      </c>
      <c r="GJ26" s="29">
        <v>135.695020595</v>
      </c>
      <c r="GK26" s="29">
        <v>143.723871861</v>
      </c>
      <c r="GL26" s="29">
        <v>138.885690323</v>
      </c>
      <c r="GM26" s="26">
        <v>137.112476906</v>
      </c>
      <c r="GN26" s="26">
        <v>136.313058401</v>
      </c>
      <c r="GO26" s="29">
        <f>+GO27+GO28</f>
        <v>141.79999999999998</v>
      </c>
      <c r="GP26" s="29">
        <f>+GP27+GP28</f>
        <v>148.6</v>
      </c>
      <c r="GQ26" s="22"/>
    </row>
    <row r="27" spans="1:199" ht="12.75">
      <c r="A27" s="27" t="s">
        <v>44</v>
      </c>
      <c r="B27" s="38" t="s">
        <v>18</v>
      </c>
      <c r="C27" s="29">
        <v>0.785692814</v>
      </c>
      <c r="D27" s="29">
        <v>0.790046974</v>
      </c>
      <c r="E27" s="29">
        <v>0.8367748380000001</v>
      </c>
      <c r="F27" s="29">
        <v>0.8330867590000001</v>
      </c>
      <c r="G27" s="29">
        <v>0.8382395380000001</v>
      </c>
      <c r="H27" s="29">
        <v>0.845025844</v>
      </c>
      <c r="I27" s="29">
        <v>0.8683975060000001</v>
      </c>
      <c r="J27" s="29">
        <v>0.866998938</v>
      </c>
      <c r="K27" s="29">
        <v>0.8625749170000001</v>
      </c>
      <c r="L27" s="29">
        <v>0.8822226860000001</v>
      </c>
      <c r="M27" s="29">
        <v>0.884209597</v>
      </c>
      <c r="N27" s="29">
        <v>0.8791053980000001</v>
      </c>
      <c r="O27" s="29">
        <v>0.8817868670000001</v>
      </c>
      <c r="P27" s="29">
        <v>0.8863409160000001</v>
      </c>
      <c r="Q27" s="29">
        <v>0.8830042260000001</v>
      </c>
      <c r="R27" s="29">
        <v>0.9121521060000001</v>
      </c>
      <c r="S27" s="29">
        <v>0.9155184630000001</v>
      </c>
      <c r="T27" s="29">
        <v>0.9291736020000001</v>
      </c>
      <c r="U27" s="29">
        <v>0.889182683</v>
      </c>
      <c r="V27" s="29">
        <v>0.900005114</v>
      </c>
      <c r="W27" s="29">
        <v>0.8877790270000001</v>
      </c>
      <c r="X27" s="29">
        <v>0.890642225</v>
      </c>
      <c r="Y27" s="29">
        <v>0.864981183</v>
      </c>
      <c r="Z27" s="29">
        <v>0.7805934830000001</v>
      </c>
      <c r="AA27" s="29">
        <v>0.780963615</v>
      </c>
      <c r="AB27" s="29">
        <v>0.792544141</v>
      </c>
      <c r="AC27" s="29">
        <v>0.8075527480000001</v>
      </c>
      <c r="AD27" s="29">
        <v>0.82090586</v>
      </c>
      <c r="AE27" s="29">
        <v>0.827958717</v>
      </c>
      <c r="AF27" s="29">
        <v>0.85356723</v>
      </c>
      <c r="AG27" s="29">
        <v>0.8472908060000001</v>
      </c>
      <c r="AH27" s="29">
        <v>0.845247203</v>
      </c>
      <c r="AI27" s="29">
        <v>0.867054588</v>
      </c>
      <c r="AJ27" s="29">
        <v>0.8579882120000001</v>
      </c>
      <c r="AK27" s="29">
        <v>0.835903805</v>
      </c>
      <c r="AL27" s="29">
        <v>0.826302386</v>
      </c>
      <c r="AM27" s="29">
        <v>0.787230082</v>
      </c>
      <c r="AN27" s="29">
        <v>0.794603677</v>
      </c>
      <c r="AO27" s="29">
        <v>0.8107416260000001</v>
      </c>
      <c r="AP27" s="29">
        <v>0.841672957</v>
      </c>
      <c r="AQ27" s="29">
        <v>0.8616352620000001</v>
      </c>
      <c r="AR27" s="29">
        <v>0.8664007140000001</v>
      </c>
      <c r="AS27" s="29">
        <v>0.872030316</v>
      </c>
      <c r="AT27" s="29">
        <v>0.8671854720000001</v>
      </c>
      <c r="AU27" s="29">
        <v>0.8515914320000001</v>
      </c>
      <c r="AV27" s="29">
        <v>0.86638241</v>
      </c>
      <c r="AW27" s="29">
        <v>0.849268346</v>
      </c>
      <c r="AX27" s="29">
        <v>0.8527743050000001</v>
      </c>
      <c r="AY27" s="29">
        <v>0.84040643</v>
      </c>
      <c r="AZ27" s="29">
        <v>0.8676091370000001</v>
      </c>
      <c r="BA27" s="29">
        <v>0.9204617230000001</v>
      </c>
      <c r="BB27" s="29">
        <v>0.944797214</v>
      </c>
      <c r="BC27" s="29">
        <v>0.9558881320000001</v>
      </c>
      <c r="BD27" s="29">
        <v>0.9737078130000001</v>
      </c>
      <c r="BE27" s="29">
        <v>0.993663535</v>
      </c>
      <c r="BF27" s="29">
        <v>1.00409656</v>
      </c>
      <c r="BG27" s="29">
        <v>1.038459593</v>
      </c>
      <c r="BH27" s="29">
        <v>1.010869528</v>
      </c>
      <c r="BI27" s="29">
        <v>1.071482234</v>
      </c>
      <c r="BJ27" s="29">
        <v>1.061910178</v>
      </c>
      <c r="BK27" s="29">
        <v>1.007668306</v>
      </c>
      <c r="BL27" s="29">
        <v>1.057333924</v>
      </c>
      <c r="BM27" s="29">
        <v>1.110217873</v>
      </c>
      <c r="BN27" s="29">
        <v>1.159691303</v>
      </c>
      <c r="BO27" s="29">
        <v>1.1911410199999999</v>
      </c>
      <c r="BP27" s="29">
        <v>1.263282755</v>
      </c>
      <c r="BQ27" s="29">
        <v>1.253333335</v>
      </c>
      <c r="BR27" s="29">
        <v>1.257182406</v>
      </c>
      <c r="BS27" s="29">
        <v>1.261144758</v>
      </c>
      <c r="BT27" s="29">
        <v>1.256893353</v>
      </c>
      <c r="BU27" s="29">
        <v>1.282865504</v>
      </c>
      <c r="BV27" s="29">
        <v>1.25706425</v>
      </c>
      <c r="BW27" s="29">
        <v>1.247165768</v>
      </c>
      <c r="BX27" s="29">
        <v>1.2461472900000001</v>
      </c>
      <c r="BY27" s="29">
        <v>1.275799209</v>
      </c>
      <c r="BZ27" s="29">
        <v>1.31205489</v>
      </c>
      <c r="CA27" s="29">
        <v>1.326667532</v>
      </c>
      <c r="CB27" s="29">
        <v>1.304490423</v>
      </c>
      <c r="CC27" s="29">
        <v>1.300083815</v>
      </c>
      <c r="CD27" s="29">
        <v>1.278919774</v>
      </c>
      <c r="CE27" s="29">
        <v>1.3030043390000001</v>
      </c>
      <c r="CF27" s="29">
        <v>1.312195773</v>
      </c>
      <c r="CG27" s="29">
        <v>1.297611463</v>
      </c>
      <c r="CH27" s="29">
        <v>1.277296349</v>
      </c>
      <c r="CI27" s="29">
        <v>1.516230458</v>
      </c>
      <c r="CJ27" s="29">
        <v>2.269975973</v>
      </c>
      <c r="CK27" s="29">
        <v>2.578566183</v>
      </c>
      <c r="CL27" s="29">
        <v>2.6116650310000002</v>
      </c>
      <c r="CM27" s="29">
        <v>2.7267855</v>
      </c>
      <c r="CN27" s="29">
        <v>2.765069992</v>
      </c>
      <c r="CO27" s="29">
        <v>2.748743104</v>
      </c>
      <c r="CP27" s="29">
        <v>2.793783661</v>
      </c>
      <c r="CQ27" s="29">
        <v>2.786768658</v>
      </c>
      <c r="CR27" s="29">
        <v>2.767485958</v>
      </c>
      <c r="CS27" s="29">
        <v>2.747367165</v>
      </c>
      <c r="CT27" s="29">
        <v>2.7365492270000003</v>
      </c>
      <c r="CU27" s="29">
        <v>2.763520523</v>
      </c>
      <c r="CV27" s="29">
        <v>2.853648668</v>
      </c>
      <c r="CW27" s="29">
        <v>2.885964344</v>
      </c>
      <c r="CX27" s="29">
        <v>2.864275758</v>
      </c>
      <c r="CY27" s="29">
        <v>2.835109532</v>
      </c>
      <c r="CZ27" s="29">
        <v>2.831408368</v>
      </c>
      <c r="DA27" s="29">
        <v>2.803551094</v>
      </c>
      <c r="DB27" s="29">
        <v>2.775745454</v>
      </c>
      <c r="DC27" s="29">
        <v>2.694723493</v>
      </c>
      <c r="DD27" s="29">
        <v>2.669194129</v>
      </c>
      <c r="DE27" s="29">
        <v>2.63617204</v>
      </c>
      <c r="DF27" s="29">
        <v>2.5528504400000003</v>
      </c>
      <c r="DG27" s="29">
        <v>2.500534578</v>
      </c>
      <c r="DH27" s="29">
        <v>2.488853388</v>
      </c>
      <c r="DI27" s="29">
        <v>2.543481755</v>
      </c>
      <c r="DJ27" s="29">
        <v>2.682202653</v>
      </c>
      <c r="DK27" s="29">
        <v>2.788147951</v>
      </c>
      <c r="DL27" s="29">
        <v>2.779957393</v>
      </c>
      <c r="DM27" s="29">
        <v>2.825229697</v>
      </c>
      <c r="DN27" s="29">
        <v>2.869293504</v>
      </c>
      <c r="DO27" s="29">
        <v>2.872039242</v>
      </c>
      <c r="DP27" s="29">
        <v>2.982104084</v>
      </c>
      <c r="DQ27" s="29">
        <v>3.002003729</v>
      </c>
      <c r="DR27" s="29">
        <v>2.971055764</v>
      </c>
      <c r="DS27" s="29">
        <v>2.915050319</v>
      </c>
      <c r="DT27" s="29">
        <v>2.937874561</v>
      </c>
      <c r="DU27" s="29">
        <v>2.932955421</v>
      </c>
      <c r="DV27" s="29">
        <v>2.95968114</v>
      </c>
      <c r="DW27" s="29">
        <v>2.933560677</v>
      </c>
      <c r="DX27" s="29">
        <v>2.882239224</v>
      </c>
      <c r="DY27" s="29">
        <v>2.7879674420000002</v>
      </c>
      <c r="DZ27" s="29">
        <v>2.836668054</v>
      </c>
      <c r="EA27" s="29">
        <v>2.818012427</v>
      </c>
      <c r="EB27" s="29">
        <v>2.819619713</v>
      </c>
      <c r="EC27" s="29">
        <v>2.730569458</v>
      </c>
      <c r="ED27" s="29">
        <v>2.826548339</v>
      </c>
      <c r="EE27" s="29">
        <v>2.70537644</v>
      </c>
      <c r="EF27" s="29">
        <v>2.691617034</v>
      </c>
      <c r="EG27" s="29">
        <v>2.689010028</v>
      </c>
      <c r="EH27" s="29">
        <v>2.654816132</v>
      </c>
      <c r="EI27" s="29">
        <v>2.622964058</v>
      </c>
      <c r="EJ27" s="29">
        <v>2.694591596</v>
      </c>
      <c r="EK27" s="29">
        <v>2.742102456</v>
      </c>
      <c r="EL27" s="29">
        <v>2.708684526</v>
      </c>
      <c r="EM27" s="29">
        <v>2.719984303</v>
      </c>
      <c r="EN27" s="29">
        <v>2.788107919</v>
      </c>
      <c r="EO27" s="29">
        <v>2.622403504</v>
      </c>
      <c r="EP27" s="29">
        <v>2.818321708</v>
      </c>
      <c r="EQ27" s="29">
        <v>2.725214094</v>
      </c>
      <c r="ER27" s="29">
        <v>2.759911982</v>
      </c>
      <c r="ES27" s="29">
        <v>2.79228839</v>
      </c>
      <c r="ET27" s="29">
        <v>2.85734536</v>
      </c>
      <c r="EU27" s="29">
        <v>2.831130914</v>
      </c>
      <c r="EV27" s="29">
        <v>2.8180455650000003</v>
      </c>
      <c r="EW27" s="29">
        <v>2.798503599</v>
      </c>
      <c r="EX27" s="29">
        <v>2.785900158</v>
      </c>
      <c r="EY27" s="29">
        <v>2.808917814</v>
      </c>
      <c r="EZ27" s="29">
        <v>2.929243388</v>
      </c>
      <c r="FA27" s="29">
        <v>2.86005748</v>
      </c>
      <c r="FB27" s="29">
        <v>3.006912227</v>
      </c>
      <c r="FC27" s="29">
        <v>2.962081453</v>
      </c>
      <c r="FD27" s="29">
        <v>3.048256073</v>
      </c>
      <c r="FE27" s="29">
        <v>3.096952109</v>
      </c>
      <c r="FF27" s="29">
        <v>3.096819478</v>
      </c>
      <c r="FG27" s="29">
        <v>3.11184903</v>
      </c>
      <c r="FH27" s="29">
        <v>3.085592311</v>
      </c>
      <c r="FI27" s="29">
        <v>3.08778034</v>
      </c>
      <c r="FJ27" s="29">
        <v>3.124115823</v>
      </c>
      <c r="FK27" s="29">
        <v>3.102463699</v>
      </c>
      <c r="FL27" s="29">
        <v>3.183468296</v>
      </c>
      <c r="FM27" s="29">
        <v>3.150048126</v>
      </c>
      <c r="FN27" s="29">
        <v>3.224202791</v>
      </c>
      <c r="FO27" s="29">
        <v>3.056369332</v>
      </c>
      <c r="FP27" s="29">
        <v>3.221782596</v>
      </c>
      <c r="FQ27" s="29">
        <v>3.277791064</v>
      </c>
      <c r="FR27" s="29">
        <v>3.309919112</v>
      </c>
      <c r="FS27" s="29">
        <v>3.567236284</v>
      </c>
      <c r="FT27" s="29">
        <v>3.5781146</v>
      </c>
      <c r="FU27" s="29">
        <v>3.6935324940000003</v>
      </c>
      <c r="FV27" s="29">
        <v>3.706230676</v>
      </c>
      <c r="FW27" s="29">
        <v>3.714900202</v>
      </c>
      <c r="FX27" s="29">
        <v>3.832675551</v>
      </c>
      <c r="FY27" s="29">
        <v>3.862621932</v>
      </c>
      <c r="FZ27" s="29">
        <v>4.078826578</v>
      </c>
      <c r="GA27" s="29">
        <v>3.988859743</v>
      </c>
      <c r="GB27" s="29">
        <v>3.977514692</v>
      </c>
      <c r="GC27" s="29">
        <v>4.05293702</v>
      </c>
      <c r="GD27" s="29">
        <v>4.084117933</v>
      </c>
      <c r="GE27" s="29">
        <v>4.067582349</v>
      </c>
      <c r="GF27" s="29">
        <v>4.082347792</v>
      </c>
      <c r="GG27" s="29">
        <v>4.067482488</v>
      </c>
      <c r="GH27" s="29">
        <v>4.101195675</v>
      </c>
      <c r="GI27" s="29">
        <v>4.05149377</v>
      </c>
      <c r="GJ27" s="29">
        <v>4.474906941</v>
      </c>
      <c r="GK27" s="29">
        <v>4.355758207</v>
      </c>
      <c r="GL27" s="29">
        <v>4.633576669</v>
      </c>
      <c r="GM27" s="26">
        <v>4.549363252</v>
      </c>
      <c r="GN27" s="26">
        <v>4.553944747</v>
      </c>
      <c r="GO27" s="29">
        <v>4.6</v>
      </c>
      <c r="GP27" s="29">
        <v>4.5</v>
      </c>
      <c r="GQ27" s="22"/>
    </row>
    <row r="28" spans="1:199" ht="12.75">
      <c r="A28" s="27" t="s">
        <v>45</v>
      </c>
      <c r="B28" s="38" t="s">
        <v>20</v>
      </c>
      <c r="C28" s="29">
        <v>2.1718861076505602</v>
      </c>
      <c r="D28" s="29">
        <v>2.06024695748573</v>
      </c>
      <c r="E28" s="29">
        <v>2.14572867159283</v>
      </c>
      <c r="F28" s="29">
        <v>2.66982411299349</v>
      </c>
      <c r="G28" s="29">
        <v>3.81700384688029</v>
      </c>
      <c r="H28" s="29">
        <v>3.69913916556847</v>
      </c>
      <c r="I28" s="29">
        <v>2.79655347561712</v>
      </c>
      <c r="J28" s="29">
        <v>2.7357253660911</v>
      </c>
      <c r="K28" s="29">
        <v>2.52352874377664</v>
      </c>
      <c r="L28" s="29">
        <v>2.55585127884539</v>
      </c>
      <c r="M28" s="29">
        <v>2.65700958639343</v>
      </c>
      <c r="N28" s="29">
        <v>2.6442121286805502</v>
      </c>
      <c r="O28" s="29">
        <v>2.6550546926228202</v>
      </c>
      <c r="P28" s="29">
        <v>3.00985302182601</v>
      </c>
      <c r="Q28" s="29">
        <v>3.01629642116669</v>
      </c>
      <c r="R28" s="29">
        <v>6.91980340849282</v>
      </c>
      <c r="S28" s="29">
        <v>6.7621020832114</v>
      </c>
      <c r="T28" s="29">
        <v>6.8412765881563296</v>
      </c>
      <c r="U28" s="29">
        <v>3.83709057337783</v>
      </c>
      <c r="V28" s="29">
        <v>3.49900453791108</v>
      </c>
      <c r="W28" s="29">
        <v>4.27749565795209</v>
      </c>
      <c r="X28" s="29">
        <v>4.06635354780092</v>
      </c>
      <c r="Y28" s="29">
        <v>3.8919611746623097</v>
      </c>
      <c r="Z28" s="29">
        <v>4.16115692548646</v>
      </c>
      <c r="AA28" s="29">
        <v>4.22541223695627</v>
      </c>
      <c r="AB28" s="29">
        <v>5.07236295373483</v>
      </c>
      <c r="AC28" s="29">
        <v>4.9906692914067</v>
      </c>
      <c r="AD28" s="29">
        <v>5.29784971632428</v>
      </c>
      <c r="AE28" s="29">
        <v>6.99570952961326</v>
      </c>
      <c r="AF28" s="29">
        <v>7.31811635716814</v>
      </c>
      <c r="AG28" s="29">
        <v>7.22856411396038</v>
      </c>
      <c r="AH28" s="29">
        <v>8.38619491014113</v>
      </c>
      <c r="AI28" s="29">
        <v>7.2681853237477</v>
      </c>
      <c r="AJ28" s="29">
        <v>7.6653751545992</v>
      </c>
      <c r="AK28" s="29">
        <v>6.2107137066053</v>
      </c>
      <c r="AL28" s="29">
        <v>7.09101673877544</v>
      </c>
      <c r="AM28" s="29">
        <v>6.99859719978493</v>
      </c>
      <c r="AN28" s="29">
        <v>7.78051552176973</v>
      </c>
      <c r="AO28" s="29">
        <v>8.623419389338281</v>
      </c>
      <c r="AP28" s="29">
        <v>9.68971475855513</v>
      </c>
      <c r="AQ28" s="29">
        <v>11.83682047738</v>
      </c>
      <c r="AR28" s="29">
        <v>13.1926275214863</v>
      </c>
      <c r="AS28" s="29">
        <v>13.0969288106758</v>
      </c>
      <c r="AT28" s="29">
        <v>12.5086113240894</v>
      </c>
      <c r="AU28" s="29">
        <v>10.7474033724009</v>
      </c>
      <c r="AV28" s="29">
        <v>13.6159293212471</v>
      </c>
      <c r="AW28" s="29">
        <v>10.6453727205878</v>
      </c>
      <c r="AX28" s="29">
        <v>11.1874646760272</v>
      </c>
      <c r="AY28" s="29">
        <v>12.6020435745156</v>
      </c>
      <c r="AZ28" s="29">
        <v>12.8964077298525</v>
      </c>
      <c r="BA28" s="29">
        <v>18.0724967407092</v>
      </c>
      <c r="BB28" s="29">
        <v>22.5568125151223</v>
      </c>
      <c r="BC28" s="29">
        <v>28.4350673468281</v>
      </c>
      <c r="BD28" s="29">
        <v>35.5849022478171</v>
      </c>
      <c r="BE28" s="29">
        <v>27.4972768302304</v>
      </c>
      <c r="BF28" s="29">
        <v>21.3445284752795</v>
      </c>
      <c r="BG28" s="29">
        <v>20.6151632679927</v>
      </c>
      <c r="BH28" s="29">
        <v>21.4013088641051</v>
      </c>
      <c r="BI28" s="29">
        <v>21.574675633913</v>
      </c>
      <c r="BJ28" s="29">
        <v>20.778410045019</v>
      </c>
      <c r="BK28" s="29">
        <v>21.8660178523398</v>
      </c>
      <c r="BL28" s="29">
        <v>21.5046024903414</v>
      </c>
      <c r="BM28" s="29">
        <v>19.9887680999237</v>
      </c>
      <c r="BN28" s="29">
        <v>24.7015779389604</v>
      </c>
      <c r="BO28" s="29">
        <v>24.9000027068928</v>
      </c>
      <c r="BP28" s="29">
        <v>26.206435318238</v>
      </c>
      <c r="BQ28" s="29">
        <v>24.1940253348336</v>
      </c>
      <c r="BR28" s="29">
        <v>23.1793994066757</v>
      </c>
      <c r="BS28" s="29">
        <v>22.3832426616487</v>
      </c>
      <c r="BT28" s="29">
        <v>23.0642214157695</v>
      </c>
      <c r="BU28" s="29">
        <v>23.1199286610236</v>
      </c>
      <c r="BV28" s="29">
        <v>22.123919765661</v>
      </c>
      <c r="BW28" s="29">
        <v>22.6771338177817</v>
      </c>
      <c r="BX28" s="29">
        <v>25.1424713178379</v>
      </c>
      <c r="BY28" s="29">
        <v>24.8767776863171</v>
      </c>
      <c r="BZ28" s="29">
        <v>27.7383947191124</v>
      </c>
      <c r="CA28" s="29">
        <v>35.683237674781</v>
      </c>
      <c r="CB28" s="29">
        <v>33.5330415630378</v>
      </c>
      <c r="CC28" s="29">
        <v>31.9834037949345</v>
      </c>
      <c r="CD28" s="29">
        <v>30.2396122571943</v>
      </c>
      <c r="CE28" s="29">
        <v>27.6382961526695</v>
      </c>
      <c r="CF28" s="29">
        <v>28.4726068477929</v>
      </c>
      <c r="CG28" s="29">
        <v>28.8016347046756</v>
      </c>
      <c r="CH28" s="29">
        <v>29.3994826780193</v>
      </c>
      <c r="CI28" s="29">
        <v>31.1863602512262</v>
      </c>
      <c r="CJ28" s="29">
        <v>34.5324677130317</v>
      </c>
      <c r="CK28" s="29">
        <v>35.1420116022554</v>
      </c>
      <c r="CL28" s="29">
        <v>44.4433564659605</v>
      </c>
      <c r="CM28" s="29">
        <v>61.6489251794466</v>
      </c>
      <c r="CN28" s="29">
        <v>67.0533821925205</v>
      </c>
      <c r="CO28" s="29">
        <v>60.5489143914511</v>
      </c>
      <c r="CP28" s="29">
        <v>55.9571040110358</v>
      </c>
      <c r="CQ28" s="29">
        <v>47.9408237564587</v>
      </c>
      <c r="CR28" s="29">
        <v>50.7805627054757</v>
      </c>
      <c r="CS28" s="29">
        <v>52.6985559140127</v>
      </c>
      <c r="CT28" s="29">
        <v>52.9201092091703</v>
      </c>
      <c r="CU28" s="29">
        <v>57.436756202748</v>
      </c>
      <c r="CV28" s="29">
        <v>56.8525223176169</v>
      </c>
      <c r="CW28" s="29">
        <v>57.1915205746363</v>
      </c>
      <c r="CX28" s="29">
        <v>59.5729409851171</v>
      </c>
      <c r="CY28" s="29">
        <v>68.0479523452985</v>
      </c>
      <c r="CZ28" s="29">
        <v>74.5689072698764</v>
      </c>
      <c r="DA28" s="29">
        <v>71.2835340387173</v>
      </c>
      <c r="DB28" s="29">
        <v>72.2944767624308</v>
      </c>
      <c r="DC28" s="29">
        <v>73.1204943418893</v>
      </c>
      <c r="DD28" s="29">
        <v>71.2708118284757</v>
      </c>
      <c r="DE28" s="29">
        <v>71.4241529949527</v>
      </c>
      <c r="DF28" s="29">
        <v>72.2724582806748</v>
      </c>
      <c r="DG28" s="29">
        <v>70.0799713376258</v>
      </c>
      <c r="DH28" s="29">
        <v>70.7283703217679</v>
      </c>
      <c r="DI28" s="29">
        <v>67.8728187695909</v>
      </c>
      <c r="DJ28" s="29">
        <v>67.3203635303049</v>
      </c>
      <c r="DK28" s="29">
        <v>68.3060537066718</v>
      </c>
      <c r="DL28" s="29">
        <v>72.0364098689436</v>
      </c>
      <c r="DM28" s="29">
        <v>70.8334304237921</v>
      </c>
      <c r="DN28" s="29">
        <v>67.7377132312255</v>
      </c>
      <c r="DO28" s="29">
        <v>69.1899150824819</v>
      </c>
      <c r="DP28" s="29">
        <v>68.5044270874831</v>
      </c>
      <c r="DQ28" s="29">
        <v>69.4533248546194</v>
      </c>
      <c r="DR28" s="29">
        <v>69.8698812748192</v>
      </c>
      <c r="DS28" s="29">
        <v>72.2743906653495</v>
      </c>
      <c r="DT28" s="29">
        <v>71.74736854798</v>
      </c>
      <c r="DU28" s="29">
        <v>73.506848699566</v>
      </c>
      <c r="DV28" s="29">
        <v>77.6062017367956</v>
      </c>
      <c r="DW28" s="29">
        <v>82.286600751745</v>
      </c>
      <c r="DX28" s="29">
        <v>84.451737122383</v>
      </c>
      <c r="DY28" s="29">
        <v>82.164034054121</v>
      </c>
      <c r="DZ28" s="29">
        <v>79.0760904589171</v>
      </c>
      <c r="EA28" s="29">
        <v>79.183059807104</v>
      </c>
      <c r="EB28" s="29">
        <v>80.106637834102</v>
      </c>
      <c r="EC28" s="29">
        <v>78.6554596627363</v>
      </c>
      <c r="ED28" s="29">
        <v>78.0785404692612</v>
      </c>
      <c r="EE28" s="29">
        <v>76.8414108900862</v>
      </c>
      <c r="EF28" s="29">
        <v>78.5714434653395</v>
      </c>
      <c r="EG28" s="29">
        <v>72.794548792438</v>
      </c>
      <c r="EH28" s="29">
        <v>73.4820254580628</v>
      </c>
      <c r="EI28" s="29">
        <v>82.9897125401947</v>
      </c>
      <c r="EJ28" s="29">
        <v>81.6732372566316</v>
      </c>
      <c r="EK28" s="29">
        <v>68.1450313472281</v>
      </c>
      <c r="EL28" s="29">
        <v>66.1309602767489</v>
      </c>
      <c r="EM28" s="29">
        <v>67.1478378499559</v>
      </c>
      <c r="EN28" s="29">
        <v>70.227455934701</v>
      </c>
      <c r="EO28" s="29">
        <v>67.5835466577311</v>
      </c>
      <c r="EP28" s="29">
        <v>54.0488810635524</v>
      </c>
      <c r="EQ28" s="29">
        <v>58.1476791814888</v>
      </c>
      <c r="ER28" s="29">
        <v>69.1750231737036</v>
      </c>
      <c r="ES28" s="29">
        <v>66.7777492000182</v>
      </c>
      <c r="ET28" s="29">
        <v>49.1938244166822</v>
      </c>
      <c r="EU28" s="29">
        <v>42.5246566723929</v>
      </c>
      <c r="EV28" s="29">
        <v>43.02026938999</v>
      </c>
      <c r="EW28" s="29">
        <v>49.9057258502393</v>
      </c>
      <c r="EX28" s="29">
        <v>66.4400254272555</v>
      </c>
      <c r="EY28" s="29">
        <v>67.1209680893544</v>
      </c>
      <c r="EZ28" s="29">
        <v>57.3685967816355</v>
      </c>
      <c r="FA28" s="29">
        <v>39.6695788104507</v>
      </c>
      <c r="FB28" s="29">
        <v>53.2230669859091</v>
      </c>
      <c r="FC28" s="29">
        <v>66.4467384120227</v>
      </c>
      <c r="FD28" s="29">
        <v>66.4221318371112</v>
      </c>
      <c r="FE28" s="29">
        <v>85.7983923775228</v>
      </c>
      <c r="FF28" s="29">
        <v>90.8628330127403</v>
      </c>
      <c r="FG28" s="29">
        <v>105.990286601468</v>
      </c>
      <c r="FH28" s="29">
        <v>103.851134904923</v>
      </c>
      <c r="FI28" s="29">
        <v>98.5195777628851</v>
      </c>
      <c r="FJ28" s="29">
        <v>95.458193202352</v>
      </c>
      <c r="FK28" s="29">
        <v>94.6847682539601</v>
      </c>
      <c r="FL28" s="29">
        <v>91.1704782633374</v>
      </c>
      <c r="FM28" s="29">
        <v>93.6724471009529</v>
      </c>
      <c r="FN28" s="29">
        <v>97.1903036087402</v>
      </c>
      <c r="FO28" s="29">
        <v>107.827</v>
      </c>
      <c r="FP28" s="29">
        <v>112.043</v>
      </c>
      <c r="FQ28" s="29">
        <v>111.9</v>
      </c>
      <c r="FR28" s="29">
        <v>115.107</v>
      </c>
      <c r="FS28" s="29">
        <v>132.207</v>
      </c>
      <c r="FT28" s="29">
        <v>130.977</v>
      </c>
      <c r="FU28" s="29">
        <v>120.179</v>
      </c>
      <c r="FV28" s="29">
        <v>110.598</v>
      </c>
      <c r="FW28" s="29">
        <v>107.252</v>
      </c>
      <c r="FX28" s="29">
        <v>109.593</v>
      </c>
      <c r="FY28" s="29">
        <v>114.99</v>
      </c>
      <c r="FZ28" s="29">
        <v>117.953</v>
      </c>
      <c r="GA28" s="29">
        <v>129.834</v>
      </c>
      <c r="GB28" s="29">
        <v>132.125</v>
      </c>
      <c r="GC28" s="29">
        <v>129.448</v>
      </c>
      <c r="GD28" s="29">
        <v>134.991</v>
      </c>
      <c r="GE28" s="29">
        <v>144.519</v>
      </c>
      <c r="GF28" s="29">
        <v>154.170113654</v>
      </c>
      <c r="GG28" s="29">
        <v>151.524113654</v>
      </c>
      <c r="GH28" s="29">
        <v>143.684113654</v>
      </c>
      <c r="GI28" s="29">
        <v>143.353113654</v>
      </c>
      <c r="GJ28" s="29">
        <v>131.220113654</v>
      </c>
      <c r="GK28" s="29">
        <v>139.368113654</v>
      </c>
      <c r="GL28" s="29">
        <v>134.252113654</v>
      </c>
      <c r="GM28" s="26">
        <v>132.563113654</v>
      </c>
      <c r="GN28" s="26">
        <v>131.759113654</v>
      </c>
      <c r="GO28" s="29">
        <v>137.2</v>
      </c>
      <c r="GP28" s="29">
        <v>144.1</v>
      </c>
      <c r="GQ28" s="22"/>
    </row>
    <row r="29" spans="1:199" ht="12.75">
      <c r="A29" s="30" t="s">
        <v>46</v>
      </c>
      <c r="B29" s="37" t="s">
        <v>47</v>
      </c>
      <c r="C29" s="32">
        <f aca="true" t="shared" si="42" ref="C29:AH29">+C30+C33</f>
        <v>1.951216888</v>
      </c>
      <c r="D29" s="32">
        <f t="shared" si="42"/>
        <v>1.9907134750000002</v>
      </c>
      <c r="E29" s="32">
        <f t="shared" si="42"/>
        <v>1.8393564530000002</v>
      </c>
      <c r="F29" s="32">
        <f t="shared" si="42"/>
        <v>2.0192685170000004</v>
      </c>
      <c r="G29" s="32">
        <f t="shared" si="42"/>
        <v>1.776338893</v>
      </c>
      <c r="H29" s="32">
        <f t="shared" si="42"/>
        <v>1.7467785770000002</v>
      </c>
      <c r="I29" s="32">
        <f t="shared" si="42"/>
        <v>1.862654116</v>
      </c>
      <c r="J29" s="32">
        <f t="shared" si="42"/>
        <v>1.735060083</v>
      </c>
      <c r="K29" s="32">
        <f t="shared" si="42"/>
        <v>1.441908754</v>
      </c>
      <c r="L29" s="32">
        <f t="shared" si="42"/>
        <v>1.638101924</v>
      </c>
      <c r="M29" s="32">
        <f t="shared" si="42"/>
        <v>1.3559220870000002</v>
      </c>
      <c r="N29" s="32">
        <f t="shared" si="42"/>
        <v>0.8430682899999999</v>
      </c>
      <c r="O29" s="32">
        <f t="shared" si="42"/>
        <v>2.292110429</v>
      </c>
      <c r="P29" s="32">
        <f t="shared" si="42"/>
        <v>2.3911729370000003</v>
      </c>
      <c r="Q29" s="32">
        <f t="shared" si="42"/>
        <v>2.233423689</v>
      </c>
      <c r="R29" s="32">
        <f t="shared" si="42"/>
        <v>2.0060771429999997</v>
      </c>
      <c r="S29" s="32">
        <f t="shared" si="42"/>
        <v>2.043661655</v>
      </c>
      <c r="T29" s="32">
        <f t="shared" si="42"/>
        <v>2.213569017</v>
      </c>
      <c r="U29" s="32">
        <f t="shared" si="42"/>
        <v>1.822944343</v>
      </c>
      <c r="V29" s="32">
        <f t="shared" si="42"/>
        <v>2.0280586659999997</v>
      </c>
      <c r="W29" s="32">
        <f t="shared" si="42"/>
        <v>2.232674855</v>
      </c>
      <c r="X29" s="32">
        <f t="shared" si="42"/>
        <v>2.435909309</v>
      </c>
      <c r="Y29" s="32">
        <f t="shared" si="42"/>
        <v>2.765717401</v>
      </c>
      <c r="Z29" s="32">
        <f t="shared" si="42"/>
        <v>3.919794863</v>
      </c>
      <c r="AA29" s="32">
        <f t="shared" si="42"/>
        <v>5.414748585</v>
      </c>
      <c r="AB29" s="32">
        <f t="shared" si="42"/>
        <v>8.154545472999999</v>
      </c>
      <c r="AC29" s="32">
        <f t="shared" si="42"/>
        <v>7.364235156</v>
      </c>
      <c r="AD29" s="32">
        <f t="shared" si="42"/>
        <v>7.658962898</v>
      </c>
      <c r="AE29" s="32">
        <f t="shared" si="42"/>
        <v>6.582373452000001</v>
      </c>
      <c r="AF29" s="32">
        <f t="shared" si="42"/>
        <v>6.507530297000001</v>
      </c>
      <c r="AG29" s="32">
        <f t="shared" si="42"/>
        <v>6.963182312</v>
      </c>
      <c r="AH29" s="32">
        <f t="shared" si="42"/>
        <v>5.611205727</v>
      </c>
      <c r="AI29" s="32">
        <f aca="true" t="shared" si="43" ref="AI29:BN29">+AI30+AI33</f>
        <v>6.063407256</v>
      </c>
      <c r="AJ29" s="32">
        <f t="shared" si="43"/>
        <v>5.571276713</v>
      </c>
      <c r="AK29" s="32">
        <f t="shared" si="43"/>
        <v>4.619553048</v>
      </c>
      <c r="AL29" s="32">
        <f t="shared" si="43"/>
        <v>5.686150695</v>
      </c>
      <c r="AM29" s="32">
        <f t="shared" si="43"/>
        <v>10.755064033</v>
      </c>
      <c r="AN29" s="32">
        <f t="shared" si="43"/>
        <v>10.367645696</v>
      </c>
      <c r="AO29" s="32">
        <f t="shared" si="43"/>
        <v>8.129224784</v>
      </c>
      <c r="AP29" s="32">
        <f t="shared" si="43"/>
        <v>9.029503826000001</v>
      </c>
      <c r="AQ29" s="32">
        <f t="shared" si="43"/>
        <v>8.992282987</v>
      </c>
      <c r="AR29" s="32">
        <f t="shared" si="43"/>
        <v>10.200244161999999</v>
      </c>
      <c r="AS29" s="32">
        <f t="shared" si="43"/>
        <v>10.508505828</v>
      </c>
      <c r="AT29" s="32">
        <f t="shared" si="43"/>
        <v>8.061843187000001</v>
      </c>
      <c r="AU29" s="32">
        <f t="shared" si="43"/>
        <v>7.172544031000001</v>
      </c>
      <c r="AV29" s="32">
        <f t="shared" si="43"/>
        <v>7.7469175550000005</v>
      </c>
      <c r="AW29" s="32">
        <f t="shared" si="43"/>
        <v>6.491785579</v>
      </c>
      <c r="AX29" s="32">
        <f t="shared" si="43"/>
        <v>6.314877421</v>
      </c>
      <c r="AY29" s="32">
        <f t="shared" si="43"/>
        <v>7.95599747</v>
      </c>
      <c r="AZ29" s="32">
        <f t="shared" si="43"/>
        <v>8.499482645</v>
      </c>
      <c r="BA29" s="32">
        <f t="shared" si="43"/>
        <v>7.9376460060000005</v>
      </c>
      <c r="BB29" s="32">
        <f t="shared" si="43"/>
        <v>8.633381884</v>
      </c>
      <c r="BC29" s="32">
        <f t="shared" si="43"/>
        <v>8.213433034</v>
      </c>
      <c r="BD29" s="32">
        <f t="shared" si="43"/>
        <v>9.129253345</v>
      </c>
      <c r="BE29" s="32">
        <f t="shared" si="43"/>
        <v>13.482140637</v>
      </c>
      <c r="BF29" s="32">
        <f t="shared" si="43"/>
        <v>12.212139258</v>
      </c>
      <c r="BG29" s="32">
        <f t="shared" si="43"/>
        <v>13.880289617999999</v>
      </c>
      <c r="BH29" s="32">
        <f t="shared" si="43"/>
        <v>10.44495472</v>
      </c>
      <c r="BI29" s="32">
        <f t="shared" si="43"/>
        <v>10.045665808999999</v>
      </c>
      <c r="BJ29" s="32">
        <f t="shared" si="43"/>
        <v>9.571358807</v>
      </c>
      <c r="BK29" s="32">
        <f t="shared" si="43"/>
        <v>11.003984234</v>
      </c>
      <c r="BL29" s="32">
        <f t="shared" si="43"/>
        <v>10.813524845</v>
      </c>
      <c r="BM29" s="32">
        <f t="shared" si="43"/>
        <v>10.716448531</v>
      </c>
      <c r="BN29" s="32">
        <f t="shared" si="43"/>
        <v>9.134892695</v>
      </c>
      <c r="BO29" s="32">
        <f aca="true" t="shared" si="44" ref="BO29:CT29">+BO30+BO33</f>
        <v>8.380808892</v>
      </c>
      <c r="BP29" s="32">
        <f t="shared" si="44"/>
        <v>11.603747406</v>
      </c>
      <c r="BQ29" s="32">
        <f t="shared" si="44"/>
        <v>12.401971599</v>
      </c>
      <c r="BR29" s="32">
        <f t="shared" si="44"/>
        <v>11.609895345</v>
      </c>
      <c r="BS29" s="32">
        <f t="shared" si="44"/>
        <v>12.017930433</v>
      </c>
      <c r="BT29" s="32">
        <f t="shared" si="44"/>
        <v>11.779895822</v>
      </c>
      <c r="BU29" s="32">
        <f t="shared" si="44"/>
        <v>11.661937634</v>
      </c>
      <c r="BV29" s="32">
        <f t="shared" si="44"/>
        <v>10.684534594</v>
      </c>
      <c r="BW29" s="32">
        <f t="shared" si="44"/>
        <v>13.264980309</v>
      </c>
      <c r="BX29" s="32">
        <f t="shared" si="44"/>
        <v>13.333432031</v>
      </c>
      <c r="BY29" s="32">
        <f t="shared" si="44"/>
        <v>13.459570815</v>
      </c>
      <c r="BZ29" s="32">
        <f t="shared" si="44"/>
        <v>13.499143720000001</v>
      </c>
      <c r="CA29" s="32">
        <f t="shared" si="44"/>
        <v>14.758904934</v>
      </c>
      <c r="CB29" s="32">
        <f t="shared" si="44"/>
        <v>14.917629183</v>
      </c>
      <c r="CC29" s="32">
        <f t="shared" si="44"/>
        <v>15.551211506</v>
      </c>
      <c r="CD29" s="32">
        <f t="shared" si="44"/>
        <v>15.111962856</v>
      </c>
      <c r="CE29" s="32">
        <f t="shared" si="44"/>
        <v>15.692330175</v>
      </c>
      <c r="CF29" s="32">
        <f t="shared" si="44"/>
        <v>18.344772297</v>
      </c>
      <c r="CG29" s="32">
        <f t="shared" si="44"/>
        <v>19.675674847</v>
      </c>
      <c r="CH29" s="32">
        <f t="shared" si="44"/>
        <v>21.3085906</v>
      </c>
      <c r="CI29" s="32">
        <f t="shared" si="44"/>
        <v>23.928265108</v>
      </c>
      <c r="CJ29" s="32">
        <f t="shared" si="44"/>
        <v>25.640022303</v>
      </c>
      <c r="CK29" s="32">
        <f t="shared" si="44"/>
        <v>26.058630852</v>
      </c>
      <c r="CL29" s="32">
        <f t="shared" si="44"/>
        <v>26.669969539</v>
      </c>
      <c r="CM29" s="32">
        <f t="shared" si="44"/>
        <v>26.25241973</v>
      </c>
      <c r="CN29" s="32">
        <f t="shared" si="44"/>
        <v>27.80906015</v>
      </c>
      <c r="CO29" s="32">
        <f t="shared" si="44"/>
        <v>28.556967875999998</v>
      </c>
      <c r="CP29" s="32">
        <f t="shared" si="44"/>
        <v>28.582481789</v>
      </c>
      <c r="CQ29" s="32">
        <f t="shared" si="44"/>
        <v>28.581302913000002</v>
      </c>
      <c r="CR29" s="32">
        <f t="shared" si="44"/>
        <v>26.463733331</v>
      </c>
      <c r="CS29" s="32">
        <f t="shared" si="44"/>
        <v>27.257291045000002</v>
      </c>
      <c r="CT29" s="32">
        <f t="shared" si="44"/>
        <v>29.194212651</v>
      </c>
      <c r="CU29" s="32">
        <f aca="true" t="shared" si="45" ref="CU29:DZ29">+CU30+CU33</f>
        <v>27.968668716000003</v>
      </c>
      <c r="CV29" s="32">
        <f t="shared" si="45"/>
        <v>28.451570124</v>
      </c>
      <c r="CW29" s="32">
        <f t="shared" si="45"/>
        <v>28.905036518000003</v>
      </c>
      <c r="CX29" s="32">
        <f t="shared" si="45"/>
        <v>29.363418668999998</v>
      </c>
      <c r="CY29" s="32">
        <f t="shared" si="45"/>
        <v>31.007337459</v>
      </c>
      <c r="CZ29" s="32">
        <f t="shared" si="45"/>
        <v>28.953526566</v>
      </c>
      <c r="DA29" s="32">
        <f t="shared" si="45"/>
        <v>28.929012364</v>
      </c>
      <c r="DB29" s="32">
        <f t="shared" si="45"/>
        <v>31.062627551000002</v>
      </c>
      <c r="DC29" s="32">
        <f t="shared" si="45"/>
        <v>31.392692741999998</v>
      </c>
      <c r="DD29" s="32">
        <f t="shared" si="45"/>
        <v>31.625228958</v>
      </c>
      <c r="DE29" s="32">
        <f t="shared" si="45"/>
        <v>30.590978509</v>
      </c>
      <c r="DF29" s="32">
        <f t="shared" si="45"/>
        <v>29.967911724</v>
      </c>
      <c r="DG29" s="32">
        <f t="shared" si="45"/>
        <v>28.169847835</v>
      </c>
      <c r="DH29" s="32">
        <f t="shared" si="45"/>
        <v>27.805383329</v>
      </c>
      <c r="DI29" s="32">
        <f t="shared" si="45"/>
        <v>24.584891244</v>
      </c>
      <c r="DJ29" s="32">
        <f t="shared" si="45"/>
        <v>25.623514407000002</v>
      </c>
      <c r="DK29" s="32">
        <f t="shared" si="45"/>
        <v>27.285675728999998</v>
      </c>
      <c r="DL29" s="32">
        <f t="shared" si="45"/>
        <v>28.876325199</v>
      </c>
      <c r="DM29" s="32">
        <f t="shared" si="45"/>
        <v>29.500865804</v>
      </c>
      <c r="DN29" s="32">
        <f t="shared" si="45"/>
        <v>29.655003591</v>
      </c>
      <c r="DO29" s="32">
        <f t="shared" si="45"/>
        <v>30.379946263</v>
      </c>
      <c r="DP29" s="32">
        <f t="shared" si="45"/>
        <v>31.017390447</v>
      </c>
      <c r="DQ29" s="32">
        <f t="shared" si="45"/>
        <v>29.161499076</v>
      </c>
      <c r="DR29" s="32">
        <f t="shared" si="45"/>
        <v>21.434411701000002</v>
      </c>
      <c r="DS29" s="32">
        <f t="shared" si="45"/>
        <v>22.266027679</v>
      </c>
      <c r="DT29" s="32">
        <f t="shared" si="45"/>
        <v>21.288234048</v>
      </c>
      <c r="DU29" s="32">
        <f t="shared" si="45"/>
        <v>21.656237718</v>
      </c>
      <c r="DV29" s="32">
        <f t="shared" si="45"/>
        <v>24.3410721798322</v>
      </c>
      <c r="DW29" s="32">
        <f t="shared" si="45"/>
        <v>28.0328341972644</v>
      </c>
      <c r="DX29" s="32">
        <f t="shared" si="45"/>
        <v>33.1509002338568</v>
      </c>
      <c r="DY29" s="32">
        <f t="shared" si="45"/>
        <v>24.744139404362002</v>
      </c>
      <c r="DZ29" s="32">
        <f t="shared" si="45"/>
        <v>19.144922501</v>
      </c>
      <c r="EA29" s="32">
        <f aca="true" t="shared" si="46" ref="EA29:FF29">+EA30+EA33</f>
        <v>20.2557111</v>
      </c>
      <c r="EB29" s="32">
        <f t="shared" si="46"/>
        <v>23.6315586100208</v>
      </c>
      <c r="EC29" s="32">
        <f t="shared" si="46"/>
        <v>23.404838843287</v>
      </c>
      <c r="ED29" s="32">
        <f t="shared" si="46"/>
        <v>19.989878707</v>
      </c>
      <c r="EE29" s="32">
        <f t="shared" si="46"/>
        <v>21.18699506</v>
      </c>
      <c r="EF29" s="32">
        <f t="shared" si="46"/>
        <v>20.160391045</v>
      </c>
      <c r="EG29" s="32">
        <f t="shared" si="46"/>
        <v>17.641349806999997</v>
      </c>
      <c r="EH29" s="32">
        <f t="shared" si="46"/>
        <v>17.824441602</v>
      </c>
      <c r="EI29" s="32">
        <f t="shared" si="46"/>
        <v>19.616592912999998</v>
      </c>
      <c r="EJ29" s="32">
        <f t="shared" si="46"/>
        <v>20.295426502</v>
      </c>
      <c r="EK29" s="32">
        <f t="shared" si="46"/>
        <v>30.418168505</v>
      </c>
      <c r="EL29" s="32">
        <f t="shared" si="46"/>
        <v>31.686812226</v>
      </c>
      <c r="EM29" s="32">
        <f t="shared" si="46"/>
        <v>32.743566509000004</v>
      </c>
      <c r="EN29" s="32">
        <f t="shared" si="46"/>
        <v>32.826732287</v>
      </c>
      <c r="EO29" s="32">
        <f t="shared" si="46"/>
        <v>34.177466816</v>
      </c>
      <c r="EP29" s="32">
        <f t="shared" si="46"/>
        <v>28.472972845</v>
      </c>
      <c r="EQ29" s="32">
        <f t="shared" si="46"/>
        <v>37.140243251</v>
      </c>
      <c r="ER29" s="32">
        <f t="shared" si="46"/>
        <v>31.264621081999998</v>
      </c>
      <c r="ES29" s="32">
        <f t="shared" si="46"/>
        <v>30.231496662</v>
      </c>
      <c r="ET29" s="32">
        <f t="shared" si="46"/>
        <v>26.927752745</v>
      </c>
      <c r="EU29" s="32">
        <f t="shared" si="46"/>
        <v>26.656600746000002</v>
      </c>
      <c r="EV29" s="32">
        <f t="shared" si="46"/>
        <v>26.894341151</v>
      </c>
      <c r="EW29" s="32">
        <f t="shared" si="46"/>
        <v>32.89542186</v>
      </c>
      <c r="EX29" s="32">
        <f t="shared" si="46"/>
        <v>43.650823767</v>
      </c>
      <c r="EY29" s="32">
        <f t="shared" si="46"/>
        <v>45.065716732</v>
      </c>
      <c r="EZ29" s="32">
        <f t="shared" si="46"/>
        <v>32.183576081</v>
      </c>
      <c r="FA29" s="32">
        <f t="shared" si="46"/>
        <v>26.96025446</v>
      </c>
      <c r="FB29" s="32">
        <f t="shared" si="46"/>
        <v>28.325893609</v>
      </c>
      <c r="FC29" s="32">
        <f t="shared" si="46"/>
        <v>32.971779971000004</v>
      </c>
      <c r="FD29" s="32">
        <f t="shared" si="46"/>
        <v>31.646983376999998</v>
      </c>
      <c r="FE29" s="32">
        <f t="shared" si="46"/>
        <v>9.004843575999999</v>
      </c>
      <c r="FF29" s="32">
        <f t="shared" si="46"/>
        <v>9.948025999999999</v>
      </c>
      <c r="FG29" s="32">
        <f aca="true" t="shared" si="47" ref="FG29:GL29">+FG30+FG33</f>
        <v>10.24381132</v>
      </c>
      <c r="FH29" s="32">
        <f t="shared" si="47"/>
        <v>13.334100148</v>
      </c>
      <c r="FI29" s="32">
        <f t="shared" si="47"/>
        <v>12.953615068</v>
      </c>
      <c r="FJ29" s="32">
        <f t="shared" si="47"/>
        <v>13.983986081</v>
      </c>
      <c r="FK29" s="32">
        <f t="shared" si="47"/>
        <v>15.81961983</v>
      </c>
      <c r="FL29" s="32">
        <f t="shared" si="47"/>
        <v>16.589843071</v>
      </c>
      <c r="FM29" s="32">
        <f t="shared" si="47"/>
        <v>-6.286823392</v>
      </c>
      <c r="FN29" s="32">
        <f t="shared" si="47"/>
        <v>13.509903854000001</v>
      </c>
      <c r="FO29" s="32">
        <f t="shared" si="47"/>
        <v>20.197477108999998</v>
      </c>
      <c r="FP29" s="32">
        <f t="shared" si="47"/>
        <v>20.471490246000002</v>
      </c>
      <c r="FQ29" s="32">
        <f t="shared" si="47"/>
        <v>21.702031789</v>
      </c>
      <c r="FR29" s="32">
        <f t="shared" si="47"/>
        <v>17.895721</v>
      </c>
      <c r="FS29" s="32">
        <f t="shared" si="47"/>
        <v>20.354529106999998</v>
      </c>
      <c r="FT29" s="32">
        <f t="shared" si="47"/>
        <v>19.997081486</v>
      </c>
      <c r="FU29" s="32">
        <f t="shared" si="47"/>
        <v>19.427592998</v>
      </c>
      <c r="FV29" s="32">
        <f t="shared" si="47"/>
        <v>18.795971899</v>
      </c>
      <c r="FW29" s="32">
        <f t="shared" si="47"/>
        <v>18.974707752</v>
      </c>
      <c r="FX29" s="32">
        <f t="shared" si="47"/>
        <v>18.708222366999998</v>
      </c>
      <c r="FY29" s="32">
        <f t="shared" si="47"/>
        <v>20.851776492</v>
      </c>
      <c r="FZ29" s="32">
        <f t="shared" si="47"/>
        <v>19.525633443</v>
      </c>
      <c r="GA29" s="32">
        <f t="shared" si="47"/>
        <v>22.125725797</v>
      </c>
      <c r="GB29" s="32">
        <f t="shared" si="47"/>
        <v>19.562054011</v>
      </c>
      <c r="GC29" s="32">
        <f t="shared" si="47"/>
        <v>20.148877396</v>
      </c>
      <c r="GD29" s="32">
        <f t="shared" si="47"/>
        <v>24.622963829</v>
      </c>
      <c r="GE29" s="32">
        <f t="shared" si="47"/>
        <v>24.432943897999998</v>
      </c>
      <c r="GF29" s="32">
        <f t="shared" si="47"/>
        <v>24.066851657999997</v>
      </c>
      <c r="GG29" s="32">
        <f t="shared" si="47"/>
        <v>23.261024691000003</v>
      </c>
      <c r="GH29" s="32">
        <f t="shared" si="47"/>
        <v>21.467918077</v>
      </c>
      <c r="GI29" s="32">
        <f t="shared" si="47"/>
        <v>22.164415868</v>
      </c>
      <c r="GJ29" s="32">
        <f t="shared" si="47"/>
        <v>19.96440734</v>
      </c>
      <c r="GK29" s="32">
        <f t="shared" si="47"/>
        <v>23.5998084</v>
      </c>
      <c r="GL29" s="32">
        <f t="shared" si="47"/>
        <v>25.732344822</v>
      </c>
      <c r="GM29" s="33">
        <f>+GM30+GM33</f>
        <v>25.267617039999998</v>
      </c>
      <c r="GN29" s="33">
        <f>+GN30+GN33</f>
        <v>23.033915622000002</v>
      </c>
      <c r="GO29" s="32">
        <f>+GO30+GO33</f>
        <v>21.6</v>
      </c>
      <c r="GP29" s="32">
        <f>+GP30+GP33</f>
        <v>19.7</v>
      </c>
      <c r="GQ29" s="22"/>
    </row>
    <row r="30" spans="1:199" ht="12.75">
      <c r="A30" s="27" t="s">
        <v>48</v>
      </c>
      <c r="B30" s="28" t="s">
        <v>49</v>
      </c>
      <c r="C30" s="29">
        <v>1.748216888</v>
      </c>
      <c r="D30" s="29">
        <v>1.6727134750000001</v>
      </c>
      <c r="E30" s="29">
        <v>1.578356453</v>
      </c>
      <c r="F30" s="29">
        <v>1.6062685170000002</v>
      </c>
      <c r="G30" s="29">
        <v>1.374338893</v>
      </c>
      <c r="H30" s="29">
        <v>1.237778577</v>
      </c>
      <c r="I30" s="29">
        <v>1.253654116</v>
      </c>
      <c r="J30" s="29">
        <v>1.253060083</v>
      </c>
      <c r="K30" s="29">
        <v>1.187908754</v>
      </c>
      <c r="L30" s="29">
        <v>1.132101924</v>
      </c>
      <c r="M30" s="29">
        <v>0.962922087</v>
      </c>
      <c r="N30" s="29">
        <v>0.34606829</v>
      </c>
      <c r="O30" s="29">
        <v>1.858110429</v>
      </c>
      <c r="P30" s="29">
        <v>1.7391729370000002</v>
      </c>
      <c r="Q30" s="29">
        <v>1.375423689</v>
      </c>
      <c r="R30" s="29">
        <v>1.171077143</v>
      </c>
      <c r="S30" s="29">
        <v>1.232661655</v>
      </c>
      <c r="T30" s="29">
        <v>1.3915690170000001</v>
      </c>
      <c r="U30" s="29">
        <v>1.395944343</v>
      </c>
      <c r="V30" s="29">
        <v>1.288058666</v>
      </c>
      <c r="W30" s="29">
        <v>1.454674855</v>
      </c>
      <c r="X30" s="29">
        <v>1.576909309</v>
      </c>
      <c r="Y30" s="29">
        <v>1.752717401</v>
      </c>
      <c r="Z30" s="29">
        <v>2.586794863</v>
      </c>
      <c r="AA30" s="29">
        <v>4.020748585</v>
      </c>
      <c r="AB30" s="29">
        <v>6.178545473</v>
      </c>
      <c r="AC30" s="29">
        <v>5.866235156</v>
      </c>
      <c r="AD30" s="29">
        <v>5.655962898</v>
      </c>
      <c r="AE30" s="29">
        <v>5.2043734520000005</v>
      </c>
      <c r="AF30" s="29">
        <v>4.806530297</v>
      </c>
      <c r="AG30" s="29">
        <v>4.827182312</v>
      </c>
      <c r="AH30" s="29">
        <v>4.721205727</v>
      </c>
      <c r="AI30" s="29">
        <v>4.797407256</v>
      </c>
      <c r="AJ30" s="29">
        <v>3.669276713</v>
      </c>
      <c r="AK30" s="29">
        <v>3.519553048</v>
      </c>
      <c r="AL30" s="29">
        <v>3.780150695</v>
      </c>
      <c r="AM30" s="29">
        <v>7.705064033</v>
      </c>
      <c r="AN30" s="29">
        <v>7.193645696</v>
      </c>
      <c r="AO30" s="29">
        <v>5.957224784</v>
      </c>
      <c r="AP30" s="29">
        <v>7.006503826</v>
      </c>
      <c r="AQ30" s="29">
        <v>6.994282987</v>
      </c>
      <c r="AR30" s="29">
        <v>7.016244162</v>
      </c>
      <c r="AS30" s="29">
        <v>6.788505828</v>
      </c>
      <c r="AT30" s="29">
        <v>5.914843187</v>
      </c>
      <c r="AU30" s="29">
        <v>5.468544031</v>
      </c>
      <c r="AV30" s="29">
        <v>5.464917555</v>
      </c>
      <c r="AW30" s="29">
        <v>5.181785579</v>
      </c>
      <c r="AX30" s="29">
        <v>4.8208774210000005</v>
      </c>
      <c r="AY30" s="29">
        <v>6.38699747</v>
      </c>
      <c r="AZ30" s="29">
        <v>5.963482645</v>
      </c>
      <c r="BA30" s="29">
        <v>5.891646006</v>
      </c>
      <c r="BB30" s="29">
        <v>6.855381884</v>
      </c>
      <c r="BC30" s="29">
        <v>6.702433034</v>
      </c>
      <c r="BD30" s="29">
        <v>7.235253345</v>
      </c>
      <c r="BE30" s="29">
        <v>7.159140637</v>
      </c>
      <c r="BF30" s="29">
        <v>7.044139258</v>
      </c>
      <c r="BG30" s="29">
        <v>7.265289618</v>
      </c>
      <c r="BH30" s="29">
        <v>7.36895472</v>
      </c>
      <c r="BI30" s="29">
        <v>7.845665809</v>
      </c>
      <c r="BJ30" s="29">
        <v>6.535358807</v>
      </c>
      <c r="BK30" s="29">
        <v>7.963984234</v>
      </c>
      <c r="BL30" s="29">
        <v>7.807524845</v>
      </c>
      <c r="BM30" s="29">
        <v>7.265448531</v>
      </c>
      <c r="BN30" s="29">
        <v>6.928892695</v>
      </c>
      <c r="BO30" s="29">
        <v>6.126808892</v>
      </c>
      <c r="BP30" s="29">
        <v>8.695747406</v>
      </c>
      <c r="BQ30" s="29">
        <v>9.350971599</v>
      </c>
      <c r="BR30" s="29">
        <v>9.150895345</v>
      </c>
      <c r="BS30" s="29">
        <v>8.947930433</v>
      </c>
      <c r="BT30" s="29">
        <v>8.674895822</v>
      </c>
      <c r="BU30" s="29">
        <v>8.868937634</v>
      </c>
      <c r="BV30" s="29">
        <v>7.868534594</v>
      </c>
      <c r="BW30" s="29">
        <v>10.498980309</v>
      </c>
      <c r="BX30" s="29">
        <v>10.493432031</v>
      </c>
      <c r="BY30" s="29">
        <v>9.863570815</v>
      </c>
      <c r="BZ30" s="29">
        <v>9.69514372</v>
      </c>
      <c r="CA30" s="29">
        <v>10.834904934</v>
      </c>
      <c r="CB30" s="29">
        <v>11.055629183</v>
      </c>
      <c r="CC30" s="29">
        <v>11.797211506</v>
      </c>
      <c r="CD30" s="29">
        <v>11.620962856</v>
      </c>
      <c r="CE30" s="29">
        <v>11.590330175</v>
      </c>
      <c r="CF30" s="29">
        <v>12.855772297</v>
      </c>
      <c r="CG30" s="29">
        <v>12.724674847</v>
      </c>
      <c r="CH30" s="29">
        <v>15.1535906</v>
      </c>
      <c r="CI30" s="29">
        <v>17.675265108</v>
      </c>
      <c r="CJ30" s="29">
        <v>17.690022303</v>
      </c>
      <c r="CK30" s="29">
        <v>18.155630852</v>
      </c>
      <c r="CL30" s="29">
        <v>18.236969539</v>
      </c>
      <c r="CM30" s="29">
        <v>18.21241973</v>
      </c>
      <c r="CN30" s="29">
        <v>19.32406015</v>
      </c>
      <c r="CO30" s="29">
        <v>20.115967876</v>
      </c>
      <c r="CP30" s="29">
        <v>20.583481789</v>
      </c>
      <c r="CQ30" s="29">
        <v>21.315302913</v>
      </c>
      <c r="CR30" s="29">
        <v>19.171733331</v>
      </c>
      <c r="CS30" s="29">
        <v>19.556291045000002</v>
      </c>
      <c r="CT30" s="29">
        <v>22.865212651</v>
      </c>
      <c r="CU30" s="29">
        <v>22.013668716</v>
      </c>
      <c r="CV30" s="29">
        <v>22.452570124</v>
      </c>
      <c r="CW30" s="29">
        <v>22.706036518</v>
      </c>
      <c r="CX30" s="29">
        <v>22.858418669</v>
      </c>
      <c r="CY30" s="29">
        <v>23.350337459</v>
      </c>
      <c r="CZ30" s="29">
        <v>22.917526566</v>
      </c>
      <c r="DA30" s="29">
        <v>23.182012364</v>
      </c>
      <c r="DB30" s="29">
        <v>23.334627551</v>
      </c>
      <c r="DC30" s="29">
        <v>23.826692742</v>
      </c>
      <c r="DD30" s="29">
        <v>23.367228958</v>
      </c>
      <c r="DE30" s="29">
        <v>22.892978509</v>
      </c>
      <c r="DF30" s="29">
        <v>21.438911724</v>
      </c>
      <c r="DG30" s="29">
        <v>19.865847835</v>
      </c>
      <c r="DH30" s="29">
        <v>20.083383329</v>
      </c>
      <c r="DI30" s="29">
        <v>17.200891244</v>
      </c>
      <c r="DJ30" s="29">
        <v>17.623514407000002</v>
      </c>
      <c r="DK30" s="29">
        <v>18.042675729</v>
      </c>
      <c r="DL30" s="29">
        <v>20.344325199</v>
      </c>
      <c r="DM30" s="29">
        <v>20.267865804</v>
      </c>
      <c r="DN30" s="29">
        <v>20.223003591</v>
      </c>
      <c r="DO30" s="29">
        <v>21.392946263</v>
      </c>
      <c r="DP30" s="29">
        <v>21.412390447</v>
      </c>
      <c r="DQ30" s="29">
        <v>20.400499076</v>
      </c>
      <c r="DR30" s="29">
        <v>16.925411701</v>
      </c>
      <c r="DS30" s="29">
        <v>17.658027679</v>
      </c>
      <c r="DT30" s="29">
        <v>17.010234048</v>
      </c>
      <c r="DU30" s="29">
        <v>16.641237718</v>
      </c>
      <c r="DV30" s="29">
        <v>20.1080721798322</v>
      </c>
      <c r="DW30" s="29">
        <v>23.4708341972644</v>
      </c>
      <c r="DX30" s="29">
        <v>25.6379002338568</v>
      </c>
      <c r="DY30" s="29">
        <v>17.888139404362</v>
      </c>
      <c r="DZ30" s="29">
        <v>14.034922501</v>
      </c>
      <c r="EA30" s="29">
        <v>15.4747111</v>
      </c>
      <c r="EB30" s="29">
        <v>18.2735586100208</v>
      </c>
      <c r="EC30" s="29">
        <v>18.018838843287</v>
      </c>
      <c r="ED30" s="29">
        <v>13.565878707</v>
      </c>
      <c r="EE30" s="29">
        <v>15.11899506</v>
      </c>
      <c r="EF30" s="29">
        <v>13.937391045</v>
      </c>
      <c r="EG30" s="29">
        <v>11.029349807</v>
      </c>
      <c r="EH30" s="29">
        <v>14.232441602</v>
      </c>
      <c r="EI30" s="29">
        <v>15.074592913</v>
      </c>
      <c r="EJ30" s="29">
        <v>15.073426502</v>
      </c>
      <c r="EK30" s="29">
        <v>25.871168505</v>
      </c>
      <c r="EL30" s="29">
        <v>26.173812226</v>
      </c>
      <c r="EM30" s="29">
        <v>27.356566509</v>
      </c>
      <c r="EN30" s="29">
        <v>28.917732287</v>
      </c>
      <c r="EO30" s="29">
        <v>29.879466816</v>
      </c>
      <c r="EP30" s="29">
        <v>23.626972845</v>
      </c>
      <c r="EQ30" s="29">
        <v>32.566243251</v>
      </c>
      <c r="ER30" s="29">
        <v>26.312621082</v>
      </c>
      <c r="ES30" s="29">
        <v>26.068496662</v>
      </c>
      <c r="ET30" s="29">
        <v>22.815752745</v>
      </c>
      <c r="EU30" s="29">
        <v>22.672600746</v>
      </c>
      <c r="EV30" s="29">
        <v>23.667341151</v>
      </c>
      <c r="EW30" s="29">
        <v>29.14242186</v>
      </c>
      <c r="EX30" s="29">
        <v>38.622823767</v>
      </c>
      <c r="EY30" s="29">
        <v>40.469716732</v>
      </c>
      <c r="EZ30" s="29">
        <v>28.199576081</v>
      </c>
      <c r="FA30" s="29">
        <v>23.83525446</v>
      </c>
      <c r="FB30" s="29">
        <v>24.359893609</v>
      </c>
      <c r="FC30" s="29">
        <v>26.721779971</v>
      </c>
      <c r="FD30" s="29">
        <v>23.290983377</v>
      </c>
      <c r="FE30" s="29">
        <v>4.009843576</v>
      </c>
      <c r="FF30" s="29">
        <v>4.299026</v>
      </c>
      <c r="FG30" s="29">
        <v>4.13581132</v>
      </c>
      <c r="FH30" s="29">
        <v>8.818100148</v>
      </c>
      <c r="FI30" s="29">
        <v>8.770615068</v>
      </c>
      <c r="FJ30" s="29">
        <v>9.018986081</v>
      </c>
      <c r="FK30" s="29">
        <v>9.89661983</v>
      </c>
      <c r="FL30" s="29">
        <v>9.907843071</v>
      </c>
      <c r="FM30" s="29">
        <v>-13.339823392</v>
      </c>
      <c r="FN30" s="29">
        <v>7.065903854</v>
      </c>
      <c r="FO30" s="29">
        <v>12.194477109</v>
      </c>
      <c r="FP30" s="29">
        <v>11.166490246</v>
      </c>
      <c r="FQ30" s="29">
        <v>10.967031789</v>
      </c>
      <c r="FR30" s="29">
        <v>10.937721</v>
      </c>
      <c r="FS30" s="29">
        <v>11.238529107</v>
      </c>
      <c r="FT30" s="29">
        <v>11.536081486</v>
      </c>
      <c r="FU30" s="29">
        <v>11.453592998</v>
      </c>
      <c r="FV30" s="29">
        <v>11.335971899</v>
      </c>
      <c r="FW30" s="29">
        <v>11.935707752</v>
      </c>
      <c r="FX30" s="29">
        <v>11.762222367</v>
      </c>
      <c r="FY30" s="29">
        <v>11.509776492</v>
      </c>
      <c r="FZ30" s="29">
        <v>11.666633443</v>
      </c>
      <c r="GA30" s="29">
        <v>12.476725797</v>
      </c>
      <c r="GB30" s="29">
        <v>12.630054011</v>
      </c>
      <c r="GC30" s="29">
        <v>13.111877396</v>
      </c>
      <c r="GD30" s="29">
        <v>12.444963829</v>
      </c>
      <c r="GE30" s="29">
        <v>12.425943898</v>
      </c>
      <c r="GF30" s="29">
        <v>11.001851658</v>
      </c>
      <c r="GG30" s="29">
        <v>10.560024691</v>
      </c>
      <c r="GH30" s="29">
        <v>10.601918077</v>
      </c>
      <c r="GI30" s="29">
        <v>10.657415868</v>
      </c>
      <c r="GJ30" s="29">
        <v>11.38540734</v>
      </c>
      <c r="GK30" s="29">
        <v>14.9728084</v>
      </c>
      <c r="GL30" s="29">
        <v>16.191344822</v>
      </c>
      <c r="GM30" s="26">
        <v>16.00761704</v>
      </c>
      <c r="GN30" s="26">
        <v>15.706915622</v>
      </c>
      <c r="GO30" s="29">
        <f>+GO31+GO32</f>
        <v>14.2</v>
      </c>
      <c r="GP30" s="29">
        <f>+GP31+GP32</f>
        <v>11.5</v>
      </c>
      <c r="GQ30" s="22"/>
    </row>
    <row r="31" spans="1:199" ht="12.75">
      <c r="A31" s="27" t="s">
        <v>50</v>
      </c>
      <c r="B31" s="38" t="s">
        <v>18</v>
      </c>
      <c r="C31" s="29">
        <v>-0.21478311200000003</v>
      </c>
      <c r="D31" s="29">
        <v>-0.333286525</v>
      </c>
      <c r="E31" s="29">
        <v>-0.514643547</v>
      </c>
      <c r="F31" s="29">
        <v>-0.589731483</v>
      </c>
      <c r="G31" s="29">
        <v>-0.7426611070000001</v>
      </c>
      <c r="H31" s="29">
        <v>-0.994221423</v>
      </c>
      <c r="I31" s="29">
        <v>-1.1053458840000001</v>
      </c>
      <c r="J31" s="29">
        <v>-1.230939917</v>
      </c>
      <c r="K31" s="29">
        <v>-1.343091246</v>
      </c>
      <c r="L31" s="29">
        <v>-1.446898076</v>
      </c>
      <c r="M31" s="29">
        <v>-1.6690779130000002</v>
      </c>
      <c r="N31" s="29">
        <v>-1.87093171</v>
      </c>
      <c r="O31" s="29">
        <v>-0.502889571</v>
      </c>
      <c r="P31" s="29">
        <v>-0.6718270630000001</v>
      </c>
      <c r="Q31" s="29">
        <v>-0.804576311</v>
      </c>
      <c r="R31" s="29">
        <v>-1.103922857</v>
      </c>
      <c r="S31" s="29">
        <v>-1.130338345</v>
      </c>
      <c r="T31" s="29">
        <v>-1.101430983</v>
      </c>
      <c r="U31" s="29">
        <v>-1.240055657</v>
      </c>
      <c r="V31" s="29">
        <v>-1.393941334</v>
      </c>
      <c r="W31" s="29">
        <v>-1.474325145</v>
      </c>
      <c r="X31" s="29">
        <v>-1.595090691</v>
      </c>
      <c r="Y31" s="29">
        <v>-1.526282599</v>
      </c>
      <c r="Z31" s="29">
        <v>-1.791205137</v>
      </c>
      <c r="AA31" s="29">
        <v>-0.398251415</v>
      </c>
      <c r="AB31" s="29">
        <v>-0.19345452700000002</v>
      </c>
      <c r="AC31" s="29">
        <v>-0.45076484400000005</v>
      </c>
      <c r="AD31" s="29">
        <v>-0.6410371020000001</v>
      </c>
      <c r="AE31" s="29">
        <v>-0.7846265480000001</v>
      </c>
      <c r="AF31" s="29">
        <v>-1.268469703</v>
      </c>
      <c r="AG31" s="29">
        <v>-1.416817688</v>
      </c>
      <c r="AH31" s="29">
        <v>-1.585794273</v>
      </c>
      <c r="AI31" s="29">
        <v>-1.647592744</v>
      </c>
      <c r="AJ31" s="29">
        <v>-2.876723287</v>
      </c>
      <c r="AK31" s="29">
        <v>-3.062446952</v>
      </c>
      <c r="AL31" s="29">
        <v>-2.200849305</v>
      </c>
      <c r="AM31" s="29">
        <v>-0.050935967000000006</v>
      </c>
      <c r="AN31" s="29">
        <v>-0.222354304</v>
      </c>
      <c r="AO31" s="29">
        <v>-0.372775216</v>
      </c>
      <c r="AP31" s="29">
        <v>-0.634496174</v>
      </c>
      <c r="AQ31" s="29">
        <v>-0.719717013</v>
      </c>
      <c r="AR31" s="29">
        <v>-0.548755838</v>
      </c>
      <c r="AS31" s="29">
        <v>-0.6764941720000001</v>
      </c>
      <c r="AT31" s="29">
        <v>-0.874156813</v>
      </c>
      <c r="AU31" s="29">
        <v>-1.120455969</v>
      </c>
      <c r="AV31" s="29">
        <v>-1.051082445</v>
      </c>
      <c r="AW31" s="29">
        <v>-1.197214421</v>
      </c>
      <c r="AX31" s="29">
        <v>-1.583122579</v>
      </c>
      <c r="AY31" s="29">
        <v>-0.09000253</v>
      </c>
      <c r="AZ31" s="29">
        <v>-0.308517355</v>
      </c>
      <c r="BA31" s="29">
        <v>-0.45835399400000004</v>
      </c>
      <c r="BB31" s="29">
        <v>-0.550618116</v>
      </c>
      <c r="BC31" s="29">
        <v>-0.738566966</v>
      </c>
      <c r="BD31" s="29">
        <v>-0.835746655</v>
      </c>
      <c r="BE31" s="29">
        <v>-0.9868593630000001</v>
      </c>
      <c r="BF31" s="29">
        <v>-1.177860742</v>
      </c>
      <c r="BG31" s="29">
        <v>-1.371710382</v>
      </c>
      <c r="BH31" s="29">
        <v>-1.44104528</v>
      </c>
      <c r="BI31" s="29">
        <v>-1.645334191</v>
      </c>
      <c r="BJ31" s="29">
        <v>-2.124641193</v>
      </c>
      <c r="BK31" s="29">
        <v>-0.055015766</v>
      </c>
      <c r="BL31" s="29">
        <v>-0.20647515500000002</v>
      </c>
      <c r="BM31" s="29">
        <v>-0.420551469</v>
      </c>
      <c r="BN31" s="29">
        <v>-0.626107305</v>
      </c>
      <c r="BO31" s="29">
        <v>-0.7351911080000001</v>
      </c>
      <c r="BP31" s="29">
        <v>-0.895252594</v>
      </c>
      <c r="BQ31" s="29">
        <v>-1.044028401</v>
      </c>
      <c r="BR31" s="29">
        <v>-1.238104655</v>
      </c>
      <c r="BS31" s="29">
        <v>-1.424069567</v>
      </c>
      <c r="BT31" s="29">
        <v>-1.6151041780000002</v>
      </c>
      <c r="BU31" s="29">
        <v>-1.785062366</v>
      </c>
      <c r="BV31" s="29">
        <v>-2.1314654060000002</v>
      </c>
      <c r="BW31" s="29">
        <v>-0.045019691</v>
      </c>
      <c r="BX31" s="29">
        <v>0.07443203100000001</v>
      </c>
      <c r="BY31" s="29">
        <v>-0.527429185</v>
      </c>
      <c r="BZ31" s="29">
        <v>-0.70585628</v>
      </c>
      <c r="CA31" s="29">
        <v>-0.8820950660000001</v>
      </c>
      <c r="CB31" s="29">
        <v>-1.077370817</v>
      </c>
      <c r="CC31" s="29">
        <v>-1.215788494</v>
      </c>
      <c r="CD31" s="29">
        <v>-1.4480371440000002</v>
      </c>
      <c r="CE31" s="29">
        <v>-1.667669825</v>
      </c>
      <c r="CF31" s="29">
        <v>-1.7912277030000001</v>
      </c>
      <c r="CG31" s="29">
        <v>-1.960325153</v>
      </c>
      <c r="CH31" s="29">
        <v>-2.3374094</v>
      </c>
      <c r="CI31" s="29">
        <v>0.07526510800000001</v>
      </c>
      <c r="CJ31" s="29">
        <v>0.075022303</v>
      </c>
      <c r="CK31" s="29">
        <v>0.07363085200000001</v>
      </c>
      <c r="CL31" s="29">
        <v>0.071969539</v>
      </c>
      <c r="CM31" s="29">
        <v>0.07341973</v>
      </c>
      <c r="CN31" s="29">
        <v>0.07306015</v>
      </c>
      <c r="CO31" s="29">
        <v>0.016967876</v>
      </c>
      <c r="CP31" s="29">
        <v>0.073481789</v>
      </c>
      <c r="CQ31" s="29">
        <v>0.076302913</v>
      </c>
      <c r="CR31" s="29">
        <v>0.074733331</v>
      </c>
      <c r="CS31" s="29">
        <v>0.076291045</v>
      </c>
      <c r="CT31" s="29">
        <v>0.075212651</v>
      </c>
      <c r="CU31" s="29">
        <v>0.077668716</v>
      </c>
      <c r="CV31" s="29">
        <v>0.076570124</v>
      </c>
      <c r="CW31" s="29">
        <v>0.080036518</v>
      </c>
      <c r="CX31" s="29">
        <v>0.07741866900000001</v>
      </c>
      <c r="CY31" s="29">
        <v>0.080337459</v>
      </c>
      <c r="CZ31" s="29">
        <v>0.079526566</v>
      </c>
      <c r="DA31" s="29">
        <v>0.081012364</v>
      </c>
      <c r="DB31" s="29">
        <v>0.079627551</v>
      </c>
      <c r="DC31" s="29">
        <v>0.07869274200000001</v>
      </c>
      <c r="DD31" s="29">
        <v>0.078228958</v>
      </c>
      <c r="DE31" s="29">
        <v>0.077978509</v>
      </c>
      <c r="DF31" s="29">
        <v>0.076911724</v>
      </c>
      <c r="DG31" s="29">
        <v>-0.082152165</v>
      </c>
      <c r="DH31" s="29">
        <v>-0.320616671</v>
      </c>
      <c r="DI31" s="29">
        <v>-0.5371087560000001</v>
      </c>
      <c r="DJ31" s="29">
        <v>-0.737485593</v>
      </c>
      <c r="DK31" s="29">
        <v>-0.9553242710000001</v>
      </c>
      <c r="DL31" s="29">
        <v>-1.173674801</v>
      </c>
      <c r="DM31" s="29">
        <v>-1.4251341960000001</v>
      </c>
      <c r="DN31" s="29">
        <v>-1.639996409</v>
      </c>
      <c r="DO31" s="29">
        <v>0.074946263</v>
      </c>
      <c r="DP31" s="29">
        <v>0.074390447</v>
      </c>
      <c r="DQ31" s="29">
        <v>0.07449907600000001</v>
      </c>
      <c r="DR31" s="29">
        <v>-2.429588299</v>
      </c>
      <c r="DS31" s="29">
        <v>-0.114972321</v>
      </c>
      <c r="DT31" s="29">
        <v>-0.319765952</v>
      </c>
      <c r="DU31" s="29">
        <v>-0.49276228200000005</v>
      </c>
      <c r="DV31" s="29">
        <v>-0.6389072570000001</v>
      </c>
      <c r="DW31" s="29">
        <v>-0.94494203</v>
      </c>
      <c r="DX31" s="29">
        <v>-1.151430207</v>
      </c>
      <c r="DY31" s="29">
        <v>-1.38050418</v>
      </c>
      <c r="DZ31" s="29">
        <v>-1.545077499</v>
      </c>
      <c r="EA31" s="29">
        <v>-1.7322889</v>
      </c>
      <c r="EB31" s="29">
        <v>-1.901051751</v>
      </c>
      <c r="EC31" s="29">
        <v>-2.076795981</v>
      </c>
      <c r="ED31" s="29">
        <v>-2.054121293</v>
      </c>
      <c r="EE31" s="29">
        <v>-0.58900494</v>
      </c>
      <c r="EF31" s="29">
        <v>-0.8156089550000001</v>
      </c>
      <c r="EG31" s="29">
        <v>-0.5766501930000001</v>
      </c>
      <c r="EH31" s="29">
        <v>-0.784558398</v>
      </c>
      <c r="EI31" s="29">
        <v>-0.995407087</v>
      </c>
      <c r="EJ31" s="29">
        <v>-1.172573498</v>
      </c>
      <c r="EK31" s="29">
        <v>-1.387831495</v>
      </c>
      <c r="EL31" s="29">
        <v>-1.6201877740000001</v>
      </c>
      <c r="EM31" s="29">
        <v>-1.798933491</v>
      </c>
      <c r="EN31" s="29">
        <v>-1.802267713</v>
      </c>
      <c r="EO31" s="29">
        <v>-2.176533184</v>
      </c>
      <c r="EP31" s="29">
        <v>-2.062027155</v>
      </c>
      <c r="EQ31" s="29">
        <v>-0.17975674900000002</v>
      </c>
      <c r="ER31" s="29">
        <v>-0.393378918</v>
      </c>
      <c r="ES31" s="29">
        <v>-0.538503338</v>
      </c>
      <c r="ET31" s="29">
        <v>-0.668247255</v>
      </c>
      <c r="EU31" s="29">
        <v>-0.606399254</v>
      </c>
      <c r="EV31" s="29">
        <v>-0.769658849</v>
      </c>
      <c r="EW31" s="29">
        <v>-0.70357814</v>
      </c>
      <c r="EX31" s="29">
        <v>-0.7881762330000001</v>
      </c>
      <c r="EY31" s="29">
        <v>-0.7252832680000001</v>
      </c>
      <c r="EZ31" s="29">
        <v>-0.755423919</v>
      </c>
      <c r="FA31" s="29">
        <v>-0.94474554</v>
      </c>
      <c r="FB31" s="29">
        <v>-1.156106391</v>
      </c>
      <c r="FC31" s="29">
        <v>-0.105220029</v>
      </c>
      <c r="FD31" s="29">
        <v>-0.193016623</v>
      </c>
      <c r="FE31" s="29">
        <v>-0.269156424</v>
      </c>
      <c r="FF31" s="29">
        <v>-0.173974</v>
      </c>
      <c r="FG31" s="29">
        <v>-0.41918868000000004</v>
      </c>
      <c r="FH31" s="29">
        <v>-0.641899852</v>
      </c>
      <c r="FI31" s="29">
        <v>-0.620384932</v>
      </c>
      <c r="FJ31" s="29">
        <v>-0.747013919</v>
      </c>
      <c r="FK31" s="29">
        <v>-0.6743801700000001</v>
      </c>
      <c r="FL31" s="29">
        <v>-0.7471569290000001</v>
      </c>
      <c r="FM31" s="29">
        <v>-0.973823392</v>
      </c>
      <c r="FN31" s="29">
        <v>-1.223096146</v>
      </c>
      <c r="FO31" s="29">
        <v>-0.137522891</v>
      </c>
      <c r="FP31" s="29">
        <v>-0.24450975400000002</v>
      </c>
      <c r="FQ31" s="29">
        <v>-0.375968211</v>
      </c>
      <c r="FR31" s="29">
        <v>-0.30827899999999997</v>
      </c>
      <c r="FS31" s="29">
        <v>-0.371470893</v>
      </c>
      <c r="FT31" s="29">
        <v>-0.32591851400000005</v>
      </c>
      <c r="FU31" s="29">
        <v>-0.43240700200000004</v>
      </c>
      <c r="FV31" s="29">
        <v>-0.566028101</v>
      </c>
      <c r="FW31" s="29">
        <v>-0.5272922480000001</v>
      </c>
      <c r="FX31" s="29">
        <v>-0.537777633</v>
      </c>
      <c r="FY31" s="29">
        <v>-0.709223508</v>
      </c>
      <c r="FZ31" s="29">
        <v>-0.901366557</v>
      </c>
      <c r="GA31" s="29">
        <v>-0.09127420300000001</v>
      </c>
      <c r="GB31" s="29">
        <v>-0.22694598900000001</v>
      </c>
      <c r="GC31" s="29">
        <v>-0.164122604</v>
      </c>
      <c r="GD31" s="29">
        <v>-0.303036171</v>
      </c>
      <c r="GE31" s="29">
        <v>-0.444056102</v>
      </c>
      <c r="GF31" s="29">
        <v>-0.39014834200000004</v>
      </c>
      <c r="GG31" s="29">
        <v>-0.549975309</v>
      </c>
      <c r="GH31" s="29">
        <v>-0.7480819230000001</v>
      </c>
      <c r="GI31" s="29">
        <v>-0.942584132</v>
      </c>
      <c r="GJ31" s="29">
        <v>-0.73559266</v>
      </c>
      <c r="GK31" s="29">
        <v>-0.9651915999999999</v>
      </c>
      <c r="GL31" s="29">
        <v>-0.05565517800000001</v>
      </c>
      <c r="GM31" s="26">
        <v>-0.22138296000000002</v>
      </c>
      <c r="GN31" s="26">
        <v>-0.405084378</v>
      </c>
      <c r="GO31" s="29">
        <v>-0.4</v>
      </c>
      <c r="GP31" s="29">
        <v>-0.5</v>
      </c>
      <c r="GQ31" s="22"/>
    </row>
    <row r="32" spans="1:199" ht="12.75">
      <c r="A32" s="27" t="s">
        <v>51</v>
      </c>
      <c r="B32" s="38" t="s">
        <v>20</v>
      </c>
      <c r="C32" s="29">
        <v>1.963</v>
      </c>
      <c r="D32" s="29">
        <v>2.006</v>
      </c>
      <c r="E32" s="29">
        <v>2.093</v>
      </c>
      <c r="F32" s="29">
        <v>2.196</v>
      </c>
      <c r="G32" s="29">
        <v>2.117</v>
      </c>
      <c r="H32" s="29">
        <v>2.232</v>
      </c>
      <c r="I32" s="29">
        <v>2.359</v>
      </c>
      <c r="J32" s="29">
        <v>2.484</v>
      </c>
      <c r="K32" s="29">
        <v>2.531</v>
      </c>
      <c r="L32" s="29">
        <v>2.5789999999999997</v>
      </c>
      <c r="M32" s="29">
        <v>2.632</v>
      </c>
      <c r="N32" s="29">
        <v>2.217</v>
      </c>
      <c r="O32" s="29">
        <v>2.3609999999999998</v>
      </c>
      <c r="P32" s="29">
        <v>2.411</v>
      </c>
      <c r="Q32" s="29">
        <v>2.18</v>
      </c>
      <c r="R32" s="29">
        <v>2.275</v>
      </c>
      <c r="S32" s="29">
        <v>2.363</v>
      </c>
      <c r="T32" s="29">
        <v>2.493</v>
      </c>
      <c r="U32" s="29">
        <v>2.636</v>
      </c>
      <c r="V32" s="29">
        <v>2.682</v>
      </c>
      <c r="W32" s="29">
        <v>2.9290000000000003</v>
      </c>
      <c r="X32" s="29">
        <v>3.172</v>
      </c>
      <c r="Y32" s="29">
        <v>3.279</v>
      </c>
      <c r="Z32" s="29">
        <v>4.378</v>
      </c>
      <c r="AA32" s="29">
        <v>4.419</v>
      </c>
      <c r="AB32" s="29">
        <v>6.372</v>
      </c>
      <c r="AC32" s="29">
        <v>6.317</v>
      </c>
      <c r="AD32" s="29">
        <v>6.297</v>
      </c>
      <c r="AE32" s="29">
        <v>5.989</v>
      </c>
      <c r="AF32" s="29">
        <v>6.075</v>
      </c>
      <c r="AG32" s="29">
        <v>6.244</v>
      </c>
      <c r="AH32" s="29">
        <v>6.307</v>
      </c>
      <c r="AI32" s="29">
        <v>6.445</v>
      </c>
      <c r="AJ32" s="29">
        <v>6.546</v>
      </c>
      <c r="AK32" s="29">
        <v>6.582</v>
      </c>
      <c r="AL32" s="29">
        <v>5.981</v>
      </c>
      <c r="AM32" s="29">
        <v>7.756</v>
      </c>
      <c r="AN32" s="29">
        <v>7.416</v>
      </c>
      <c r="AO32" s="29">
        <v>6.33</v>
      </c>
      <c r="AP32" s="29">
        <v>7.641</v>
      </c>
      <c r="AQ32" s="29">
        <v>7.714</v>
      </c>
      <c r="AR32" s="29">
        <v>7.565</v>
      </c>
      <c r="AS32" s="29">
        <v>7.465</v>
      </c>
      <c r="AT32" s="29">
        <v>6.789</v>
      </c>
      <c r="AU32" s="29">
        <v>6.589</v>
      </c>
      <c r="AV32" s="29">
        <v>6.516</v>
      </c>
      <c r="AW32" s="29">
        <v>6.379</v>
      </c>
      <c r="AX32" s="29">
        <v>6.404</v>
      </c>
      <c r="AY32" s="29">
        <v>6.477</v>
      </c>
      <c r="AZ32" s="29">
        <v>6.272</v>
      </c>
      <c r="BA32" s="29">
        <v>6.35</v>
      </c>
      <c r="BB32" s="29">
        <v>7.406</v>
      </c>
      <c r="BC32" s="29">
        <v>7.441</v>
      </c>
      <c r="BD32" s="29">
        <v>8.071</v>
      </c>
      <c r="BE32" s="29">
        <v>8.146</v>
      </c>
      <c r="BF32" s="29">
        <v>8.222</v>
      </c>
      <c r="BG32" s="29">
        <v>8.637</v>
      </c>
      <c r="BH32" s="29">
        <v>8.81</v>
      </c>
      <c r="BI32" s="29">
        <v>9.491</v>
      </c>
      <c r="BJ32" s="29">
        <v>8.66</v>
      </c>
      <c r="BK32" s="29">
        <v>8.019</v>
      </c>
      <c r="BL32" s="29">
        <v>8.014</v>
      </c>
      <c r="BM32" s="29">
        <v>7.686</v>
      </c>
      <c r="BN32" s="29">
        <v>7.555</v>
      </c>
      <c r="BO32" s="29">
        <v>6.862</v>
      </c>
      <c r="BP32" s="29">
        <v>9.591</v>
      </c>
      <c r="BQ32" s="29">
        <v>10.395</v>
      </c>
      <c r="BR32" s="29">
        <v>10.389</v>
      </c>
      <c r="BS32" s="29">
        <v>10.372</v>
      </c>
      <c r="BT32" s="29">
        <v>10.29</v>
      </c>
      <c r="BU32" s="29">
        <v>10.654</v>
      </c>
      <c r="BV32" s="29">
        <v>10</v>
      </c>
      <c r="BW32" s="29">
        <v>10.544</v>
      </c>
      <c r="BX32" s="29">
        <v>10.419</v>
      </c>
      <c r="BY32" s="29">
        <v>10.391</v>
      </c>
      <c r="BZ32" s="29">
        <v>10.401</v>
      </c>
      <c r="CA32" s="29">
        <v>11.717</v>
      </c>
      <c r="CB32" s="29">
        <v>12.133</v>
      </c>
      <c r="CC32" s="29">
        <v>13.013</v>
      </c>
      <c r="CD32" s="29">
        <v>13.069</v>
      </c>
      <c r="CE32" s="29">
        <v>13.258</v>
      </c>
      <c r="CF32" s="29">
        <v>14.647</v>
      </c>
      <c r="CG32" s="29">
        <v>14.685</v>
      </c>
      <c r="CH32" s="29">
        <v>17.491</v>
      </c>
      <c r="CI32" s="29">
        <v>17.6</v>
      </c>
      <c r="CJ32" s="29">
        <v>17.615</v>
      </c>
      <c r="CK32" s="29">
        <v>18.082</v>
      </c>
      <c r="CL32" s="29">
        <v>18.165</v>
      </c>
      <c r="CM32" s="29">
        <v>18.139</v>
      </c>
      <c r="CN32" s="29">
        <v>19.251</v>
      </c>
      <c r="CO32" s="29">
        <v>20.099</v>
      </c>
      <c r="CP32" s="29">
        <v>20.51</v>
      </c>
      <c r="CQ32" s="29">
        <v>21.239</v>
      </c>
      <c r="CR32" s="29">
        <v>19.097</v>
      </c>
      <c r="CS32" s="29">
        <v>19.48</v>
      </c>
      <c r="CT32" s="29">
        <v>22.79</v>
      </c>
      <c r="CU32" s="29">
        <v>21.936</v>
      </c>
      <c r="CV32" s="29">
        <v>22.376</v>
      </c>
      <c r="CW32" s="29">
        <v>22.626</v>
      </c>
      <c r="CX32" s="29">
        <v>22.781</v>
      </c>
      <c r="CY32" s="29">
        <v>23.27</v>
      </c>
      <c r="CZ32" s="29">
        <v>22.838</v>
      </c>
      <c r="DA32" s="29">
        <v>23.101</v>
      </c>
      <c r="DB32" s="29">
        <v>23.255</v>
      </c>
      <c r="DC32" s="29">
        <v>23.748</v>
      </c>
      <c r="DD32" s="29">
        <v>23.289</v>
      </c>
      <c r="DE32" s="29">
        <v>22.815</v>
      </c>
      <c r="DF32" s="29">
        <v>21.362</v>
      </c>
      <c r="DG32" s="29">
        <v>19.948</v>
      </c>
      <c r="DH32" s="29">
        <v>20.404</v>
      </c>
      <c r="DI32" s="29">
        <v>17.738</v>
      </c>
      <c r="DJ32" s="29">
        <v>18.361</v>
      </c>
      <c r="DK32" s="29">
        <v>18.998</v>
      </c>
      <c r="DL32" s="29">
        <v>21.518</v>
      </c>
      <c r="DM32" s="29">
        <v>21.693</v>
      </c>
      <c r="DN32" s="29">
        <v>21.863</v>
      </c>
      <c r="DO32" s="29">
        <v>21.318</v>
      </c>
      <c r="DP32" s="29">
        <v>21.338</v>
      </c>
      <c r="DQ32" s="29">
        <v>20.326</v>
      </c>
      <c r="DR32" s="29">
        <v>19.355</v>
      </c>
      <c r="DS32" s="29">
        <v>17.773</v>
      </c>
      <c r="DT32" s="29">
        <v>17.33</v>
      </c>
      <c r="DU32" s="29">
        <v>17.134</v>
      </c>
      <c r="DV32" s="29">
        <v>20.7469794368322</v>
      </c>
      <c r="DW32" s="29">
        <v>24.4157762272644</v>
      </c>
      <c r="DX32" s="29">
        <v>26.7893304408568</v>
      </c>
      <c r="DY32" s="29">
        <v>19.268643584362</v>
      </c>
      <c r="DZ32" s="29">
        <v>15.58</v>
      </c>
      <c r="EA32" s="29">
        <v>17.207</v>
      </c>
      <c r="EB32" s="29">
        <v>20.1746103610208</v>
      </c>
      <c r="EC32" s="29">
        <v>20.095634824287</v>
      </c>
      <c r="ED32" s="29">
        <v>15.62</v>
      </c>
      <c r="EE32" s="29">
        <v>15.708</v>
      </c>
      <c r="EF32" s="29">
        <v>14.753</v>
      </c>
      <c r="EG32" s="29">
        <v>11.606</v>
      </c>
      <c r="EH32" s="29">
        <v>15.017</v>
      </c>
      <c r="EI32" s="29">
        <v>16.07</v>
      </c>
      <c r="EJ32" s="29">
        <v>16.246</v>
      </c>
      <c r="EK32" s="29">
        <v>27.259</v>
      </c>
      <c r="EL32" s="29">
        <v>27.794</v>
      </c>
      <c r="EM32" s="29">
        <v>29.1555</v>
      </c>
      <c r="EN32" s="29">
        <v>30.72</v>
      </c>
      <c r="EO32" s="29">
        <v>32.056</v>
      </c>
      <c r="EP32" s="29">
        <v>25.689</v>
      </c>
      <c r="EQ32" s="29">
        <v>32.746</v>
      </c>
      <c r="ER32" s="29">
        <v>26.706</v>
      </c>
      <c r="ES32" s="29">
        <v>26.607</v>
      </c>
      <c r="ET32" s="29">
        <v>23.484</v>
      </c>
      <c r="EU32" s="29">
        <v>23.279</v>
      </c>
      <c r="EV32" s="29">
        <v>24.437</v>
      </c>
      <c r="EW32" s="29">
        <v>29.846</v>
      </c>
      <c r="EX32" s="29">
        <v>39.411</v>
      </c>
      <c r="EY32" s="29">
        <v>41.195</v>
      </c>
      <c r="EZ32" s="29">
        <v>28.955</v>
      </c>
      <c r="FA32" s="29">
        <v>24.78</v>
      </c>
      <c r="FB32" s="29">
        <v>25.516</v>
      </c>
      <c r="FC32" s="29">
        <v>26.827</v>
      </c>
      <c r="FD32" s="29">
        <v>23.484</v>
      </c>
      <c r="FE32" s="29">
        <v>4.279</v>
      </c>
      <c r="FF32" s="29">
        <v>4.473</v>
      </c>
      <c r="FG32" s="29">
        <v>4.555</v>
      </c>
      <c r="FH32" s="29">
        <v>9.46</v>
      </c>
      <c r="FI32" s="29">
        <v>9.391</v>
      </c>
      <c r="FJ32" s="29">
        <v>9.766</v>
      </c>
      <c r="FK32" s="29">
        <v>10.571</v>
      </c>
      <c r="FL32" s="29">
        <v>10.655</v>
      </c>
      <c r="FM32" s="29">
        <v>-12.366</v>
      </c>
      <c r="FN32" s="29">
        <v>8.289</v>
      </c>
      <c r="FO32" s="29">
        <v>12.332</v>
      </c>
      <c r="FP32" s="29">
        <v>11.411</v>
      </c>
      <c r="FQ32" s="29">
        <v>11.343</v>
      </c>
      <c r="FR32" s="29">
        <v>11.246</v>
      </c>
      <c r="FS32" s="29">
        <v>11.61</v>
      </c>
      <c r="FT32" s="29">
        <v>11.862</v>
      </c>
      <c r="FU32" s="29">
        <v>11.886</v>
      </c>
      <c r="FV32" s="29">
        <v>11.902</v>
      </c>
      <c r="FW32" s="29">
        <v>12.463</v>
      </c>
      <c r="FX32" s="29">
        <v>12.3</v>
      </c>
      <c r="FY32" s="29">
        <v>12.219</v>
      </c>
      <c r="FZ32" s="29">
        <v>12.568</v>
      </c>
      <c r="GA32" s="29">
        <v>12.568</v>
      </c>
      <c r="GB32" s="29">
        <v>12.857</v>
      </c>
      <c r="GC32" s="29">
        <v>13.276</v>
      </c>
      <c r="GD32" s="29">
        <v>12.748</v>
      </c>
      <c r="GE32" s="29">
        <v>12.87</v>
      </c>
      <c r="GF32" s="29">
        <v>11.392</v>
      </c>
      <c r="GG32" s="29">
        <v>11.11</v>
      </c>
      <c r="GH32" s="29">
        <v>11.35</v>
      </c>
      <c r="GI32" s="29">
        <v>11.6</v>
      </c>
      <c r="GJ32" s="29">
        <v>12.121</v>
      </c>
      <c r="GK32" s="29">
        <v>15.938</v>
      </c>
      <c r="GL32" s="29">
        <v>16.247</v>
      </c>
      <c r="GM32" s="26">
        <v>16.229</v>
      </c>
      <c r="GN32" s="26">
        <v>16.112</v>
      </c>
      <c r="GO32" s="29">
        <v>14.6</v>
      </c>
      <c r="GP32" s="29">
        <v>12</v>
      </c>
      <c r="GQ32" s="22"/>
    </row>
    <row r="33" spans="1:199" ht="12.75">
      <c r="A33" s="27" t="s">
        <v>52</v>
      </c>
      <c r="B33" s="28" t="s">
        <v>53</v>
      </c>
      <c r="C33" s="29">
        <f aca="true" t="shared" si="48" ref="C33:AH33">+C34+C35+C36</f>
        <v>0.203</v>
      </c>
      <c r="D33" s="29">
        <f t="shared" si="48"/>
        <v>0.318</v>
      </c>
      <c r="E33" s="29">
        <f t="shared" si="48"/>
        <v>0.261</v>
      </c>
      <c r="F33" s="29">
        <f t="shared" si="48"/>
        <v>0.41300000000000003</v>
      </c>
      <c r="G33" s="29">
        <f t="shared" si="48"/>
        <v>0.40199999999999997</v>
      </c>
      <c r="H33" s="29">
        <f t="shared" si="48"/>
        <v>0.509</v>
      </c>
      <c r="I33" s="29">
        <f t="shared" si="48"/>
        <v>0.609</v>
      </c>
      <c r="J33" s="29">
        <f t="shared" si="48"/>
        <v>0.482</v>
      </c>
      <c r="K33" s="29">
        <f t="shared" si="48"/>
        <v>0.254</v>
      </c>
      <c r="L33" s="29">
        <f t="shared" si="48"/>
        <v>0.506</v>
      </c>
      <c r="M33" s="29">
        <f t="shared" si="48"/>
        <v>0.393</v>
      </c>
      <c r="N33" s="29">
        <f t="shared" si="48"/>
        <v>0.497</v>
      </c>
      <c r="O33" s="29">
        <f t="shared" si="48"/>
        <v>0.43400000000000005</v>
      </c>
      <c r="P33" s="29">
        <f t="shared" si="48"/>
        <v>0.652</v>
      </c>
      <c r="Q33" s="29">
        <f t="shared" si="48"/>
        <v>0.858</v>
      </c>
      <c r="R33" s="29">
        <f t="shared" si="48"/>
        <v>0.835</v>
      </c>
      <c r="S33" s="29">
        <f t="shared" si="48"/>
        <v>0.8109999999999999</v>
      </c>
      <c r="T33" s="29">
        <f t="shared" si="48"/>
        <v>0.822</v>
      </c>
      <c r="U33" s="29">
        <f t="shared" si="48"/>
        <v>0.427</v>
      </c>
      <c r="V33" s="29">
        <f t="shared" si="48"/>
        <v>0.74</v>
      </c>
      <c r="W33" s="29">
        <f t="shared" si="48"/>
        <v>0.778</v>
      </c>
      <c r="X33" s="29">
        <f t="shared" si="48"/>
        <v>0.8590000000000001</v>
      </c>
      <c r="Y33" s="29">
        <f t="shared" si="48"/>
        <v>1.0130000000000001</v>
      </c>
      <c r="Z33" s="29">
        <f t="shared" si="48"/>
        <v>1.333</v>
      </c>
      <c r="AA33" s="29">
        <f t="shared" si="48"/>
        <v>1.394</v>
      </c>
      <c r="AB33" s="29">
        <f t="shared" si="48"/>
        <v>1.976</v>
      </c>
      <c r="AC33" s="29">
        <f t="shared" si="48"/>
        <v>1.498</v>
      </c>
      <c r="AD33" s="29">
        <f t="shared" si="48"/>
        <v>2.003</v>
      </c>
      <c r="AE33" s="29">
        <f t="shared" si="48"/>
        <v>1.3780000000000001</v>
      </c>
      <c r="AF33" s="29">
        <f t="shared" si="48"/>
        <v>1.701</v>
      </c>
      <c r="AG33" s="29">
        <f t="shared" si="48"/>
        <v>2.136</v>
      </c>
      <c r="AH33" s="29">
        <f t="shared" si="48"/>
        <v>0.89</v>
      </c>
      <c r="AI33" s="29">
        <f aca="true" t="shared" si="49" ref="AI33:BN33">+AI34+AI35+AI36</f>
        <v>1.266</v>
      </c>
      <c r="AJ33" s="29">
        <f t="shared" si="49"/>
        <v>1.902</v>
      </c>
      <c r="AK33" s="29">
        <f t="shared" si="49"/>
        <v>1.1</v>
      </c>
      <c r="AL33" s="29">
        <f t="shared" si="49"/>
        <v>1.9060000000000001</v>
      </c>
      <c r="AM33" s="29">
        <f t="shared" si="49"/>
        <v>3.05</v>
      </c>
      <c r="AN33" s="29">
        <f t="shared" si="49"/>
        <v>3.174</v>
      </c>
      <c r="AO33" s="29">
        <f t="shared" si="49"/>
        <v>2.1719999999999997</v>
      </c>
      <c r="AP33" s="29">
        <f t="shared" si="49"/>
        <v>2.023</v>
      </c>
      <c r="AQ33" s="29">
        <f t="shared" si="49"/>
        <v>1.9980000000000002</v>
      </c>
      <c r="AR33" s="29">
        <f t="shared" si="49"/>
        <v>3.1839999999999997</v>
      </c>
      <c r="AS33" s="29">
        <f t="shared" si="49"/>
        <v>3.7199999999999998</v>
      </c>
      <c r="AT33" s="29">
        <f t="shared" si="49"/>
        <v>2.1470000000000002</v>
      </c>
      <c r="AU33" s="29">
        <f t="shared" si="49"/>
        <v>1.7040000000000002</v>
      </c>
      <c r="AV33" s="29">
        <f t="shared" si="49"/>
        <v>2.282</v>
      </c>
      <c r="AW33" s="29">
        <f t="shared" si="49"/>
        <v>1.31</v>
      </c>
      <c r="AX33" s="29">
        <f t="shared" si="49"/>
        <v>1.4940000000000002</v>
      </c>
      <c r="AY33" s="29">
        <f t="shared" si="49"/>
        <v>1.569</v>
      </c>
      <c r="AZ33" s="29">
        <f t="shared" si="49"/>
        <v>2.536</v>
      </c>
      <c r="BA33" s="29">
        <f t="shared" si="49"/>
        <v>2.0460000000000003</v>
      </c>
      <c r="BB33" s="29">
        <f t="shared" si="49"/>
        <v>1.778</v>
      </c>
      <c r="BC33" s="29">
        <f t="shared" si="49"/>
        <v>1.511</v>
      </c>
      <c r="BD33" s="29">
        <f t="shared" si="49"/>
        <v>1.8940000000000001</v>
      </c>
      <c r="BE33" s="29">
        <f t="shared" si="49"/>
        <v>6.323</v>
      </c>
      <c r="BF33" s="29">
        <f t="shared" si="49"/>
        <v>5.168</v>
      </c>
      <c r="BG33" s="29">
        <f t="shared" si="49"/>
        <v>6.615</v>
      </c>
      <c r="BH33" s="29">
        <f t="shared" si="49"/>
        <v>3.076</v>
      </c>
      <c r="BI33" s="29">
        <f t="shared" si="49"/>
        <v>2.2</v>
      </c>
      <c r="BJ33" s="29">
        <f t="shared" si="49"/>
        <v>3.036</v>
      </c>
      <c r="BK33" s="29">
        <f t="shared" si="49"/>
        <v>3.04</v>
      </c>
      <c r="BL33" s="29">
        <f t="shared" si="49"/>
        <v>3.0060000000000002</v>
      </c>
      <c r="BM33" s="29">
        <f t="shared" si="49"/>
        <v>3.451</v>
      </c>
      <c r="BN33" s="29">
        <f t="shared" si="49"/>
        <v>2.206</v>
      </c>
      <c r="BO33" s="29">
        <f aca="true" t="shared" si="50" ref="BO33:CT33">+BO34+BO35+BO36</f>
        <v>2.254</v>
      </c>
      <c r="BP33" s="29">
        <f t="shared" si="50"/>
        <v>2.9080000000000004</v>
      </c>
      <c r="BQ33" s="29">
        <f t="shared" si="50"/>
        <v>3.051</v>
      </c>
      <c r="BR33" s="29">
        <f t="shared" si="50"/>
        <v>2.459</v>
      </c>
      <c r="BS33" s="29">
        <f t="shared" si="50"/>
        <v>3.0700000000000003</v>
      </c>
      <c r="BT33" s="29">
        <f t="shared" si="50"/>
        <v>3.105</v>
      </c>
      <c r="BU33" s="29">
        <f t="shared" si="50"/>
        <v>2.7929999999999997</v>
      </c>
      <c r="BV33" s="29">
        <f t="shared" si="50"/>
        <v>2.8160000000000003</v>
      </c>
      <c r="BW33" s="29">
        <f t="shared" si="50"/>
        <v>2.766</v>
      </c>
      <c r="BX33" s="29">
        <f t="shared" si="50"/>
        <v>2.8400000000000003</v>
      </c>
      <c r="BY33" s="29">
        <f t="shared" si="50"/>
        <v>3.596</v>
      </c>
      <c r="BZ33" s="29">
        <f t="shared" si="50"/>
        <v>3.804</v>
      </c>
      <c r="CA33" s="29">
        <f t="shared" si="50"/>
        <v>3.924</v>
      </c>
      <c r="CB33" s="29">
        <f t="shared" si="50"/>
        <v>3.8619999999999997</v>
      </c>
      <c r="CC33" s="29">
        <f t="shared" si="50"/>
        <v>3.754</v>
      </c>
      <c r="CD33" s="29">
        <f t="shared" si="50"/>
        <v>3.4909999999999997</v>
      </c>
      <c r="CE33" s="29">
        <f t="shared" si="50"/>
        <v>4.102</v>
      </c>
      <c r="CF33" s="29">
        <f t="shared" si="50"/>
        <v>5.489</v>
      </c>
      <c r="CG33" s="29">
        <f t="shared" si="50"/>
        <v>6.951</v>
      </c>
      <c r="CH33" s="29">
        <f t="shared" si="50"/>
        <v>6.155</v>
      </c>
      <c r="CI33" s="29">
        <f t="shared" si="50"/>
        <v>6.253</v>
      </c>
      <c r="CJ33" s="29">
        <f t="shared" si="50"/>
        <v>7.95</v>
      </c>
      <c r="CK33" s="29">
        <f t="shared" si="50"/>
        <v>7.903</v>
      </c>
      <c r="CL33" s="29">
        <f t="shared" si="50"/>
        <v>8.433</v>
      </c>
      <c r="CM33" s="29">
        <f t="shared" si="50"/>
        <v>8.04</v>
      </c>
      <c r="CN33" s="29">
        <f t="shared" si="50"/>
        <v>8.485</v>
      </c>
      <c r="CO33" s="29">
        <f t="shared" si="50"/>
        <v>8.440999999999999</v>
      </c>
      <c r="CP33" s="29">
        <f t="shared" si="50"/>
        <v>7.9990000000000006</v>
      </c>
      <c r="CQ33" s="29">
        <f t="shared" si="50"/>
        <v>7.266</v>
      </c>
      <c r="CR33" s="29">
        <f t="shared" si="50"/>
        <v>7.292</v>
      </c>
      <c r="CS33" s="29">
        <f t="shared" si="50"/>
        <v>7.7010000000000005</v>
      </c>
      <c r="CT33" s="29">
        <f t="shared" si="50"/>
        <v>6.329</v>
      </c>
      <c r="CU33" s="29">
        <f aca="true" t="shared" si="51" ref="CU33:DZ33">+CU34+CU35+CU36</f>
        <v>5.955</v>
      </c>
      <c r="CV33" s="29">
        <f t="shared" si="51"/>
        <v>5.999</v>
      </c>
      <c r="CW33" s="29">
        <f t="shared" si="51"/>
        <v>6.199</v>
      </c>
      <c r="CX33" s="29">
        <f t="shared" si="51"/>
        <v>6.505</v>
      </c>
      <c r="CY33" s="29">
        <f t="shared" si="51"/>
        <v>7.657</v>
      </c>
      <c r="CZ33" s="29">
        <f t="shared" si="51"/>
        <v>6.0360000000000005</v>
      </c>
      <c r="DA33" s="29">
        <f t="shared" si="51"/>
        <v>5.747</v>
      </c>
      <c r="DB33" s="29">
        <f t="shared" si="51"/>
        <v>7.728000000000001</v>
      </c>
      <c r="DC33" s="29">
        <f t="shared" si="51"/>
        <v>7.566</v>
      </c>
      <c r="DD33" s="29">
        <f t="shared" si="51"/>
        <v>8.258000000000001</v>
      </c>
      <c r="DE33" s="29">
        <f t="shared" si="51"/>
        <v>7.698</v>
      </c>
      <c r="DF33" s="29">
        <f t="shared" si="51"/>
        <v>8.529</v>
      </c>
      <c r="DG33" s="29">
        <f t="shared" si="51"/>
        <v>8.304</v>
      </c>
      <c r="DH33" s="29">
        <f t="shared" si="51"/>
        <v>7.722</v>
      </c>
      <c r="DI33" s="29">
        <f t="shared" si="51"/>
        <v>7.3839999999999995</v>
      </c>
      <c r="DJ33" s="29">
        <f t="shared" si="51"/>
        <v>8</v>
      </c>
      <c r="DK33" s="29">
        <f t="shared" si="51"/>
        <v>9.243</v>
      </c>
      <c r="DL33" s="29">
        <f t="shared" si="51"/>
        <v>8.532</v>
      </c>
      <c r="DM33" s="29">
        <f t="shared" si="51"/>
        <v>9.233</v>
      </c>
      <c r="DN33" s="29">
        <f t="shared" si="51"/>
        <v>9.431999999999999</v>
      </c>
      <c r="DO33" s="29">
        <f t="shared" si="51"/>
        <v>8.987</v>
      </c>
      <c r="DP33" s="29">
        <f t="shared" si="51"/>
        <v>9.605</v>
      </c>
      <c r="DQ33" s="29">
        <f t="shared" si="51"/>
        <v>8.761</v>
      </c>
      <c r="DR33" s="29">
        <f t="shared" si="51"/>
        <v>4.509</v>
      </c>
      <c r="DS33" s="29">
        <f t="shared" si="51"/>
        <v>4.6080000000000005</v>
      </c>
      <c r="DT33" s="29">
        <f t="shared" si="51"/>
        <v>4.2780000000000005</v>
      </c>
      <c r="DU33" s="29">
        <f t="shared" si="51"/>
        <v>5.015</v>
      </c>
      <c r="DV33" s="29">
        <f t="shared" si="51"/>
        <v>4.2330000000000005</v>
      </c>
      <c r="DW33" s="29">
        <f t="shared" si="51"/>
        <v>4.561999999999999</v>
      </c>
      <c r="DX33" s="29">
        <f t="shared" si="51"/>
        <v>7.513</v>
      </c>
      <c r="DY33" s="29">
        <f t="shared" si="51"/>
        <v>6.856</v>
      </c>
      <c r="DZ33" s="29">
        <f t="shared" si="51"/>
        <v>5.109999999999999</v>
      </c>
      <c r="EA33" s="29">
        <f aca="true" t="shared" si="52" ref="EA33:FF33">+EA34+EA35+EA36</f>
        <v>4.781000000000001</v>
      </c>
      <c r="EB33" s="29">
        <f t="shared" si="52"/>
        <v>5.3580000000000005</v>
      </c>
      <c r="EC33" s="29">
        <f t="shared" si="52"/>
        <v>5.386</v>
      </c>
      <c r="ED33" s="29">
        <f t="shared" si="52"/>
        <v>6.4239999999999995</v>
      </c>
      <c r="EE33" s="29">
        <f t="shared" si="52"/>
        <v>6.068</v>
      </c>
      <c r="EF33" s="29">
        <f t="shared" si="52"/>
        <v>6.223</v>
      </c>
      <c r="EG33" s="29">
        <f t="shared" si="52"/>
        <v>6.612</v>
      </c>
      <c r="EH33" s="29">
        <f t="shared" si="52"/>
        <v>3.592</v>
      </c>
      <c r="EI33" s="29">
        <f t="shared" si="52"/>
        <v>4.542</v>
      </c>
      <c r="EJ33" s="29">
        <f t="shared" si="52"/>
        <v>5.222</v>
      </c>
      <c r="EK33" s="29">
        <f t="shared" si="52"/>
        <v>4.547000000000001</v>
      </c>
      <c r="EL33" s="29">
        <f t="shared" si="52"/>
        <v>5.513</v>
      </c>
      <c r="EM33" s="29">
        <f t="shared" si="52"/>
        <v>5.3870000000000005</v>
      </c>
      <c r="EN33" s="29">
        <f t="shared" si="52"/>
        <v>3.909</v>
      </c>
      <c r="EO33" s="29">
        <f t="shared" si="52"/>
        <v>4.298</v>
      </c>
      <c r="EP33" s="29">
        <f t="shared" si="52"/>
        <v>4.846</v>
      </c>
      <c r="EQ33" s="29">
        <f t="shared" si="52"/>
        <v>4.574000000000001</v>
      </c>
      <c r="ER33" s="29">
        <f t="shared" si="52"/>
        <v>4.952</v>
      </c>
      <c r="ES33" s="29">
        <f t="shared" si="52"/>
        <v>4.163</v>
      </c>
      <c r="ET33" s="29">
        <f t="shared" si="52"/>
        <v>4.112</v>
      </c>
      <c r="EU33" s="29">
        <f t="shared" si="52"/>
        <v>3.984</v>
      </c>
      <c r="EV33" s="29">
        <f t="shared" si="52"/>
        <v>3.227</v>
      </c>
      <c r="EW33" s="29">
        <f t="shared" si="52"/>
        <v>3.753</v>
      </c>
      <c r="EX33" s="29">
        <f t="shared" si="52"/>
        <v>5.0280000000000005</v>
      </c>
      <c r="EY33" s="29">
        <f t="shared" si="52"/>
        <v>4.596</v>
      </c>
      <c r="EZ33" s="29">
        <f t="shared" si="52"/>
        <v>3.984</v>
      </c>
      <c r="FA33" s="29">
        <f t="shared" si="52"/>
        <v>3.125</v>
      </c>
      <c r="FB33" s="29">
        <f t="shared" si="52"/>
        <v>3.966</v>
      </c>
      <c r="FC33" s="29">
        <f t="shared" si="52"/>
        <v>6.25</v>
      </c>
      <c r="FD33" s="29">
        <f t="shared" si="52"/>
        <v>8.356</v>
      </c>
      <c r="FE33" s="29">
        <f t="shared" si="52"/>
        <v>4.995</v>
      </c>
      <c r="FF33" s="29">
        <f t="shared" si="52"/>
        <v>5.649</v>
      </c>
      <c r="FG33" s="29">
        <f aca="true" t="shared" si="53" ref="FG33:GL33">+FG34+FG35+FG36</f>
        <v>6.1080000000000005</v>
      </c>
      <c r="FH33" s="29">
        <f t="shared" si="53"/>
        <v>4.516</v>
      </c>
      <c r="FI33" s="29">
        <f t="shared" si="53"/>
        <v>4.183</v>
      </c>
      <c r="FJ33" s="29">
        <f t="shared" si="53"/>
        <v>4.965</v>
      </c>
      <c r="FK33" s="29">
        <f t="shared" si="53"/>
        <v>5.923</v>
      </c>
      <c r="FL33" s="29">
        <f t="shared" si="53"/>
        <v>6.6819999999999995</v>
      </c>
      <c r="FM33" s="29">
        <f t="shared" si="53"/>
        <v>7.053</v>
      </c>
      <c r="FN33" s="29">
        <f t="shared" si="53"/>
        <v>6.444</v>
      </c>
      <c r="FO33" s="29">
        <f t="shared" si="53"/>
        <v>8.003</v>
      </c>
      <c r="FP33" s="29">
        <f t="shared" si="53"/>
        <v>9.305</v>
      </c>
      <c r="FQ33" s="29">
        <f t="shared" si="53"/>
        <v>10.735</v>
      </c>
      <c r="FR33" s="29">
        <f t="shared" si="53"/>
        <v>6.958</v>
      </c>
      <c r="FS33" s="29">
        <f t="shared" si="53"/>
        <v>9.116</v>
      </c>
      <c r="FT33" s="29">
        <f t="shared" si="53"/>
        <v>8.461</v>
      </c>
      <c r="FU33" s="29">
        <f t="shared" si="53"/>
        <v>7.974</v>
      </c>
      <c r="FV33" s="29">
        <f t="shared" si="53"/>
        <v>7.460000000000001</v>
      </c>
      <c r="FW33" s="29">
        <f t="shared" si="53"/>
        <v>7.039</v>
      </c>
      <c r="FX33" s="29">
        <f t="shared" si="53"/>
        <v>6.946</v>
      </c>
      <c r="FY33" s="29">
        <f t="shared" si="53"/>
        <v>9.342</v>
      </c>
      <c r="FZ33" s="29">
        <f t="shared" si="53"/>
        <v>7.859</v>
      </c>
      <c r="GA33" s="29">
        <f t="shared" si="53"/>
        <v>9.649000000000001</v>
      </c>
      <c r="GB33" s="29">
        <f t="shared" si="53"/>
        <v>6.932</v>
      </c>
      <c r="GC33" s="29">
        <f t="shared" si="53"/>
        <v>7.037</v>
      </c>
      <c r="GD33" s="29">
        <f t="shared" si="53"/>
        <v>12.177999999999999</v>
      </c>
      <c r="GE33" s="29">
        <f t="shared" si="53"/>
        <v>12.007</v>
      </c>
      <c r="GF33" s="29">
        <f t="shared" si="53"/>
        <v>13.065</v>
      </c>
      <c r="GG33" s="29">
        <f t="shared" si="53"/>
        <v>12.701</v>
      </c>
      <c r="GH33" s="29">
        <f t="shared" si="53"/>
        <v>10.866</v>
      </c>
      <c r="GI33" s="29">
        <f t="shared" si="53"/>
        <v>11.507</v>
      </c>
      <c r="GJ33" s="29">
        <f t="shared" si="53"/>
        <v>8.579</v>
      </c>
      <c r="GK33" s="29">
        <f t="shared" si="53"/>
        <v>8.627</v>
      </c>
      <c r="GL33" s="29">
        <f t="shared" si="53"/>
        <v>9.541</v>
      </c>
      <c r="GM33" s="26">
        <f>+GM34+GM35+GM36</f>
        <v>9.26</v>
      </c>
      <c r="GN33" s="26">
        <f>+GN34+GN35+GN36</f>
        <v>7.327</v>
      </c>
      <c r="GO33" s="29">
        <f>+GO34+GO35+GO36</f>
        <v>7.4</v>
      </c>
      <c r="GP33" s="29">
        <f>+GP34+GP35+GP36</f>
        <v>8.2</v>
      </c>
      <c r="GQ33" s="22"/>
    </row>
    <row r="34" spans="1:199" ht="12.75">
      <c r="A34" s="27" t="s">
        <v>54</v>
      </c>
      <c r="B34" s="38" t="s">
        <v>55</v>
      </c>
      <c r="C34" s="29">
        <v>0.109</v>
      </c>
      <c r="D34" s="29">
        <v>0.10400000000000001</v>
      </c>
      <c r="E34" s="29">
        <v>0.125</v>
      </c>
      <c r="F34" s="29">
        <v>0.17300000000000001</v>
      </c>
      <c r="G34" s="29">
        <v>0.11</v>
      </c>
      <c r="H34" s="29">
        <v>0.213</v>
      </c>
      <c r="I34" s="29">
        <v>0.324</v>
      </c>
      <c r="J34" s="29">
        <v>0.212</v>
      </c>
      <c r="K34" s="29">
        <v>0.055</v>
      </c>
      <c r="L34" s="29">
        <v>0.199</v>
      </c>
      <c r="M34" s="29">
        <v>0.243</v>
      </c>
      <c r="N34" s="29">
        <v>0.17400000000000002</v>
      </c>
      <c r="O34" s="29">
        <v>0.158</v>
      </c>
      <c r="P34" s="29">
        <v>0.23800000000000002</v>
      </c>
      <c r="Q34" s="29">
        <v>0.224</v>
      </c>
      <c r="R34" s="29">
        <v>0.105</v>
      </c>
      <c r="S34" s="29">
        <v>0.229</v>
      </c>
      <c r="T34" s="29">
        <v>0.116</v>
      </c>
      <c r="U34" s="29">
        <v>0.04</v>
      </c>
      <c r="V34" s="29">
        <v>0.34400000000000003</v>
      </c>
      <c r="W34" s="29">
        <v>0.378</v>
      </c>
      <c r="X34" s="29">
        <v>0.5750000000000001</v>
      </c>
      <c r="Y34" s="29">
        <v>0.806</v>
      </c>
      <c r="Z34" s="29">
        <v>1.151</v>
      </c>
      <c r="AA34" s="29">
        <v>1.184</v>
      </c>
      <c r="AB34" s="29">
        <v>1.767</v>
      </c>
      <c r="AC34" s="29">
        <v>1.205</v>
      </c>
      <c r="AD34" s="29">
        <v>1.6440000000000001</v>
      </c>
      <c r="AE34" s="29">
        <v>1.189</v>
      </c>
      <c r="AF34" s="29">
        <v>1.212</v>
      </c>
      <c r="AG34" s="29">
        <v>1.9020000000000001</v>
      </c>
      <c r="AH34" s="29">
        <v>0.662</v>
      </c>
      <c r="AI34" s="29">
        <v>0.995</v>
      </c>
      <c r="AJ34" s="29">
        <v>1.6179999999999999</v>
      </c>
      <c r="AK34" s="29">
        <v>0.728</v>
      </c>
      <c r="AL34" s="29">
        <v>1.3</v>
      </c>
      <c r="AM34" s="29">
        <v>2.693</v>
      </c>
      <c r="AN34" s="29">
        <v>2.87</v>
      </c>
      <c r="AO34" s="29">
        <v>1.422</v>
      </c>
      <c r="AP34" s="29">
        <v>1.363</v>
      </c>
      <c r="AQ34" s="29">
        <v>1.1320000000000001</v>
      </c>
      <c r="AR34" s="29">
        <v>2.203</v>
      </c>
      <c r="AS34" s="29">
        <v>1.7229999999999999</v>
      </c>
      <c r="AT34" s="29">
        <v>1.014</v>
      </c>
      <c r="AU34" s="29">
        <v>0.8150000000000001</v>
      </c>
      <c r="AV34" s="29">
        <v>0.8160000000000001</v>
      </c>
      <c r="AW34" s="29">
        <v>0.635</v>
      </c>
      <c r="AX34" s="29">
        <v>0.663</v>
      </c>
      <c r="AY34" s="29">
        <v>1.052</v>
      </c>
      <c r="AZ34" s="29">
        <v>1.923</v>
      </c>
      <c r="BA34" s="29">
        <v>1.6280000000000001</v>
      </c>
      <c r="BB34" s="29">
        <v>1.001</v>
      </c>
      <c r="BC34" s="29">
        <v>0.47600000000000003</v>
      </c>
      <c r="BD34" s="29">
        <v>0.978</v>
      </c>
      <c r="BE34" s="29">
        <v>2.575</v>
      </c>
      <c r="BF34" s="29">
        <v>4.627</v>
      </c>
      <c r="BG34" s="29">
        <v>6.258</v>
      </c>
      <c r="BH34" s="29">
        <v>2.202</v>
      </c>
      <c r="BI34" s="29">
        <v>1.6440000000000001</v>
      </c>
      <c r="BJ34" s="29">
        <v>2.684</v>
      </c>
      <c r="BK34" s="29">
        <v>2.493</v>
      </c>
      <c r="BL34" s="29">
        <v>2.431</v>
      </c>
      <c r="BM34" s="29">
        <v>2.657</v>
      </c>
      <c r="BN34" s="29">
        <v>1.603</v>
      </c>
      <c r="BO34" s="29">
        <v>1.536</v>
      </c>
      <c r="BP34" s="29">
        <v>1.8210000000000002</v>
      </c>
      <c r="BQ34" s="29">
        <v>1.847</v>
      </c>
      <c r="BR34" s="29">
        <v>1.928</v>
      </c>
      <c r="BS34" s="29">
        <v>2.099</v>
      </c>
      <c r="BT34" s="29">
        <v>2.284</v>
      </c>
      <c r="BU34" s="29">
        <v>2.207</v>
      </c>
      <c r="BV34" s="29">
        <v>2.273</v>
      </c>
      <c r="BW34" s="29">
        <v>2.447</v>
      </c>
      <c r="BX34" s="29">
        <v>2.365</v>
      </c>
      <c r="BY34" s="29">
        <v>3.169</v>
      </c>
      <c r="BZ34" s="29">
        <v>3.202</v>
      </c>
      <c r="CA34" s="29">
        <v>3.029</v>
      </c>
      <c r="CB34" s="29">
        <v>3.445</v>
      </c>
      <c r="CC34" s="29">
        <v>3.552</v>
      </c>
      <c r="CD34" s="29">
        <v>3.094</v>
      </c>
      <c r="CE34" s="29">
        <v>3.753</v>
      </c>
      <c r="CF34" s="29">
        <v>5.172</v>
      </c>
      <c r="CG34" s="29">
        <v>5.473</v>
      </c>
      <c r="CH34" s="29">
        <v>5.665</v>
      </c>
      <c r="CI34" s="29">
        <v>5.9190000000000005</v>
      </c>
      <c r="CJ34" s="29">
        <v>7.066</v>
      </c>
      <c r="CK34" s="29">
        <v>7.422</v>
      </c>
      <c r="CL34" s="29">
        <v>7.818</v>
      </c>
      <c r="CM34" s="29">
        <v>7.318</v>
      </c>
      <c r="CN34" s="29">
        <v>7.819</v>
      </c>
      <c r="CO34" s="29">
        <v>7.348</v>
      </c>
      <c r="CP34" s="29">
        <v>7.086</v>
      </c>
      <c r="CQ34" s="29">
        <v>6.2780000000000005</v>
      </c>
      <c r="CR34" s="29">
        <v>6.683</v>
      </c>
      <c r="CS34" s="29">
        <v>6.141</v>
      </c>
      <c r="CT34" s="29">
        <v>5.787</v>
      </c>
      <c r="CU34" s="29">
        <v>5.138</v>
      </c>
      <c r="CV34" s="29">
        <v>5.393</v>
      </c>
      <c r="CW34" s="29">
        <v>5.457</v>
      </c>
      <c r="CX34" s="29">
        <v>5.591</v>
      </c>
      <c r="CY34" s="29">
        <v>5.436</v>
      </c>
      <c r="CZ34" s="29">
        <v>4.621</v>
      </c>
      <c r="DA34" s="29">
        <v>5.167</v>
      </c>
      <c r="DB34" s="29">
        <v>6.804</v>
      </c>
      <c r="DC34" s="29">
        <v>6.779</v>
      </c>
      <c r="DD34" s="29">
        <v>7.564</v>
      </c>
      <c r="DE34" s="29">
        <v>7.219</v>
      </c>
      <c r="DF34" s="29">
        <v>7.19</v>
      </c>
      <c r="DG34" s="29">
        <v>6.943</v>
      </c>
      <c r="DH34" s="29">
        <v>6.849</v>
      </c>
      <c r="DI34" s="29">
        <v>6.536</v>
      </c>
      <c r="DJ34" s="29">
        <v>7.313</v>
      </c>
      <c r="DK34" s="29">
        <v>7.72</v>
      </c>
      <c r="DL34" s="29">
        <v>7.441</v>
      </c>
      <c r="DM34" s="29">
        <v>7.857</v>
      </c>
      <c r="DN34" s="29">
        <v>8.107</v>
      </c>
      <c r="DO34" s="29">
        <v>7.769</v>
      </c>
      <c r="DP34" s="29">
        <v>8.924</v>
      </c>
      <c r="DQ34" s="29">
        <v>8.347</v>
      </c>
      <c r="DR34" s="29">
        <v>3.903</v>
      </c>
      <c r="DS34" s="29">
        <v>4.03</v>
      </c>
      <c r="DT34" s="29">
        <v>3.781</v>
      </c>
      <c r="DU34" s="29">
        <v>4.596</v>
      </c>
      <c r="DV34" s="29">
        <v>3.99</v>
      </c>
      <c r="DW34" s="29">
        <v>4.302</v>
      </c>
      <c r="DX34" s="29">
        <v>4.5</v>
      </c>
      <c r="DY34" s="29">
        <v>4.79</v>
      </c>
      <c r="DZ34" s="29">
        <v>3.925</v>
      </c>
      <c r="EA34" s="29">
        <v>3.918</v>
      </c>
      <c r="EB34" s="29">
        <v>3.515</v>
      </c>
      <c r="EC34" s="29">
        <v>2.556</v>
      </c>
      <c r="ED34" s="29">
        <v>2.299</v>
      </c>
      <c r="EE34" s="29">
        <v>2.468</v>
      </c>
      <c r="EF34" s="29">
        <v>2.573</v>
      </c>
      <c r="EG34" s="29">
        <v>2.793</v>
      </c>
      <c r="EH34" s="29">
        <v>3.164</v>
      </c>
      <c r="EI34" s="29">
        <v>3.759</v>
      </c>
      <c r="EJ34" s="29">
        <v>4.248</v>
      </c>
      <c r="EK34" s="29">
        <v>3.862</v>
      </c>
      <c r="EL34" s="29">
        <v>4.755</v>
      </c>
      <c r="EM34" s="29">
        <v>4.73</v>
      </c>
      <c r="EN34" s="29">
        <v>3.283</v>
      </c>
      <c r="EO34" s="29">
        <v>3.838</v>
      </c>
      <c r="EP34" s="29">
        <v>4.38</v>
      </c>
      <c r="EQ34" s="29">
        <v>4.102</v>
      </c>
      <c r="ER34" s="29">
        <v>4.617</v>
      </c>
      <c r="ES34" s="29">
        <v>3.662</v>
      </c>
      <c r="ET34" s="29">
        <v>2.714</v>
      </c>
      <c r="EU34" s="29">
        <v>3.222</v>
      </c>
      <c r="EV34" s="29">
        <v>2.55</v>
      </c>
      <c r="EW34" s="29">
        <v>2.518</v>
      </c>
      <c r="EX34" s="29">
        <v>3.955</v>
      </c>
      <c r="EY34" s="29">
        <v>3.429</v>
      </c>
      <c r="EZ34" s="29">
        <v>3.106</v>
      </c>
      <c r="FA34" s="29">
        <v>2.56</v>
      </c>
      <c r="FB34" s="29">
        <v>2.8890000000000002</v>
      </c>
      <c r="FC34" s="29">
        <v>2.453</v>
      </c>
      <c r="FD34" s="29">
        <v>2.49</v>
      </c>
      <c r="FE34" s="29">
        <v>2.472</v>
      </c>
      <c r="FF34" s="29">
        <v>2.8120000000000003</v>
      </c>
      <c r="FG34" s="29">
        <v>3.063</v>
      </c>
      <c r="FH34" s="29">
        <v>2.7880000000000003</v>
      </c>
      <c r="FI34" s="29">
        <v>2.934</v>
      </c>
      <c r="FJ34" s="29">
        <v>4.205</v>
      </c>
      <c r="FK34" s="29">
        <v>4.162</v>
      </c>
      <c r="FL34" s="29">
        <v>4.983</v>
      </c>
      <c r="FM34" s="29">
        <v>4.648</v>
      </c>
      <c r="FN34" s="29">
        <v>4.71</v>
      </c>
      <c r="FO34" s="29">
        <v>6.298</v>
      </c>
      <c r="FP34" s="29">
        <v>6.381</v>
      </c>
      <c r="FQ34" s="29">
        <v>9.027</v>
      </c>
      <c r="FR34" s="29">
        <v>4.809</v>
      </c>
      <c r="FS34" s="29">
        <v>6.953</v>
      </c>
      <c r="FT34" s="29">
        <v>6.728</v>
      </c>
      <c r="FU34" s="29">
        <v>6.087</v>
      </c>
      <c r="FV34" s="29">
        <v>5.993</v>
      </c>
      <c r="FW34" s="29">
        <v>5.689</v>
      </c>
      <c r="FX34" s="29">
        <v>5.7219999999999995</v>
      </c>
      <c r="FY34" s="29">
        <v>8.236</v>
      </c>
      <c r="FZ34" s="29">
        <v>6.515</v>
      </c>
      <c r="GA34" s="29">
        <v>7.931</v>
      </c>
      <c r="GB34" s="29">
        <v>5.192</v>
      </c>
      <c r="GC34" s="29">
        <v>5.234</v>
      </c>
      <c r="GD34" s="29">
        <v>10.014</v>
      </c>
      <c r="GE34" s="29">
        <v>9.383</v>
      </c>
      <c r="GF34" s="29">
        <v>11.08</v>
      </c>
      <c r="GG34" s="29">
        <v>11.037</v>
      </c>
      <c r="GH34" s="29">
        <v>8.948</v>
      </c>
      <c r="GI34" s="29">
        <v>8.091</v>
      </c>
      <c r="GJ34" s="29">
        <v>6.625</v>
      </c>
      <c r="GK34" s="29">
        <v>6.801</v>
      </c>
      <c r="GL34" s="29">
        <v>7.673</v>
      </c>
      <c r="GM34" s="26">
        <v>7.472</v>
      </c>
      <c r="GN34" s="26">
        <v>5.827</v>
      </c>
      <c r="GO34" s="29">
        <f>+5.9</f>
        <v>5.9</v>
      </c>
      <c r="GP34" s="29">
        <f>+10.7-4</f>
        <v>6.699999999999999</v>
      </c>
      <c r="GQ34" s="22"/>
    </row>
    <row r="35" spans="1:199" ht="12.75">
      <c r="A35" s="27" t="s">
        <v>56</v>
      </c>
      <c r="B35" s="38" t="s">
        <v>57</v>
      </c>
      <c r="C35" s="29">
        <v>0.094</v>
      </c>
      <c r="D35" s="29">
        <v>0.214</v>
      </c>
      <c r="E35" s="29">
        <v>0.136</v>
      </c>
      <c r="F35" s="29">
        <v>0.24</v>
      </c>
      <c r="G35" s="29">
        <v>0.292</v>
      </c>
      <c r="H35" s="29">
        <v>0.296</v>
      </c>
      <c r="I35" s="29">
        <v>0.28500000000000003</v>
      </c>
      <c r="J35" s="29">
        <v>0.27</v>
      </c>
      <c r="K35" s="29">
        <v>0.199</v>
      </c>
      <c r="L35" s="29">
        <v>0.307</v>
      </c>
      <c r="M35" s="29">
        <v>0.15</v>
      </c>
      <c r="N35" s="29">
        <v>0.323</v>
      </c>
      <c r="O35" s="29">
        <v>0.276</v>
      </c>
      <c r="P35" s="29">
        <v>0.41400000000000003</v>
      </c>
      <c r="Q35" s="29">
        <v>0.634</v>
      </c>
      <c r="R35" s="29">
        <v>0.73</v>
      </c>
      <c r="S35" s="29">
        <v>0.582</v>
      </c>
      <c r="T35" s="29">
        <v>0.706</v>
      </c>
      <c r="U35" s="29">
        <v>0.387</v>
      </c>
      <c r="V35" s="29">
        <v>0.396</v>
      </c>
      <c r="W35" s="29">
        <v>0.4</v>
      </c>
      <c r="X35" s="29">
        <v>0.28400000000000003</v>
      </c>
      <c r="Y35" s="29">
        <v>0.20700000000000002</v>
      </c>
      <c r="Z35" s="29">
        <v>0.182</v>
      </c>
      <c r="AA35" s="29">
        <v>0.21</v>
      </c>
      <c r="AB35" s="29">
        <v>0.209</v>
      </c>
      <c r="AC35" s="29">
        <v>0.293</v>
      </c>
      <c r="AD35" s="29">
        <v>0.359</v>
      </c>
      <c r="AE35" s="29">
        <v>0.189</v>
      </c>
      <c r="AF35" s="29">
        <v>0.489</v>
      </c>
      <c r="AG35" s="29">
        <v>0.234</v>
      </c>
      <c r="AH35" s="29">
        <v>0.228</v>
      </c>
      <c r="AI35" s="29">
        <v>0.271</v>
      </c>
      <c r="AJ35" s="29">
        <v>0.28400000000000003</v>
      </c>
      <c r="AK35" s="29">
        <v>0.372</v>
      </c>
      <c r="AL35" s="29">
        <v>0.606</v>
      </c>
      <c r="AM35" s="29">
        <v>0.357</v>
      </c>
      <c r="AN35" s="29">
        <v>0.304</v>
      </c>
      <c r="AO35" s="29">
        <v>0.75</v>
      </c>
      <c r="AP35" s="29">
        <v>0.66</v>
      </c>
      <c r="AQ35" s="29">
        <v>0.866</v>
      </c>
      <c r="AR35" s="29">
        <v>0.981</v>
      </c>
      <c r="AS35" s="29">
        <v>1.9969999999999999</v>
      </c>
      <c r="AT35" s="29">
        <v>1.133</v>
      </c>
      <c r="AU35" s="29">
        <v>0.889</v>
      </c>
      <c r="AV35" s="29">
        <v>1.466</v>
      </c>
      <c r="AW35" s="29">
        <v>0.675</v>
      </c>
      <c r="AX35" s="29">
        <v>0.8310000000000001</v>
      </c>
      <c r="AY35" s="29">
        <v>0.517</v>
      </c>
      <c r="AZ35" s="29">
        <v>0.613</v>
      </c>
      <c r="BA35" s="29">
        <v>0.418</v>
      </c>
      <c r="BB35" s="29">
        <v>0.777</v>
      </c>
      <c r="BC35" s="29">
        <v>1.035</v>
      </c>
      <c r="BD35" s="29">
        <v>0.916</v>
      </c>
      <c r="BE35" s="29">
        <v>3.748</v>
      </c>
      <c r="BF35" s="29">
        <v>0.541</v>
      </c>
      <c r="BG35" s="29">
        <v>0.357</v>
      </c>
      <c r="BH35" s="29">
        <v>0.874</v>
      </c>
      <c r="BI35" s="29">
        <v>0.556</v>
      </c>
      <c r="BJ35" s="29">
        <v>0.352</v>
      </c>
      <c r="BK35" s="29">
        <v>0.547</v>
      </c>
      <c r="BL35" s="29">
        <v>0.5750000000000001</v>
      </c>
      <c r="BM35" s="29">
        <v>0.794</v>
      </c>
      <c r="BN35" s="29">
        <v>0.603</v>
      </c>
      <c r="BO35" s="29">
        <v>0.718</v>
      </c>
      <c r="BP35" s="29">
        <v>1.087</v>
      </c>
      <c r="BQ35" s="29">
        <v>1.204</v>
      </c>
      <c r="BR35" s="29">
        <v>0.531</v>
      </c>
      <c r="BS35" s="29">
        <v>0.971</v>
      </c>
      <c r="BT35" s="29">
        <v>0.8210000000000001</v>
      </c>
      <c r="BU35" s="29">
        <v>0.586</v>
      </c>
      <c r="BV35" s="29">
        <v>0.543</v>
      </c>
      <c r="BW35" s="29">
        <v>0.319</v>
      </c>
      <c r="BX35" s="29">
        <v>0.47500000000000003</v>
      </c>
      <c r="BY35" s="29">
        <v>0.427</v>
      </c>
      <c r="BZ35" s="29">
        <v>0.602</v>
      </c>
      <c r="CA35" s="29">
        <v>0.895</v>
      </c>
      <c r="CB35" s="29">
        <v>0.417</v>
      </c>
      <c r="CC35" s="29">
        <v>0.202</v>
      </c>
      <c r="CD35" s="29">
        <v>0.397</v>
      </c>
      <c r="CE35" s="29">
        <v>0.34900000000000003</v>
      </c>
      <c r="CF35" s="29">
        <v>0.317</v>
      </c>
      <c r="CG35" s="29">
        <v>1.478</v>
      </c>
      <c r="CH35" s="29">
        <v>0.49</v>
      </c>
      <c r="CI35" s="29">
        <v>0.334</v>
      </c>
      <c r="CJ35" s="29">
        <v>0.884</v>
      </c>
      <c r="CK35" s="29">
        <v>0.481</v>
      </c>
      <c r="CL35" s="29">
        <v>0.615</v>
      </c>
      <c r="CM35" s="29">
        <v>0.722</v>
      </c>
      <c r="CN35" s="29">
        <v>0.666</v>
      </c>
      <c r="CO35" s="29">
        <v>1.093</v>
      </c>
      <c r="CP35" s="29">
        <v>0.913</v>
      </c>
      <c r="CQ35" s="29">
        <v>0.988</v>
      </c>
      <c r="CR35" s="29">
        <v>0.609</v>
      </c>
      <c r="CS35" s="29">
        <v>1.56</v>
      </c>
      <c r="CT35" s="29">
        <v>0.542</v>
      </c>
      <c r="CU35" s="29">
        <v>0.8170000000000001</v>
      </c>
      <c r="CV35" s="29">
        <v>0.606</v>
      </c>
      <c r="CW35" s="29">
        <v>0.742</v>
      </c>
      <c r="CX35" s="29">
        <v>0.914</v>
      </c>
      <c r="CY35" s="29">
        <v>2.221</v>
      </c>
      <c r="CZ35" s="29">
        <v>1.415</v>
      </c>
      <c r="DA35" s="29">
        <v>0.58</v>
      </c>
      <c r="DB35" s="29">
        <v>0.924</v>
      </c>
      <c r="DC35" s="29">
        <v>0.787</v>
      </c>
      <c r="DD35" s="29">
        <v>0.6940000000000001</v>
      </c>
      <c r="DE35" s="29">
        <v>0.47900000000000004</v>
      </c>
      <c r="DF35" s="29">
        <v>1.339</v>
      </c>
      <c r="DG35" s="29">
        <v>1.361</v>
      </c>
      <c r="DH35" s="29">
        <v>0.873</v>
      </c>
      <c r="DI35" s="29">
        <v>0.848</v>
      </c>
      <c r="DJ35" s="29">
        <v>0.687</v>
      </c>
      <c r="DK35" s="29">
        <v>1.5230000000000001</v>
      </c>
      <c r="DL35" s="29">
        <v>1.091</v>
      </c>
      <c r="DM35" s="29">
        <v>1.376</v>
      </c>
      <c r="DN35" s="29">
        <v>1.325</v>
      </c>
      <c r="DO35" s="29">
        <v>1.218</v>
      </c>
      <c r="DP35" s="29">
        <v>0.681</v>
      </c>
      <c r="DQ35" s="29">
        <v>0.41400000000000003</v>
      </c>
      <c r="DR35" s="29">
        <v>0.606</v>
      </c>
      <c r="DS35" s="29">
        <v>0.578</v>
      </c>
      <c r="DT35" s="29">
        <v>0.497</v>
      </c>
      <c r="DU35" s="29">
        <v>0.419</v>
      </c>
      <c r="DV35" s="29">
        <v>0.243</v>
      </c>
      <c r="DW35" s="29">
        <v>0.26</v>
      </c>
      <c r="DX35" s="29">
        <v>3.013</v>
      </c>
      <c r="DY35" s="29">
        <v>2.066</v>
      </c>
      <c r="DZ35" s="29">
        <v>1.185</v>
      </c>
      <c r="EA35" s="29">
        <v>0.863</v>
      </c>
      <c r="EB35" s="29">
        <v>1.843</v>
      </c>
      <c r="EC35" s="29">
        <v>2.83</v>
      </c>
      <c r="ED35" s="29">
        <v>4.125</v>
      </c>
      <c r="EE35" s="29">
        <v>3.6</v>
      </c>
      <c r="EF35" s="29">
        <v>3.65</v>
      </c>
      <c r="EG35" s="29">
        <v>3.819</v>
      </c>
      <c r="EH35" s="29">
        <v>0.428</v>
      </c>
      <c r="EI35" s="29">
        <v>0.783</v>
      </c>
      <c r="EJ35" s="29">
        <v>0.974</v>
      </c>
      <c r="EK35" s="29">
        <v>0.685</v>
      </c>
      <c r="EL35" s="29">
        <v>0.758</v>
      </c>
      <c r="EM35" s="29">
        <v>0.657</v>
      </c>
      <c r="EN35" s="29">
        <v>0.626</v>
      </c>
      <c r="EO35" s="29">
        <v>0.46</v>
      </c>
      <c r="EP35" s="29">
        <v>0.466</v>
      </c>
      <c r="EQ35" s="29">
        <v>0.47200000000000003</v>
      </c>
      <c r="ER35" s="29">
        <v>0.335</v>
      </c>
      <c r="ES35" s="29">
        <v>0.501</v>
      </c>
      <c r="ET35" s="29">
        <v>1.3980000000000001</v>
      </c>
      <c r="EU35" s="29">
        <v>0.762</v>
      </c>
      <c r="EV35" s="29">
        <v>0.677</v>
      </c>
      <c r="EW35" s="29">
        <v>1.235</v>
      </c>
      <c r="EX35" s="29">
        <v>1.073</v>
      </c>
      <c r="EY35" s="29">
        <v>1.167</v>
      </c>
      <c r="EZ35" s="29">
        <v>0.878</v>
      </c>
      <c r="FA35" s="29">
        <v>0.5650000000000001</v>
      </c>
      <c r="FB35" s="29">
        <v>1.077</v>
      </c>
      <c r="FC35" s="29">
        <v>3.797</v>
      </c>
      <c r="FD35" s="29">
        <v>5.866</v>
      </c>
      <c r="FE35" s="29">
        <v>2.523</v>
      </c>
      <c r="FF35" s="29">
        <v>2.8369999999999997</v>
      </c>
      <c r="FG35" s="29">
        <v>3.045</v>
      </c>
      <c r="FH35" s="29">
        <v>1.728</v>
      </c>
      <c r="FI35" s="29">
        <v>1.249</v>
      </c>
      <c r="FJ35" s="29">
        <v>0.76</v>
      </c>
      <c r="FK35" s="29">
        <v>1.7610000000000001</v>
      </c>
      <c r="FL35" s="29">
        <v>1.699</v>
      </c>
      <c r="FM35" s="29">
        <v>2.4050000000000002</v>
      </c>
      <c r="FN35" s="29">
        <v>1.734</v>
      </c>
      <c r="FO35" s="29">
        <v>1.705</v>
      </c>
      <c r="FP35" s="29">
        <v>1.763</v>
      </c>
      <c r="FQ35" s="29">
        <v>1.708</v>
      </c>
      <c r="FR35" s="29">
        <v>2.149</v>
      </c>
      <c r="FS35" s="29">
        <v>2.163</v>
      </c>
      <c r="FT35" s="29">
        <v>1.733</v>
      </c>
      <c r="FU35" s="29">
        <v>1.887</v>
      </c>
      <c r="FV35" s="29">
        <v>1.467</v>
      </c>
      <c r="FW35" s="29">
        <v>1.35</v>
      </c>
      <c r="FX35" s="29">
        <v>1.224</v>
      </c>
      <c r="FY35" s="29">
        <v>1.106</v>
      </c>
      <c r="FZ35" s="29">
        <v>1.344</v>
      </c>
      <c r="GA35" s="29">
        <v>1.718</v>
      </c>
      <c r="GB35" s="29">
        <v>1.74</v>
      </c>
      <c r="GC35" s="29">
        <v>1.803</v>
      </c>
      <c r="GD35" s="29">
        <v>2.164</v>
      </c>
      <c r="GE35" s="29">
        <v>2.624</v>
      </c>
      <c r="GF35" s="29">
        <v>1.9849999999999999</v>
      </c>
      <c r="GG35" s="29">
        <v>1.6640000000000001</v>
      </c>
      <c r="GH35" s="29">
        <v>1.9180000000000001</v>
      </c>
      <c r="GI35" s="29">
        <v>3.416</v>
      </c>
      <c r="GJ35" s="29">
        <v>1.9540000000000002</v>
      </c>
      <c r="GK35" s="29">
        <v>1.826</v>
      </c>
      <c r="GL35" s="29">
        <v>1.8679999999999999</v>
      </c>
      <c r="GM35" s="26">
        <v>1.788</v>
      </c>
      <c r="GN35" s="26">
        <v>1.5</v>
      </c>
      <c r="GO35" s="29">
        <v>1.5</v>
      </c>
      <c r="GP35" s="29">
        <v>1.5</v>
      </c>
      <c r="GQ35" s="22"/>
    </row>
    <row r="36" spans="1:199" ht="12.75">
      <c r="A36" s="27" t="s">
        <v>58</v>
      </c>
      <c r="B36" s="38" t="s">
        <v>59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29">
        <v>0</v>
      </c>
      <c r="BV36" s="29">
        <v>0</v>
      </c>
      <c r="BW36" s="29">
        <v>0</v>
      </c>
      <c r="BX36" s="29">
        <v>0</v>
      </c>
      <c r="BY36" s="29">
        <v>0</v>
      </c>
      <c r="BZ36" s="29">
        <v>0</v>
      </c>
      <c r="CA36" s="29">
        <v>0</v>
      </c>
      <c r="CB36" s="29">
        <v>0</v>
      </c>
      <c r="CC36" s="29">
        <v>0</v>
      </c>
      <c r="CD36" s="29">
        <v>0</v>
      </c>
      <c r="CE36" s="29">
        <v>0</v>
      </c>
      <c r="CF36" s="29">
        <v>0</v>
      </c>
      <c r="CG36" s="29">
        <v>0</v>
      </c>
      <c r="CH36" s="29">
        <v>0</v>
      </c>
      <c r="CI36" s="29">
        <v>0</v>
      </c>
      <c r="CJ36" s="29">
        <v>0</v>
      </c>
      <c r="CK36" s="29">
        <v>0</v>
      </c>
      <c r="CL36" s="29">
        <v>0</v>
      </c>
      <c r="CM36" s="29">
        <v>0</v>
      </c>
      <c r="CN36" s="29">
        <v>0</v>
      </c>
      <c r="CO36" s="29">
        <v>0</v>
      </c>
      <c r="CP36" s="29">
        <v>0</v>
      </c>
      <c r="CQ36" s="29">
        <v>0</v>
      </c>
      <c r="CR36" s="29">
        <v>0</v>
      </c>
      <c r="CS36" s="29">
        <v>0</v>
      </c>
      <c r="CT36" s="29">
        <v>0</v>
      </c>
      <c r="CU36" s="29">
        <v>0</v>
      </c>
      <c r="CV36" s="29">
        <v>0</v>
      </c>
      <c r="CW36" s="29">
        <v>0</v>
      </c>
      <c r="CX36" s="29">
        <v>0</v>
      </c>
      <c r="CY36" s="29">
        <v>0</v>
      </c>
      <c r="CZ36" s="29">
        <v>0</v>
      </c>
      <c r="DA36" s="29">
        <v>0</v>
      </c>
      <c r="DB36" s="29">
        <v>0</v>
      </c>
      <c r="DC36" s="29">
        <v>0</v>
      </c>
      <c r="DD36" s="29">
        <v>0</v>
      </c>
      <c r="DE36" s="29">
        <v>0</v>
      </c>
      <c r="DF36" s="29">
        <v>0</v>
      </c>
      <c r="DG36" s="29">
        <v>0</v>
      </c>
      <c r="DH36" s="29">
        <v>0</v>
      </c>
      <c r="DI36" s="29">
        <v>0</v>
      </c>
      <c r="DJ36" s="29">
        <v>0</v>
      </c>
      <c r="DK36" s="29">
        <v>0</v>
      </c>
      <c r="DL36" s="29">
        <v>0</v>
      </c>
      <c r="DM36" s="29">
        <v>0</v>
      </c>
      <c r="DN36" s="29">
        <v>0</v>
      </c>
      <c r="DO36" s="29">
        <v>0</v>
      </c>
      <c r="DP36" s="29">
        <v>0</v>
      </c>
      <c r="DQ36" s="29">
        <v>0</v>
      </c>
      <c r="DR36" s="29">
        <v>0</v>
      </c>
      <c r="DS36" s="29">
        <v>0</v>
      </c>
      <c r="DT36" s="29">
        <v>0</v>
      </c>
      <c r="DU36" s="29">
        <v>0</v>
      </c>
      <c r="DV36" s="29">
        <v>0</v>
      </c>
      <c r="DW36" s="29">
        <v>0</v>
      </c>
      <c r="DX36" s="29">
        <v>0</v>
      </c>
      <c r="DY36" s="29">
        <v>0</v>
      </c>
      <c r="DZ36" s="29">
        <v>0</v>
      </c>
      <c r="EA36" s="29">
        <v>0</v>
      </c>
      <c r="EB36" s="29">
        <v>0</v>
      </c>
      <c r="EC36" s="29">
        <v>0</v>
      </c>
      <c r="ED36" s="29">
        <v>0</v>
      </c>
      <c r="EE36" s="29">
        <v>0</v>
      </c>
      <c r="EF36" s="29">
        <v>0</v>
      </c>
      <c r="EG36" s="29">
        <v>0</v>
      </c>
      <c r="EH36" s="29">
        <v>0</v>
      </c>
      <c r="EI36" s="29">
        <v>0</v>
      </c>
      <c r="EJ36" s="29">
        <v>0</v>
      </c>
      <c r="EK36" s="29">
        <v>0</v>
      </c>
      <c r="EL36" s="29">
        <v>0</v>
      </c>
      <c r="EM36" s="29">
        <v>0</v>
      </c>
      <c r="EN36" s="29">
        <v>0</v>
      </c>
      <c r="EO36" s="29">
        <v>0</v>
      </c>
      <c r="EP36" s="29">
        <v>0</v>
      </c>
      <c r="EQ36" s="29">
        <v>0</v>
      </c>
      <c r="ER36" s="29">
        <v>0</v>
      </c>
      <c r="ES36" s="29">
        <v>0</v>
      </c>
      <c r="ET36" s="29">
        <v>0</v>
      </c>
      <c r="EU36" s="29">
        <v>0</v>
      </c>
      <c r="EV36" s="29">
        <v>0</v>
      </c>
      <c r="EW36" s="29">
        <v>0</v>
      </c>
      <c r="EX36" s="29">
        <v>0</v>
      </c>
      <c r="EY36" s="29">
        <v>0</v>
      </c>
      <c r="EZ36" s="29">
        <v>0</v>
      </c>
      <c r="FA36" s="29">
        <v>0</v>
      </c>
      <c r="FB36" s="29">
        <v>0</v>
      </c>
      <c r="FC36" s="29">
        <v>0</v>
      </c>
      <c r="FD36" s="29">
        <v>0</v>
      </c>
      <c r="FE36" s="29">
        <v>0</v>
      </c>
      <c r="FF36" s="29">
        <v>0</v>
      </c>
      <c r="FG36" s="29">
        <v>0</v>
      </c>
      <c r="FH36" s="29">
        <v>0</v>
      </c>
      <c r="FI36" s="29">
        <v>0</v>
      </c>
      <c r="FJ36" s="29">
        <v>0</v>
      </c>
      <c r="FK36" s="29">
        <v>0</v>
      </c>
      <c r="FL36" s="29">
        <v>0</v>
      </c>
      <c r="FM36" s="29">
        <v>0</v>
      </c>
      <c r="FN36" s="29">
        <v>0</v>
      </c>
      <c r="FO36" s="29">
        <v>0</v>
      </c>
      <c r="FP36" s="29">
        <v>1.161</v>
      </c>
      <c r="FQ36" s="29">
        <v>0</v>
      </c>
      <c r="FR36" s="29">
        <v>0</v>
      </c>
      <c r="FS36" s="29">
        <v>0</v>
      </c>
      <c r="FT36" s="29">
        <v>0</v>
      </c>
      <c r="FU36" s="29">
        <v>0</v>
      </c>
      <c r="FV36" s="29">
        <v>0</v>
      </c>
      <c r="FW36" s="29">
        <v>0</v>
      </c>
      <c r="FX36" s="29">
        <v>0</v>
      </c>
      <c r="FY36" s="29">
        <v>0</v>
      </c>
      <c r="FZ36" s="29">
        <v>0</v>
      </c>
      <c r="GA36" s="29">
        <v>0</v>
      </c>
      <c r="GB36" s="29">
        <v>0</v>
      </c>
      <c r="GC36" s="29">
        <v>0</v>
      </c>
      <c r="GD36" s="29">
        <v>0</v>
      </c>
      <c r="GE36" s="29">
        <v>0</v>
      </c>
      <c r="GF36" s="29">
        <v>0</v>
      </c>
      <c r="GG36" s="29">
        <v>0</v>
      </c>
      <c r="GH36" s="29">
        <v>0</v>
      </c>
      <c r="GI36" s="29">
        <v>0</v>
      </c>
      <c r="GJ36" s="29">
        <v>0</v>
      </c>
      <c r="GK36" s="29">
        <v>0</v>
      </c>
      <c r="GL36" s="29">
        <v>0</v>
      </c>
      <c r="GM36" s="26">
        <v>0</v>
      </c>
      <c r="GN36" s="26">
        <v>0</v>
      </c>
      <c r="GO36" s="29">
        <v>0</v>
      </c>
      <c r="GP36" s="29">
        <v>0</v>
      </c>
      <c r="GQ36" s="22"/>
    </row>
    <row r="37" spans="1:199" ht="12.75">
      <c r="A37" s="30" t="s">
        <v>60</v>
      </c>
      <c r="B37" s="37" t="s">
        <v>61</v>
      </c>
      <c r="C37" s="32">
        <v>-0.372594307</v>
      </c>
      <c r="D37" s="32">
        <v>-1.522658655</v>
      </c>
      <c r="E37" s="32">
        <v>-1.07606789</v>
      </c>
      <c r="F37" s="32">
        <v>-0.16991387900000002</v>
      </c>
      <c r="G37" s="32">
        <v>-0.422612346</v>
      </c>
      <c r="H37" s="32">
        <v>-1.893676165</v>
      </c>
      <c r="I37" s="32">
        <v>-0.7153509679999981</v>
      </c>
      <c r="J37" s="32">
        <v>-0.0980919130000006</v>
      </c>
      <c r="K37" s="32">
        <v>0.0881252839999992</v>
      </c>
      <c r="L37" s="32">
        <v>-3.031883275</v>
      </c>
      <c r="M37" s="32">
        <v>0.00620273900000001</v>
      </c>
      <c r="N37" s="32">
        <v>2.129792968</v>
      </c>
      <c r="O37" s="32">
        <v>4.284227873</v>
      </c>
      <c r="P37" s="32">
        <v>4.325708568</v>
      </c>
      <c r="Q37" s="32">
        <v>6.406432425</v>
      </c>
      <c r="R37" s="32">
        <v>7.390523942</v>
      </c>
      <c r="S37" s="32">
        <v>7.564334359</v>
      </c>
      <c r="T37" s="32">
        <v>8.695593569</v>
      </c>
      <c r="U37" s="32">
        <v>5.493728477</v>
      </c>
      <c r="V37" s="32">
        <v>5.135021277</v>
      </c>
      <c r="W37" s="32">
        <v>3.323903071</v>
      </c>
      <c r="X37" s="32">
        <v>1.089716842</v>
      </c>
      <c r="Y37" s="32">
        <v>-0.8342807700000011</v>
      </c>
      <c r="Z37" s="32">
        <v>3.517393288</v>
      </c>
      <c r="AA37" s="32">
        <v>2.462952278</v>
      </c>
      <c r="AB37" s="32">
        <v>0.00987935400000023</v>
      </c>
      <c r="AC37" s="32">
        <v>-0.26889044700000003</v>
      </c>
      <c r="AD37" s="32">
        <v>0.307602248</v>
      </c>
      <c r="AE37" s="32">
        <v>2.957935346</v>
      </c>
      <c r="AF37" s="32">
        <v>1.145345017</v>
      </c>
      <c r="AG37" s="32">
        <v>1.14914164</v>
      </c>
      <c r="AH37" s="32">
        <v>1.29024377</v>
      </c>
      <c r="AI37" s="32">
        <v>1.941771291</v>
      </c>
      <c r="AJ37" s="32">
        <v>-0.143913766999999</v>
      </c>
      <c r="AK37" s="32">
        <v>1.790594169</v>
      </c>
      <c r="AL37" s="32">
        <v>1.877886391</v>
      </c>
      <c r="AM37" s="32">
        <v>-0.44439739000000106</v>
      </c>
      <c r="AN37" s="32">
        <v>-2.510110863</v>
      </c>
      <c r="AO37" s="32">
        <v>-2.552692131</v>
      </c>
      <c r="AP37" s="32">
        <v>0.22352591400000002</v>
      </c>
      <c r="AQ37" s="32">
        <v>-0.811191881999999</v>
      </c>
      <c r="AR37" s="32">
        <v>-0.19927972200000202</v>
      </c>
      <c r="AS37" s="32">
        <v>-4.660582837</v>
      </c>
      <c r="AT37" s="32">
        <v>-3.3785274100000002</v>
      </c>
      <c r="AU37" s="32">
        <v>-4.421983051</v>
      </c>
      <c r="AV37" s="32">
        <v>-3.6004593590000002</v>
      </c>
      <c r="AW37" s="32">
        <v>-1.242917314</v>
      </c>
      <c r="AX37" s="32">
        <v>-2.825054133</v>
      </c>
      <c r="AY37" s="32">
        <v>-2.348032283</v>
      </c>
      <c r="AZ37" s="32">
        <v>-3.503847504</v>
      </c>
      <c r="BA37" s="32">
        <v>-5.915750855</v>
      </c>
      <c r="BB37" s="32">
        <v>-9.27433166</v>
      </c>
      <c r="BC37" s="32">
        <v>-7.570006576</v>
      </c>
      <c r="BD37" s="32">
        <v>-6.904215232</v>
      </c>
      <c r="BE37" s="32">
        <v>-9.560493933</v>
      </c>
      <c r="BF37" s="32">
        <v>-5.4467571150000005</v>
      </c>
      <c r="BG37" s="32">
        <v>-10.045651612</v>
      </c>
      <c r="BH37" s="32">
        <v>-10.148168306</v>
      </c>
      <c r="BI37" s="32">
        <v>-4.998646578</v>
      </c>
      <c r="BJ37" s="32">
        <v>-7.146761168</v>
      </c>
      <c r="BK37" s="32">
        <v>-4.405761246</v>
      </c>
      <c r="BL37" s="32">
        <v>-3.028021064</v>
      </c>
      <c r="BM37" s="32">
        <v>-3.875258527</v>
      </c>
      <c r="BN37" s="32">
        <v>-0.7539059720000001</v>
      </c>
      <c r="BO37" s="32">
        <v>-2.113419265</v>
      </c>
      <c r="BP37" s="32">
        <v>-6.37726112</v>
      </c>
      <c r="BQ37" s="32">
        <v>-6.4465481350000005</v>
      </c>
      <c r="BR37" s="32">
        <v>-6.476051347</v>
      </c>
      <c r="BS37" s="32">
        <v>-5.094097491</v>
      </c>
      <c r="BT37" s="32">
        <v>-4.926361599</v>
      </c>
      <c r="BU37" s="32">
        <v>-5.865998569</v>
      </c>
      <c r="BV37" s="32">
        <v>-5.616304684</v>
      </c>
      <c r="BW37" s="32">
        <v>-6.005671548</v>
      </c>
      <c r="BX37" s="32">
        <v>-5.549260064</v>
      </c>
      <c r="BY37" s="32">
        <v>-4.564208167</v>
      </c>
      <c r="BZ37" s="32">
        <v>-4.501862387</v>
      </c>
      <c r="CA37" s="32">
        <v>-2.06586762</v>
      </c>
      <c r="CB37" s="32">
        <v>-5.390337244</v>
      </c>
      <c r="CC37" s="32">
        <v>-4.250068683</v>
      </c>
      <c r="CD37" s="32">
        <v>-4.875864251</v>
      </c>
      <c r="CE37" s="32">
        <v>0.0944685680000026</v>
      </c>
      <c r="CF37" s="32">
        <v>-5.694314698</v>
      </c>
      <c r="CG37" s="32">
        <v>-5.535326113</v>
      </c>
      <c r="CH37" s="32">
        <v>-5.520342792</v>
      </c>
      <c r="CI37" s="32">
        <v>-8.84909141</v>
      </c>
      <c r="CJ37" s="32">
        <v>-9.389601068</v>
      </c>
      <c r="CK37" s="32">
        <v>-7.796704744</v>
      </c>
      <c r="CL37" s="32">
        <v>-8.994110374</v>
      </c>
      <c r="CM37" s="32">
        <v>-0.665011635000002</v>
      </c>
      <c r="CN37" s="32">
        <v>-8.684435129</v>
      </c>
      <c r="CO37" s="32">
        <v>-13.389435655</v>
      </c>
      <c r="CP37" s="32">
        <v>-4.81673797</v>
      </c>
      <c r="CQ37" s="32">
        <v>-9.196851228</v>
      </c>
      <c r="CR37" s="32">
        <v>-4.41022225</v>
      </c>
      <c r="CS37" s="32">
        <v>-11.678283654</v>
      </c>
      <c r="CT37" s="32">
        <v>-13.156149319</v>
      </c>
      <c r="CU37" s="32">
        <v>-6.184608497</v>
      </c>
      <c r="CV37" s="32">
        <v>-8.554416535</v>
      </c>
      <c r="CW37" s="32">
        <v>-6.481805244</v>
      </c>
      <c r="CX37" s="32">
        <v>-9.477942069000001</v>
      </c>
      <c r="CY37" s="32">
        <v>-8.593256707</v>
      </c>
      <c r="CZ37" s="32">
        <v>-1.378131914</v>
      </c>
      <c r="DA37" s="32">
        <v>-3.931659447</v>
      </c>
      <c r="DB37" s="32">
        <v>-6.612946133</v>
      </c>
      <c r="DC37" s="32">
        <v>-4.48004089</v>
      </c>
      <c r="DD37" s="32">
        <v>-6.309135476</v>
      </c>
      <c r="DE37" s="32">
        <v>-5.931898296</v>
      </c>
      <c r="DF37" s="32">
        <v>-6.690139066</v>
      </c>
      <c r="DG37" s="32">
        <v>-4.891436185</v>
      </c>
      <c r="DH37" s="32">
        <v>-7.509691158</v>
      </c>
      <c r="DI37" s="32">
        <v>-5.668061536</v>
      </c>
      <c r="DJ37" s="32">
        <v>-7.139401314</v>
      </c>
      <c r="DK37" s="32">
        <v>-4.223253991</v>
      </c>
      <c r="DL37" s="32">
        <v>-2.671092513</v>
      </c>
      <c r="DM37" s="32">
        <v>-3.231179838</v>
      </c>
      <c r="DN37" s="32">
        <v>-2.252050548</v>
      </c>
      <c r="DO37" s="32">
        <v>-5.013609872</v>
      </c>
      <c r="DP37" s="32">
        <v>-1.913176927</v>
      </c>
      <c r="DQ37" s="32">
        <v>-0.9499430909999981</v>
      </c>
      <c r="DR37" s="32">
        <v>5.092548905</v>
      </c>
      <c r="DS37" s="32">
        <v>12.053428447</v>
      </c>
      <c r="DT37" s="32">
        <v>8.279796268</v>
      </c>
      <c r="DU37" s="32">
        <v>6.228744078</v>
      </c>
      <c r="DV37" s="32">
        <v>7.6468020590000005</v>
      </c>
      <c r="DW37" s="32">
        <v>5.065127741</v>
      </c>
      <c r="DX37" s="32">
        <v>8.910022611</v>
      </c>
      <c r="DY37" s="32">
        <v>9.309318844</v>
      </c>
      <c r="DZ37" s="32">
        <v>9.139054525</v>
      </c>
      <c r="EA37" s="32">
        <v>9.8017598</v>
      </c>
      <c r="EB37" s="32">
        <v>12.60292432</v>
      </c>
      <c r="EC37" s="32">
        <v>4.001741732</v>
      </c>
      <c r="ED37" s="32">
        <v>10.425545933</v>
      </c>
      <c r="EE37" s="32">
        <v>9.648938781</v>
      </c>
      <c r="EF37" s="32">
        <v>14.706758003000001</v>
      </c>
      <c r="EG37" s="32">
        <v>2.6348327510000003</v>
      </c>
      <c r="EH37" s="32">
        <v>7.42271688499999</v>
      </c>
      <c r="EI37" s="32">
        <v>-0.40840228500000303</v>
      </c>
      <c r="EJ37" s="32">
        <v>4.818311195</v>
      </c>
      <c r="EK37" s="32">
        <v>-2.235873835</v>
      </c>
      <c r="EL37" s="32">
        <v>-2.65676373100001</v>
      </c>
      <c r="EM37" s="32">
        <v>-4.783355759</v>
      </c>
      <c r="EN37" s="32">
        <v>-2.36194810799999</v>
      </c>
      <c r="EO37" s="32">
        <v>-6.519456546</v>
      </c>
      <c r="EP37" s="32">
        <v>-15.130009819</v>
      </c>
      <c r="EQ37" s="32">
        <v>-8.634022831</v>
      </c>
      <c r="ER37" s="32">
        <v>-7.696527612</v>
      </c>
      <c r="ES37" s="32">
        <v>2.25461492500001</v>
      </c>
      <c r="ET37" s="32">
        <v>-3.764533364</v>
      </c>
      <c r="EU37" s="32">
        <v>-3.4134081480000003</v>
      </c>
      <c r="EV37" s="32">
        <v>-3.697281005</v>
      </c>
      <c r="EW37" s="32">
        <v>-0.0400897859999994</v>
      </c>
      <c r="EX37" s="32">
        <v>3.479031281</v>
      </c>
      <c r="EY37" s="32">
        <v>-0.863009583999997</v>
      </c>
      <c r="EZ37" s="32">
        <v>7.287224869</v>
      </c>
      <c r="FA37" s="32">
        <v>0.819338042000002</v>
      </c>
      <c r="FB37" s="32">
        <v>6.666983605</v>
      </c>
      <c r="FC37" s="32">
        <v>9.997556799</v>
      </c>
      <c r="FD37" s="32">
        <v>16.017881762</v>
      </c>
      <c r="FE37" s="32">
        <v>29.115001021</v>
      </c>
      <c r="FF37" s="32">
        <v>28.471752527</v>
      </c>
      <c r="FG37" s="32">
        <v>35.019780651</v>
      </c>
      <c r="FH37" s="32">
        <v>35.344834771</v>
      </c>
      <c r="FI37" s="32">
        <v>29.868585272</v>
      </c>
      <c r="FJ37" s="32">
        <v>31.701130134</v>
      </c>
      <c r="FK37" s="32">
        <v>33.579106421</v>
      </c>
      <c r="FL37" s="32">
        <v>29.427638738</v>
      </c>
      <c r="FM37" s="32">
        <v>48.925891064</v>
      </c>
      <c r="FN37" s="32">
        <v>30.746206193</v>
      </c>
      <c r="FO37" s="32">
        <v>13.909406987</v>
      </c>
      <c r="FP37" s="32">
        <v>19.247955762</v>
      </c>
      <c r="FQ37" s="32">
        <v>40.995710869</v>
      </c>
      <c r="FR37" s="32">
        <v>29.017517178</v>
      </c>
      <c r="FS37" s="32">
        <v>35.55048077</v>
      </c>
      <c r="FT37" s="32">
        <v>31.443898616</v>
      </c>
      <c r="FU37" s="32">
        <v>31.342514468</v>
      </c>
      <c r="FV37" s="32">
        <v>18.001036004</v>
      </c>
      <c r="FW37" s="32">
        <v>23.459173576</v>
      </c>
      <c r="FX37" s="32">
        <v>-0.49371311900001</v>
      </c>
      <c r="FY37" s="32">
        <v>20.171015075</v>
      </c>
      <c r="FZ37" s="32">
        <v>22.207083327</v>
      </c>
      <c r="GA37" s="32">
        <v>24.820550656</v>
      </c>
      <c r="GB37" s="32">
        <v>27.758459032</v>
      </c>
      <c r="GC37" s="32">
        <v>20.828446166</v>
      </c>
      <c r="GD37" s="32">
        <v>19.545801843</v>
      </c>
      <c r="GE37" s="32">
        <v>18.502626666</v>
      </c>
      <c r="GF37" s="32">
        <v>21.733947624</v>
      </c>
      <c r="GG37" s="32">
        <v>26.208839008</v>
      </c>
      <c r="GH37" s="32">
        <v>27.944688781</v>
      </c>
      <c r="GI37" s="32">
        <v>26.445671326</v>
      </c>
      <c r="GJ37" s="32">
        <v>27.904666327</v>
      </c>
      <c r="GK37" s="32">
        <v>20.954308789</v>
      </c>
      <c r="GL37" s="32">
        <v>23.55638268</v>
      </c>
      <c r="GM37" s="33">
        <v>11.33177027</v>
      </c>
      <c r="GN37" s="33">
        <v>24.750729414</v>
      </c>
      <c r="GO37" s="32">
        <f>+24.5+2.7</f>
        <v>27.2</v>
      </c>
      <c r="GP37" s="32">
        <f>+26.8-5</f>
        <v>21.8</v>
      </c>
      <c r="GQ37" s="22"/>
    </row>
    <row r="38" spans="1:199" ht="12.75">
      <c r="A38" s="27" t="s">
        <v>52</v>
      </c>
      <c r="B38" s="28" t="s">
        <v>62</v>
      </c>
      <c r="C38" s="29">
        <f aca="true" t="shared" si="54" ref="C38:AH38">-C12</f>
        <v>0</v>
      </c>
      <c r="D38" s="29">
        <f t="shared" si="54"/>
        <v>0</v>
      </c>
      <c r="E38" s="29">
        <f t="shared" si="54"/>
        <v>0</v>
      </c>
      <c r="F38" s="29">
        <f t="shared" si="54"/>
        <v>0</v>
      </c>
      <c r="G38" s="29">
        <f t="shared" si="54"/>
        <v>0</v>
      </c>
      <c r="H38" s="29">
        <f t="shared" si="54"/>
        <v>0</v>
      </c>
      <c r="I38" s="29">
        <f t="shared" si="54"/>
        <v>0</v>
      </c>
      <c r="J38" s="29">
        <f t="shared" si="54"/>
        <v>0</v>
      </c>
      <c r="K38" s="29">
        <f t="shared" si="54"/>
        <v>0</v>
      </c>
      <c r="L38" s="29">
        <f t="shared" si="54"/>
        <v>0</v>
      </c>
      <c r="M38" s="29">
        <f t="shared" si="54"/>
        <v>0</v>
      </c>
      <c r="N38" s="29">
        <f t="shared" si="54"/>
        <v>0</v>
      </c>
      <c r="O38" s="29">
        <f t="shared" si="54"/>
        <v>0</v>
      </c>
      <c r="P38" s="29">
        <f t="shared" si="54"/>
        <v>0</v>
      </c>
      <c r="Q38" s="29">
        <f t="shared" si="54"/>
        <v>0</v>
      </c>
      <c r="R38" s="29">
        <f t="shared" si="54"/>
        <v>0</v>
      </c>
      <c r="S38" s="29">
        <f t="shared" si="54"/>
        <v>0</v>
      </c>
      <c r="T38" s="29">
        <f t="shared" si="54"/>
        <v>0</v>
      </c>
      <c r="U38" s="29">
        <f t="shared" si="54"/>
        <v>0</v>
      </c>
      <c r="V38" s="29">
        <f t="shared" si="54"/>
        <v>0</v>
      </c>
      <c r="W38" s="29">
        <f t="shared" si="54"/>
        <v>0</v>
      </c>
      <c r="X38" s="29">
        <f t="shared" si="54"/>
        <v>0</v>
      </c>
      <c r="Y38" s="29">
        <f t="shared" si="54"/>
        <v>0</v>
      </c>
      <c r="Z38" s="29">
        <f t="shared" si="54"/>
        <v>0</v>
      </c>
      <c r="AA38" s="29">
        <f t="shared" si="54"/>
        <v>0</v>
      </c>
      <c r="AB38" s="29">
        <f t="shared" si="54"/>
        <v>0</v>
      </c>
      <c r="AC38" s="29">
        <f t="shared" si="54"/>
        <v>0</v>
      </c>
      <c r="AD38" s="29">
        <f t="shared" si="54"/>
        <v>0</v>
      </c>
      <c r="AE38" s="29">
        <f t="shared" si="54"/>
        <v>0</v>
      </c>
      <c r="AF38" s="29">
        <f t="shared" si="54"/>
        <v>0</v>
      </c>
      <c r="AG38" s="29">
        <f t="shared" si="54"/>
        <v>0</v>
      </c>
      <c r="AH38" s="29">
        <f t="shared" si="54"/>
        <v>0</v>
      </c>
      <c r="AI38" s="29">
        <f aca="true" t="shared" si="55" ref="AI38:BN38">-AI12</f>
        <v>0</v>
      </c>
      <c r="AJ38" s="29">
        <f t="shared" si="55"/>
        <v>0</v>
      </c>
      <c r="AK38" s="29">
        <f t="shared" si="55"/>
        <v>0</v>
      </c>
      <c r="AL38" s="29">
        <f t="shared" si="55"/>
        <v>0</v>
      </c>
      <c r="AM38" s="29">
        <f t="shared" si="55"/>
        <v>0</v>
      </c>
      <c r="AN38" s="29">
        <f t="shared" si="55"/>
        <v>0</v>
      </c>
      <c r="AO38" s="29">
        <f t="shared" si="55"/>
        <v>0</v>
      </c>
      <c r="AP38" s="29">
        <f t="shared" si="55"/>
        <v>0</v>
      </c>
      <c r="AQ38" s="29">
        <f t="shared" si="55"/>
        <v>0</v>
      </c>
      <c r="AR38" s="29">
        <f t="shared" si="55"/>
        <v>0</v>
      </c>
      <c r="AS38" s="29">
        <f t="shared" si="55"/>
        <v>0</v>
      </c>
      <c r="AT38" s="29">
        <f t="shared" si="55"/>
        <v>0</v>
      </c>
      <c r="AU38" s="29">
        <f t="shared" si="55"/>
        <v>0</v>
      </c>
      <c r="AV38" s="29">
        <f t="shared" si="55"/>
        <v>0</v>
      </c>
      <c r="AW38" s="29">
        <f t="shared" si="55"/>
        <v>0</v>
      </c>
      <c r="AX38" s="29">
        <f t="shared" si="55"/>
        <v>0</v>
      </c>
      <c r="AY38" s="29">
        <f t="shared" si="55"/>
        <v>0</v>
      </c>
      <c r="AZ38" s="29">
        <f t="shared" si="55"/>
        <v>0</v>
      </c>
      <c r="BA38" s="29">
        <f t="shared" si="55"/>
        <v>0</v>
      </c>
      <c r="BB38" s="29">
        <f t="shared" si="55"/>
        <v>0</v>
      </c>
      <c r="BC38" s="29">
        <f t="shared" si="55"/>
        <v>0</v>
      </c>
      <c r="BD38" s="29">
        <f t="shared" si="55"/>
        <v>0</v>
      </c>
      <c r="BE38" s="29">
        <f t="shared" si="55"/>
        <v>0</v>
      </c>
      <c r="BF38" s="29">
        <f t="shared" si="55"/>
        <v>0</v>
      </c>
      <c r="BG38" s="29">
        <f t="shared" si="55"/>
        <v>0</v>
      </c>
      <c r="BH38" s="29">
        <f t="shared" si="55"/>
        <v>0</v>
      </c>
      <c r="BI38" s="29">
        <f t="shared" si="55"/>
        <v>0</v>
      </c>
      <c r="BJ38" s="29">
        <f t="shared" si="55"/>
        <v>0</v>
      </c>
      <c r="BK38" s="29">
        <f t="shared" si="55"/>
        <v>0</v>
      </c>
      <c r="BL38" s="29">
        <f t="shared" si="55"/>
        <v>0</v>
      </c>
      <c r="BM38" s="29">
        <f t="shared" si="55"/>
        <v>0</v>
      </c>
      <c r="BN38" s="29">
        <f t="shared" si="55"/>
        <v>0</v>
      </c>
      <c r="BO38" s="29">
        <f aca="true" t="shared" si="56" ref="BO38:CT38">-BO12</f>
        <v>0</v>
      </c>
      <c r="BP38" s="29">
        <f t="shared" si="56"/>
        <v>0</v>
      </c>
      <c r="BQ38" s="29">
        <f t="shared" si="56"/>
        <v>0</v>
      </c>
      <c r="BR38" s="29">
        <f t="shared" si="56"/>
        <v>0</v>
      </c>
      <c r="BS38" s="29">
        <f t="shared" si="56"/>
        <v>0</v>
      </c>
      <c r="BT38" s="29">
        <f t="shared" si="56"/>
        <v>0</v>
      </c>
      <c r="BU38" s="29">
        <f t="shared" si="56"/>
        <v>0</v>
      </c>
      <c r="BV38" s="29">
        <f t="shared" si="56"/>
        <v>0</v>
      </c>
      <c r="BW38" s="29">
        <f t="shared" si="56"/>
        <v>0</v>
      </c>
      <c r="BX38" s="29">
        <f t="shared" si="56"/>
        <v>0</v>
      </c>
      <c r="BY38" s="29">
        <f t="shared" si="56"/>
        <v>0</v>
      </c>
      <c r="BZ38" s="29">
        <f t="shared" si="56"/>
        <v>0</v>
      </c>
      <c r="CA38" s="29">
        <f t="shared" si="56"/>
        <v>0</v>
      </c>
      <c r="CB38" s="29">
        <f t="shared" si="56"/>
        <v>0</v>
      </c>
      <c r="CC38" s="29">
        <f t="shared" si="56"/>
        <v>0</v>
      </c>
      <c r="CD38" s="29">
        <f t="shared" si="56"/>
        <v>0</v>
      </c>
      <c r="CE38" s="29">
        <f t="shared" si="56"/>
        <v>0</v>
      </c>
      <c r="CF38" s="29">
        <f t="shared" si="56"/>
        <v>0</v>
      </c>
      <c r="CG38" s="29">
        <f t="shared" si="56"/>
        <v>0</v>
      </c>
      <c r="CH38" s="29">
        <f t="shared" si="56"/>
        <v>0</v>
      </c>
      <c r="CI38" s="29">
        <f t="shared" si="56"/>
        <v>0</v>
      </c>
      <c r="CJ38" s="29">
        <f t="shared" si="56"/>
        <v>0</v>
      </c>
      <c r="CK38" s="29">
        <f t="shared" si="56"/>
        <v>0</v>
      </c>
      <c r="CL38" s="29">
        <f t="shared" si="56"/>
        <v>0</v>
      </c>
      <c r="CM38" s="29">
        <f t="shared" si="56"/>
        <v>0</v>
      </c>
      <c r="CN38" s="29">
        <f t="shared" si="56"/>
        <v>0</v>
      </c>
      <c r="CO38" s="29">
        <f t="shared" si="56"/>
        <v>0</v>
      </c>
      <c r="CP38" s="29">
        <f t="shared" si="56"/>
        <v>0</v>
      </c>
      <c r="CQ38" s="29">
        <f t="shared" si="56"/>
        <v>0</v>
      </c>
      <c r="CR38" s="29">
        <f t="shared" si="56"/>
        <v>0</v>
      </c>
      <c r="CS38" s="29">
        <f t="shared" si="56"/>
        <v>0</v>
      </c>
      <c r="CT38" s="29">
        <f t="shared" si="56"/>
        <v>0</v>
      </c>
      <c r="CU38" s="29">
        <f aca="true" t="shared" si="57" ref="CU38:DZ38">-CU12</f>
        <v>0</v>
      </c>
      <c r="CV38" s="29">
        <f t="shared" si="57"/>
        <v>0</v>
      </c>
      <c r="CW38" s="29">
        <f t="shared" si="57"/>
        <v>0</v>
      </c>
      <c r="CX38" s="29">
        <f t="shared" si="57"/>
        <v>0</v>
      </c>
      <c r="CY38" s="29">
        <f t="shared" si="57"/>
        <v>0</v>
      </c>
      <c r="CZ38" s="29">
        <f t="shared" si="57"/>
        <v>0</v>
      </c>
      <c r="DA38" s="29">
        <f t="shared" si="57"/>
        <v>0</v>
      </c>
      <c r="DB38" s="29">
        <f t="shared" si="57"/>
        <v>0</v>
      </c>
      <c r="DC38" s="29">
        <f t="shared" si="57"/>
        <v>0</v>
      </c>
      <c r="DD38" s="29">
        <f t="shared" si="57"/>
        <v>0</v>
      </c>
      <c r="DE38" s="29">
        <f t="shared" si="57"/>
        <v>0</v>
      </c>
      <c r="DF38" s="29">
        <f t="shared" si="57"/>
        <v>0</v>
      </c>
      <c r="DG38" s="29">
        <f t="shared" si="57"/>
        <v>0</v>
      </c>
      <c r="DH38" s="29">
        <f t="shared" si="57"/>
        <v>0</v>
      </c>
      <c r="DI38" s="29">
        <f t="shared" si="57"/>
        <v>0</v>
      </c>
      <c r="DJ38" s="29">
        <f t="shared" si="57"/>
        <v>0</v>
      </c>
      <c r="DK38" s="29">
        <f t="shared" si="57"/>
        <v>0</v>
      </c>
      <c r="DL38" s="29">
        <f t="shared" si="57"/>
        <v>0</v>
      </c>
      <c r="DM38" s="29">
        <f t="shared" si="57"/>
        <v>0</v>
      </c>
      <c r="DN38" s="29">
        <f t="shared" si="57"/>
        <v>0</v>
      </c>
      <c r="DO38" s="29">
        <f t="shared" si="57"/>
        <v>0</v>
      </c>
      <c r="DP38" s="29">
        <f t="shared" si="57"/>
        <v>0</v>
      </c>
      <c r="DQ38" s="29">
        <f t="shared" si="57"/>
        <v>0</v>
      </c>
      <c r="DR38" s="29">
        <f t="shared" si="57"/>
        <v>0</v>
      </c>
      <c r="DS38" s="29">
        <f t="shared" si="57"/>
        <v>0</v>
      </c>
      <c r="DT38" s="29">
        <f t="shared" si="57"/>
        <v>0</v>
      </c>
      <c r="DU38" s="29">
        <f t="shared" si="57"/>
        <v>0</v>
      </c>
      <c r="DV38" s="29">
        <f t="shared" si="57"/>
        <v>0</v>
      </c>
      <c r="DW38" s="29">
        <f t="shared" si="57"/>
        <v>0</v>
      </c>
      <c r="DX38" s="29">
        <f t="shared" si="57"/>
        <v>0</v>
      </c>
      <c r="DY38" s="29">
        <f t="shared" si="57"/>
        <v>0</v>
      </c>
      <c r="DZ38" s="29">
        <f t="shared" si="57"/>
        <v>0</v>
      </c>
      <c r="EA38" s="29">
        <f aca="true" t="shared" si="58" ref="EA38:FF38">-EA12</f>
        <v>0</v>
      </c>
      <c r="EB38" s="29">
        <f t="shared" si="58"/>
        <v>0</v>
      </c>
      <c r="EC38" s="29">
        <f t="shared" si="58"/>
        <v>0</v>
      </c>
      <c r="ED38" s="29">
        <f t="shared" si="58"/>
        <v>0</v>
      </c>
      <c r="EE38" s="29">
        <f t="shared" si="58"/>
        <v>0</v>
      </c>
      <c r="EF38" s="29">
        <f t="shared" si="58"/>
        <v>0</v>
      </c>
      <c r="EG38" s="29">
        <f t="shared" si="58"/>
        <v>0</v>
      </c>
      <c r="EH38" s="29">
        <f t="shared" si="58"/>
        <v>0</v>
      </c>
      <c r="EI38" s="29">
        <f t="shared" si="58"/>
        <v>0</v>
      </c>
      <c r="EJ38" s="29">
        <f t="shared" si="58"/>
        <v>0</v>
      </c>
      <c r="EK38" s="29">
        <f t="shared" si="58"/>
        <v>0</v>
      </c>
      <c r="EL38" s="29">
        <f t="shared" si="58"/>
        <v>0</v>
      </c>
      <c r="EM38" s="29">
        <f t="shared" si="58"/>
        <v>0</v>
      </c>
      <c r="EN38" s="29">
        <f t="shared" si="58"/>
        <v>0</v>
      </c>
      <c r="EO38" s="29">
        <f t="shared" si="58"/>
        <v>0</v>
      </c>
      <c r="EP38" s="29">
        <f t="shared" si="58"/>
        <v>0</v>
      </c>
      <c r="EQ38" s="29">
        <f t="shared" si="58"/>
        <v>0</v>
      </c>
      <c r="ER38" s="29">
        <f t="shared" si="58"/>
        <v>0</v>
      </c>
      <c r="ES38" s="29">
        <f t="shared" si="58"/>
        <v>0</v>
      </c>
      <c r="ET38" s="29">
        <f t="shared" si="58"/>
        <v>0</v>
      </c>
      <c r="EU38" s="29">
        <f t="shared" si="58"/>
        <v>0</v>
      </c>
      <c r="EV38" s="29">
        <f t="shared" si="58"/>
        <v>0</v>
      </c>
      <c r="EW38" s="29">
        <f t="shared" si="58"/>
        <v>0</v>
      </c>
      <c r="EX38" s="29">
        <f t="shared" si="58"/>
        <v>0</v>
      </c>
      <c r="EY38" s="29">
        <f t="shared" si="58"/>
        <v>0</v>
      </c>
      <c r="EZ38" s="29">
        <f t="shared" si="58"/>
        <v>0</v>
      </c>
      <c r="FA38" s="29">
        <f t="shared" si="58"/>
        <v>0</v>
      </c>
      <c r="FB38" s="29">
        <f t="shared" si="58"/>
        <v>0</v>
      </c>
      <c r="FC38" s="29">
        <f t="shared" si="58"/>
        <v>0</v>
      </c>
      <c r="FD38" s="29">
        <f t="shared" si="58"/>
        <v>0</v>
      </c>
      <c r="FE38" s="29">
        <f t="shared" si="58"/>
        <v>0</v>
      </c>
      <c r="FF38" s="29">
        <f t="shared" si="58"/>
        <v>0</v>
      </c>
      <c r="FG38" s="29">
        <f aca="true" t="shared" si="59" ref="FG38:GN38">-FG12</f>
        <v>0</v>
      </c>
      <c r="FH38" s="29">
        <f t="shared" si="59"/>
        <v>0</v>
      </c>
      <c r="FI38" s="29">
        <f t="shared" si="59"/>
        <v>0</v>
      </c>
      <c r="FJ38" s="29">
        <f t="shared" si="59"/>
        <v>0</v>
      </c>
      <c r="FK38" s="29">
        <f t="shared" si="59"/>
        <v>0</v>
      </c>
      <c r="FL38" s="29">
        <f t="shared" si="59"/>
        <v>0</v>
      </c>
      <c r="FM38" s="29">
        <f t="shared" si="59"/>
        <v>0</v>
      </c>
      <c r="FN38" s="29">
        <f t="shared" si="59"/>
        <v>0</v>
      </c>
      <c r="FO38" s="29">
        <f t="shared" si="59"/>
        <v>0</v>
      </c>
      <c r="FP38" s="29">
        <f t="shared" si="59"/>
        <v>0</v>
      </c>
      <c r="FQ38" s="29">
        <f t="shared" si="59"/>
        <v>0</v>
      </c>
      <c r="FR38" s="29">
        <f t="shared" si="59"/>
        <v>0</v>
      </c>
      <c r="FS38" s="29">
        <f t="shared" si="59"/>
        <v>0</v>
      </c>
      <c r="FT38" s="29">
        <f t="shared" si="59"/>
        <v>0</v>
      </c>
      <c r="FU38" s="29">
        <f t="shared" si="59"/>
        <v>0</v>
      </c>
      <c r="FV38" s="29">
        <f t="shared" si="59"/>
        <v>0</v>
      </c>
      <c r="FW38" s="29">
        <f t="shared" si="59"/>
        <v>0</v>
      </c>
      <c r="FX38" s="29">
        <f t="shared" si="59"/>
        <v>0</v>
      </c>
      <c r="FY38" s="29">
        <f t="shared" si="59"/>
        <v>0</v>
      </c>
      <c r="FZ38" s="29">
        <f t="shared" si="59"/>
        <v>0</v>
      </c>
      <c r="GA38" s="29">
        <f t="shared" si="59"/>
        <v>0</v>
      </c>
      <c r="GB38" s="29">
        <f t="shared" si="59"/>
        <v>0</v>
      </c>
      <c r="GC38" s="29">
        <f t="shared" si="59"/>
        <v>0</v>
      </c>
      <c r="GD38" s="29">
        <f t="shared" si="59"/>
        <v>0</v>
      </c>
      <c r="GE38" s="29">
        <f t="shared" si="59"/>
        <v>0</v>
      </c>
      <c r="GF38" s="29">
        <f t="shared" si="59"/>
        <v>0</v>
      </c>
      <c r="GG38" s="29">
        <f t="shared" si="59"/>
        <v>0</v>
      </c>
      <c r="GH38" s="29">
        <f t="shared" si="59"/>
        <v>0</v>
      </c>
      <c r="GI38" s="29">
        <f t="shared" si="59"/>
        <v>0</v>
      </c>
      <c r="GJ38" s="29">
        <f t="shared" si="59"/>
        <v>0</v>
      </c>
      <c r="GK38" s="29">
        <f t="shared" si="59"/>
        <v>0</v>
      </c>
      <c r="GL38" s="29">
        <f t="shared" si="59"/>
        <v>0</v>
      </c>
      <c r="GM38" s="26">
        <f t="shared" si="59"/>
        <v>0</v>
      </c>
      <c r="GN38" s="26">
        <f t="shared" si="59"/>
        <v>0</v>
      </c>
      <c r="GO38" s="29">
        <v>0</v>
      </c>
      <c r="GP38" s="29">
        <v>0</v>
      </c>
      <c r="GQ38" s="22"/>
    </row>
    <row r="39" spans="1:255" s="29" customFormat="1" ht="12.75">
      <c r="A39" s="27"/>
      <c r="B39" s="39"/>
      <c r="GM39" s="26"/>
      <c r="GN39" s="26"/>
      <c r="GQ39" s="22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199" ht="12.75">
      <c r="A40" s="34" t="s">
        <v>63</v>
      </c>
      <c r="B40" s="35" t="s">
        <v>64</v>
      </c>
      <c r="C40" s="36">
        <f aca="true" t="shared" si="60" ref="C40:AH40">+C19+C22-C29-C37</f>
        <v>31.36121333770856</v>
      </c>
      <c r="D40" s="36">
        <f t="shared" si="60"/>
        <v>30.51940752828823</v>
      </c>
      <c r="E40" s="36">
        <f t="shared" si="60"/>
        <v>30.24431429051413</v>
      </c>
      <c r="F40" s="36">
        <f t="shared" si="60"/>
        <v>31.775431155866087</v>
      </c>
      <c r="G40" s="36">
        <f t="shared" si="60"/>
        <v>31.956325106792892</v>
      </c>
      <c r="H40" s="36">
        <f t="shared" si="60"/>
        <v>37.08765654153747</v>
      </c>
      <c r="I40" s="36">
        <f t="shared" si="60"/>
        <v>38.11672913052891</v>
      </c>
      <c r="J40" s="36">
        <f t="shared" si="60"/>
        <v>40.1038318233408</v>
      </c>
      <c r="K40" s="36">
        <f t="shared" si="60"/>
        <v>39.43414104893324</v>
      </c>
      <c r="L40" s="36">
        <f t="shared" si="60"/>
        <v>41.36716576800889</v>
      </c>
      <c r="M40" s="36">
        <f t="shared" si="60"/>
        <v>41.246153522189424</v>
      </c>
      <c r="N40" s="36">
        <f t="shared" si="60"/>
        <v>42.98527606076097</v>
      </c>
      <c r="O40" s="36">
        <f t="shared" si="60"/>
        <v>40.96762496035072</v>
      </c>
      <c r="P40" s="36">
        <f t="shared" si="60"/>
        <v>38.5523147203355</v>
      </c>
      <c r="Q40" s="36">
        <f t="shared" si="60"/>
        <v>40.439370059862696</v>
      </c>
      <c r="R40" s="36">
        <f t="shared" si="60"/>
        <v>43.936130753748515</v>
      </c>
      <c r="S40" s="36">
        <f t="shared" si="60"/>
        <v>58.964561624611505</v>
      </c>
      <c r="T40" s="36">
        <f t="shared" si="60"/>
        <v>57.66402835475493</v>
      </c>
      <c r="U40" s="36">
        <f t="shared" si="60"/>
        <v>59.66089897576074</v>
      </c>
      <c r="V40" s="36">
        <f t="shared" si="60"/>
        <v>55.88051041781128</v>
      </c>
      <c r="W40" s="36">
        <f t="shared" si="60"/>
        <v>49.28291585677029</v>
      </c>
      <c r="X40" s="36">
        <f t="shared" si="60"/>
        <v>50.79153542116982</v>
      </c>
      <c r="Y40" s="36">
        <f t="shared" si="60"/>
        <v>49.18414097002711</v>
      </c>
      <c r="Z40" s="36">
        <f t="shared" si="60"/>
        <v>50.95916650803245</v>
      </c>
      <c r="AA40" s="36">
        <f t="shared" si="60"/>
        <v>49.184886805306675</v>
      </c>
      <c r="AB40" s="36">
        <f t="shared" si="60"/>
        <v>50.05202072703143</v>
      </c>
      <c r="AC40" s="36">
        <f t="shared" si="60"/>
        <v>50.9080823870467</v>
      </c>
      <c r="AD40" s="36">
        <f t="shared" si="60"/>
        <v>48.586738715042785</v>
      </c>
      <c r="AE40" s="36">
        <f t="shared" si="60"/>
        <v>52.13230957980886</v>
      </c>
      <c r="AF40" s="36">
        <f t="shared" si="60"/>
        <v>52.99853271118654</v>
      </c>
      <c r="AG40" s="36">
        <f t="shared" si="60"/>
        <v>54.89711232461628</v>
      </c>
      <c r="AH40" s="36">
        <f t="shared" si="60"/>
        <v>58.85488723252473</v>
      </c>
      <c r="AI40" s="36">
        <f aca="true" t="shared" si="61" ref="AI40:BN40">+AI19+AI22-AI29-AI37</f>
        <v>54.003862449410896</v>
      </c>
      <c r="AJ40" s="36">
        <f t="shared" si="61"/>
        <v>51.9958434304597</v>
      </c>
      <c r="AK40" s="36">
        <f t="shared" si="61"/>
        <v>52.760714240649804</v>
      </c>
      <c r="AL40" s="36">
        <f t="shared" si="61"/>
        <v>53.158857696047036</v>
      </c>
      <c r="AM40" s="36">
        <f t="shared" si="61"/>
        <v>54.89577606341434</v>
      </c>
      <c r="AN40" s="36">
        <f t="shared" si="61"/>
        <v>54.445980756985826</v>
      </c>
      <c r="AO40" s="36">
        <f t="shared" si="61"/>
        <v>55.10362564921178</v>
      </c>
      <c r="AP40" s="36">
        <f t="shared" si="61"/>
        <v>53.7687739630989</v>
      </c>
      <c r="AQ40" s="36">
        <f t="shared" si="61"/>
        <v>55.33865040781139</v>
      </c>
      <c r="AR40" s="36">
        <f t="shared" si="61"/>
        <v>58.9199611518598</v>
      </c>
      <c r="AS40" s="36">
        <f t="shared" si="61"/>
        <v>58.19252519411611</v>
      </c>
      <c r="AT40" s="36">
        <f t="shared" si="61"/>
        <v>65.4476100041739</v>
      </c>
      <c r="AU40" s="36">
        <f t="shared" si="61"/>
        <v>68.8485225251646</v>
      </c>
      <c r="AV40" s="36">
        <f t="shared" si="61"/>
        <v>66.05201329076169</v>
      </c>
      <c r="AW40" s="36">
        <f t="shared" si="61"/>
        <v>65.2539393876145</v>
      </c>
      <c r="AX40" s="36">
        <f t="shared" si="61"/>
        <v>67.3015706245874</v>
      </c>
      <c r="AY40" s="36">
        <f t="shared" si="61"/>
        <v>68.144830421003</v>
      </c>
      <c r="AZ40" s="36">
        <f t="shared" si="61"/>
        <v>70.0077682766193</v>
      </c>
      <c r="BA40" s="36">
        <f t="shared" si="61"/>
        <v>70.77435563951221</v>
      </c>
      <c r="BB40" s="36">
        <f t="shared" si="61"/>
        <v>77.0913307013658</v>
      </c>
      <c r="BC40" s="36">
        <f t="shared" si="61"/>
        <v>90.6951639382331</v>
      </c>
      <c r="BD40" s="36">
        <f t="shared" si="61"/>
        <v>104.23165737673601</v>
      </c>
      <c r="BE40" s="36">
        <f t="shared" si="61"/>
        <v>96.89359668957921</v>
      </c>
      <c r="BF40" s="36">
        <f t="shared" si="61"/>
        <v>95.03882301697959</v>
      </c>
      <c r="BG40" s="36">
        <f t="shared" si="61"/>
        <v>90.2656821579645</v>
      </c>
      <c r="BH40" s="36">
        <f t="shared" si="61"/>
        <v>84.4478196519788</v>
      </c>
      <c r="BI40" s="36">
        <f t="shared" si="61"/>
        <v>83.79999070976932</v>
      </c>
      <c r="BJ40" s="36">
        <f t="shared" si="61"/>
        <v>87.3097441182626</v>
      </c>
      <c r="BK40" s="36">
        <f t="shared" si="61"/>
        <v>83.3052970289843</v>
      </c>
      <c r="BL40" s="36">
        <f t="shared" si="61"/>
        <v>77.339459064211</v>
      </c>
      <c r="BM40" s="36">
        <f t="shared" si="61"/>
        <v>75.6463331029706</v>
      </c>
      <c r="BN40" s="36">
        <f t="shared" si="61"/>
        <v>74.3188974392689</v>
      </c>
      <c r="BO40" s="36">
        <f aca="true" t="shared" si="62" ref="BO40:CT40">+BO19+BO22-BO29-BO37</f>
        <v>81.93682759833189</v>
      </c>
      <c r="BP40" s="36">
        <f t="shared" si="62"/>
        <v>94.63033813452681</v>
      </c>
      <c r="BQ40" s="36">
        <f t="shared" si="62"/>
        <v>97.26857570530518</v>
      </c>
      <c r="BR40" s="36">
        <f t="shared" si="62"/>
        <v>91.68656844356539</v>
      </c>
      <c r="BS40" s="36">
        <f t="shared" si="62"/>
        <v>91.9644432065493</v>
      </c>
      <c r="BT40" s="36">
        <f t="shared" si="62"/>
        <v>88.90434373345431</v>
      </c>
      <c r="BU40" s="36">
        <f t="shared" si="62"/>
        <v>86.3114223385627</v>
      </c>
      <c r="BV40" s="36">
        <f t="shared" si="62"/>
        <v>93.62383558450951</v>
      </c>
      <c r="BW40" s="36">
        <f t="shared" si="62"/>
        <v>96.4196005164749</v>
      </c>
      <c r="BX40" s="36">
        <f t="shared" si="62"/>
        <v>96.0065915677924</v>
      </c>
      <c r="BY40" s="36">
        <f t="shared" si="62"/>
        <v>95.45765427476121</v>
      </c>
      <c r="BZ40" s="36">
        <f t="shared" si="62"/>
        <v>98.50196548896669</v>
      </c>
      <c r="CA40" s="36">
        <f t="shared" si="62"/>
        <v>118.448213357082</v>
      </c>
      <c r="CB40" s="36">
        <f t="shared" si="62"/>
        <v>118.79683087995738</v>
      </c>
      <c r="CC40" s="36">
        <f t="shared" si="62"/>
        <v>121.64452857543348</v>
      </c>
      <c r="CD40" s="36">
        <f t="shared" si="62"/>
        <v>120.99839798080068</v>
      </c>
      <c r="CE40" s="36">
        <f t="shared" si="62"/>
        <v>115.450411687468</v>
      </c>
      <c r="CF40" s="36">
        <f t="shared" si="62"/>
        <v>112.01320282645779</v>
      </c>
      <c r="CG40" s="36">
        <f t="shared" si="62"/>
        <v>111.0484624283293</v>
      </c>
      <c r="CH40" s="36">
        <f t="shared" si="62"/>
        <v>111.92344071203898</v>
      </c>
      <c r="CI40" s="36">
        <f t="shared" si="62"/>
        <v>111.43168246999609</v>
      </c>
      <c r="CJ40" s="36">
        <f t="shared" si="62"/>
        <v>111.44686707691132</v>
      </c>
      <c r="CK40" s="36">
        <f t="shared" si="62"/>
        <v>112.74269221539602</v>
      </c>
      <c r="CL40" s="36">
        <f t="shared" si="62"/>
        <v>123.34775317098152</v>
      </c>
      <c r="CM40" s="36">
        <f t="shared" si="62"/>
        <v>167.5974160177756</v>
      </c>
      <c r="CN40" s="36">
        <f t="shared" si="62"/>
        <v>169.89751026624452</v>
      </c>
      <c r="CO40" s="36">
        <f t="shared" si="62"/>
        <v>171.0734596032681</v>
      </c>
      <c r="CP40" s="36">
        <f t="shared" si="62"/>
        <v>164.87940084601271</v>
      </c>
      <c r="CQ40" s="36">
        <f t="shared" si="62"/>
        <v>165.02418041281072</v>
      </c>
      <c r="CR40" s="36">
        <f t="shared" si="62"/>
        <v>163.73594986872268</v>
      </c>
      <c r="CS40" s="36">
        <f t="shared" si="62"/>
        <v>160.92364976826482</v>
      </c>
      <c r="CT40" s="36">
        <f t="shared" si="62"/>
        <v>162.8733587760563</v>
      </c>
      <c r="CU40" s="36">
        <f aca="true" t="shared" si="63" ref="CU40:DZ40">+CU19+CU22-CU29-CU37</f>
        <v>149.74827048984</v>
      </c>
      <c r="CV40" s="36">
        <f t="shared" si="63"/>
        <v>154.16326281622392</v>
      </c>
      <c r="CW40" s="36">
        <f t="shared" si="63"/>
        <v>155.92889231312643</v>
      </c>
      <c r="CX40" s="36">
        <f t="shared" si="63"/>
        <v>150.4555572968157</v>
      </c>
      <c r="CY40" s="36">
        <f t="shared" si="63"/>
        <v>172.337483720599</v>
      </c>
      <c r="CZ40" s="36">
        <f t="shared" si="63"/>
        <v>160.55565919173108</v>
      </c>
      <c r="DA40" s="36">
        <f t="shared" si="63"/>
        <v>148.2784952817307</v>
      </c>
      <c r="DB40" s="36">
        <f t="shared" si="63"/>
        <v>165.00635605134252</v>
      </c>
      <c r="DC40" s="36">
        <f t="shared" si="63"/>
        <v>158.74616962429747</v>
      </c>
      <c r="DD40" s="36">
        <f t="shared" si="63"/>
        <v>158.3553567780253</v>
      </c>
      <c r="DE40" s="36">
        <f t="shared" si="63"/>
        <v>154.4593582015508</v>
      </c>
      <c r="DF40" s="36">
        <f t="shared" si="63"/>
        <v>154.0951406336412</v>
      </c>
      <c r="DG40" s="36">
        <f t="shared" si="63"/>
        <v>154.8307860278612</v>
      </c>
      <c r="DH40" s="36">
        <f t="shared" si="63"/>
        <v>157.4110185874843</v>
      </c>
      <c r="DI40" s="36">
        <f t="shared" si="63"/>
        <v>151.5818062272906</v>
      </c>
      <c r="DJ40" s="36">
        <f t="shared" si="63"/>
        <v>155.22850545614392</v>
      </c>
      <c r="DK40" s="36">
        <f t="shared" si="63"/>
        <v>161.9447040841425</v>
      </c>
      <c r="DL40" s="36">
        <f t="shared" si="63"/>
        <v>166.59027461224179</v>
      </c>
      <c r="DM40" s="36">
        <f t="shared" si="63"/>
        <v>169.7838095864991</v>
      </c>
      <c r="DN40" s="36">
        <f t="shared" si="63"/>
        <v>167.023198898333</v>
      </c>
      <c r="DO40" s="36">
        <f t="shared" si="63"/>
        <v>162.92161830043221</v>
      </c>
      <c r="DP40" s="36">
        <f t="shared" si="63"/>
        <v>165.4036502337478</v>
      </c>
      <c r="DQ40" s="36">
        <f t="shared" si="63"/>
        <v>161.42888231782533</v>
      </c>
      <c r="DR40" s="36">
        <f t="shared" si="63"/>
        <v>161.7921258280461</v>
      </c>
      <c r="DS40" s="36">
        <f t="shared" si="63"/>
        <v>169.30901145365823</v>
      </c>
      <c r="DT40" s="36">
        <f t="shared" si="63"/>
        <v>191.578476246398</v>
      </c>
      <c r="DU40" s="36">
        <f t="shared" si="63"/>
        <v>197.051192883406</v>
      </c>
      <c r="DV40" s="36">
        <f t="shared" si="63"/>
        <v>199.2643238547004</v>
      </c>
      <c r="DW40" s="36">
        <f t="shared" si="63"/>
        <v>220.3206529928606</v>
      </c>
      <c r="DX40" s="36">
        <f t="shared" si="63"/>
        <v>233.9473824597752</v>
      </c>
      <c r="DY40" s="36">
        <f t="shared" si="63"/>
        <v>242.64057485766088</v>
      </c>
      <c r="DZ40" s="36">
        <f t="shared" si="63"/>
        <v>243.10607257915012</v>
      </c>
      <c r="EA40" s="36">
        <f aca="true" t="shared" si="64" ref="EA40:FF40">+EA19+EA22-EA29-EA37</f>
        <v>240.14653054638404</v>
      </c>
      <c r="EB40" s="36">
        <f t="shared" si="64"/>
        <v>241.56151198411024</v>
      </c>
      <c r="EC40" s="36">
        <f t="shared" si="64"/>
        <v>239.93921315127633</v>
      </c>
      <c r="ED40" s="36">
        <f t="shared" si="64"/>
        <v>240.7129010811802</v>
      </c>
      <c r="EE40" s="36">
        <f t="shared" si="64"/>
        <v>237.98008513003018</v>
      </c>
      <c r="EF40" s="36">
        <f t="shared" si="64"/>
        <v>241.63719321474548</v>
      </c>
      <c r="EG40" s="36">
        <f t="shared" si="64"/>
        <v>244.96552116179302</v>
      </c>
      <c r="EH40" s="36">
        <f t="shared" si="64"/>
        <v>259.0342817101308</v>
      </c>
      <c r="EI40" s="36">
        <f t="shared" si="64"/>
        <v>307.5941519920007</v>
      </c>
      <c r="EJ40" s="36">
        <f t="shared" si="64"/>
        <v>322.2044457561296</v>
      </c>
      <c r="EK40" s="36">
        <f t="shared" si="64"/>
        <v>334.48697936561115</v>
      </c>
      <c r="EL40" s="36">
        <f t="shared" si="64"/>
        <v>324.5792586952759</v>
      </c>
      <c r="EM40" s="36">
        <f t="shared" si="64"/>
        <v>319.0382084287059</v>
      </c>
      <c r="EN40" s="36">
        <f t="shared" si="64"/>
        <v>307.26050801861095</v>
      </c>
      <c r="EO40" s="36">
        <f t="shared" si="64"/>
        <v>304.7341860159121</v>
      </c>
      <c r="EP40" s="36">
        <f t="shared" si="64"/>
        <v>306.1690189618504</v>
      </c>
      <c r="EQ40" s="36">
        <f t="shared" si="64"/>
        <v>306.43307795822375</v>
      </c>
      <c r="ER40" s="36">
        <f t="shared" si="64"/>
        <v>309.0858436236236</v>
      </c>
      <c r="ES40" s="36">
        <f t="shared" si="64"/>
        <v>295.2779847137122</v>
      </c>
      <c r="ET40" s="36">
        <f t="shared" si="64"/>
        <v>294.0990777671022</v>
      </c>
      <c r="EU40" s="36">
        <f t="shared" si="64"/>
        <v>343.7655110378649</v>
      </c>
      <c r="EV40" s="36">
        <f t="shared" si="64"/>
        <v>351.11767959405597</v>
      </c>
      <c r="EW40" s="36">
        <f t="shared" si="64"/>
        <v>342.2664416301453</v>
      </c>
      <c r="EX40" s="36">
        <f t="shared" si="64"/>
        <v>356.49650174143545</v>
      </c>
      <c r="EY40" s="36">
        <f t="shared" si="64"/>
        <v>343.0033134472514</v>
      </c>
      <c r="EZ40" s="36">
        <f t="shared" si="64"/>
        <v>339.7012340026315</v>
      </c>
      <c r="FA40" s="36">
        <f t="shared" si="64"/>
        <v>320.38130002052765</v>
      </c>
      <c r="FB40" s="36">
        <f t="shared" si="64"/>
        <v>334.76122735326214</v>
      </c>
      <c r="FC40" s="36">
        <f t="shared" si="64"/>
        <v>316.85829115950673</v>
      </c>
      <c r="FD40" s="36">
        <f t="shared" si="64"/>
        <v>292.6786516440802</v>
      </c>
      <c r="FE40" s="36">
        <f t="shared" si="64"/>
        <v>318.1146163038138</v>
      </c>
      <c r="FF40" s="36">
        <f t="shared" si="64"/>
        <v>345.8764789167063</v>
      </c>
      <c r="FG40" s="36">
        <f aca="true" t="shared" si="65" ref="FG40:GP40">+FG19+FG22-FG29-FG37</f>
        <v>388.11371412341896</v>
      </c>
      <c r="FH40" s="36">
        <f t="shared" si="65"/>
        <v>327.83714154942396</v>
      </c>
      <c r="FI40" s="36">
        <f t="shared" si="65"/>
        <v>317.24266428046303</v>
      </c>
      <c r="FJ40" s="36">
        <f t="shared" si="65"/>
        <v>310.396089872682</v>
      </c>
      <c r="FK40" s="36">
        <f t="shared" si="65"/>
        <v>375.58943065124805</v>
      </c>
      <c r="FL40" s="36">
        <f t="shared" si="65"/>
        <v>361.5540765683723</v>
      </c>
      <c r="FM40" s="36">
        <f t="shared" si="65"/>
        <v>346.7076197297019</v>
      </c>
      <c r="FN40" s="36">
        <f t="shared" si="65"/>
        <v>344.188356426545</v>
      </c>
      <c r="FO40" s="36">
        <f t="shared" si="65"/>
        <v>331.07351522100004</v>
      </c>
      <c r="FP40" s="36">
        <f t="shared" si="65"/>
        <v>331.06925898000003</v>
      </c>
      <c r="FQ40" s="36">
        <f t="shared" si="65"/>
        <v>316.596190776</v>
      </c>
      <c r="FR40" s="36">
        <f t="shared" si="65"/>
        <v>326.124600219</v>
      </c>
      <c r="FS40" s="36">
        <f t="shared" si="65"/>
        <v>366.230370356</v>
      </c>
      <c r="FT40" s="36">
        <f t="shared" si="65"/>
        <v>411.21249814099997</v>
      </c>
      <c r="FU40" s="36">
        <f t="shared" si="65"/>
        <v>411.474896788</v>
      </c>
      <c r="FV40" s="36">
        <f t="shared" si="65"/>
        <v>405.607841339</v>
      </c>
      <c r="FW40" s="36">
        <f t="shared" si="65"/>
        <v>387.558274441</v>
      </c>
      <c r="FX40" s="36">
        <f t="shared" si="65"/>
        <v>376.304159541</v>
      </c>
      <c r="FY40" s="36">
        <f t="shared" si="65"/>
        <v>357.84613215900004</v>
      </c>
      <c r="FZ40" s="36">
        <f t="shared" si="65"/>
        <v>365.030793649</v>
      </c>
      <c r="GA40" s="36">
        <f t="shared" si="65"/>
        <v>351.72578398728103</v>
      </c>
      <c r="GB40" s="36">
        <f t="shared" si="65"/>
        <v>349.136173334116</v>
      </c>
      <c r="GC40" s="36">
        <f t="shared" si="65"/>
        <v>350.420034804</v>
      </c>
      <c r="GD40" s="36">
        <f t="shared" si="65"/>
        <v>350.579801052448</v>
      </c>
      <c r="GE40" s="36">
        <f t="shared" si="65"/>
        <v>377.04164193995297</v>
      </c>
      <c r="GF40" s="36">
        <f t="shared" si="65"/>
        <v>406.128345842812</v>
      </c>
      <c r="GG40" s="36">
        <f t="shared" si="65"/>
        <v>389.34382927200005</v>
      </c>
      <c r="GH40" s="36">
        <f t="shared" si="65"/>
        <v>381.34694215</v>
      </c>
      <c r="GI40" s="36">
        <f t="shared" si="65"/>
        <v>376.591635617</v>
      </c>
      <c r="GJ40" s="36">
        <f t="shared" si="65"/>
        <v>362.6123771671371</v>
      </c>
      <c r="GK40" s="36">
        <f t="shared" si="65"/>
        <v>364.653765891</v>
      </c>
      <c r="GL40" s="36">
        <f t="shared" si="65"/>
        <v>365.954961115328</v>
      </c>
      <c r="GM40" s="36">
        <f t="shared" si="65"/>
        <v>356.821131544781</v>
      </c>
      <c r="GN40" s="36">
        <f t="shared" si="65"/>
        <v>356.333475303468</v>
      </c>
      <c r="GO40" s="36">
        <f t="shared" si="65"/>
        <v>370.4</v>
      </c>
      <c r="GP40" s="36">
        <f t="shared" si="65"/>
        <v>377.1</v>
      </c>
      <c r="GQ40" s="22"/>
    </row>
    <row r="41" spans="1:255" s="39" customFormat="1" ht="12.75">
      <c r="A41" s="27"/>
      <c r="GM41" s="40"/>
      <c r="GN41" s="40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08" ht="12.75">
      <c r="A42" s="41"/>
      <c r="B42" s="42" t="s">
        <v>65</v>
      </c>
      <c r="C42" s="43">
        <f aca="true" t="shared" si="66" ref="C42:AH42">+C17-C40</f>
        <v>0</v>
      </c>
      <c r="D42" s="43">
        <f t="shared" si="66"/>
        <v>0</v>
      </c>
      <c r="E42" s="43">
        <f t="shared" si="66"/>
        <v>0</v>
      </c>
      <c r="F42" s="43">
        <f t="shared" si="66"/>
        <v>0</v>
      </c>
      <c r="G42" s="43">
        <f t="shared" si="66"/>
        <v>0</v>
      </c>
      <c r="H42" s="43">
        <f t="shared" si="66"/>
        <v>0</v>
      </c>
      <c r="I42" s="43">
        <f t="shared" si="66"/>
        <v>7.105427357601002E-14</v>
      </c>
      <c r="J42" s="43">
        <f t="shared" si="66"/>
        <v>0</v>
      </c>
      <c r="K42" s="43">
        <f t="shared" si="66"/>
        <v>0</v>
      </c>
      <c r="L42" s="43">
        <f t="shared" si="66"/>
        <v>0</v>
      </c>
      <c r="M42" s="43">
        <f t="shared" si="66"/>
        <v>6.394884621840902E-14</v>
      </c>
      <c r="N42" s="43">
        <f t="shared" si="66"/>
        <v>0</v>
      </c>
      <c r="O42" s="43">
        <f t="shared" si="66"/>
        <v>0</v>
      </c>
      <c r="P42" s="43">
        <f t="shared" si="66"/>
        <v>0</v>
      </c>
      <c r="Q42" s="43">
        <f t="shared" si="66"/>
        <v>0</v>
      </c>
      <c r="R42" s="43">
        <f t="shared" si="66"/>
        <v>7.815970093361102E-14</v>
      </c>
      <c r="S42" s="43">
        <f t="shared" si="66"/>
        <v>0</v>
      </c>
      <c r="T42" s="43">
        <f t="shared" si="66"/>
        <v>6.394884621840902E-14</v>
      </c>
      <c r="U42" s="43">
        <f t="shared" si="66"/>
        <v>0</v>
      </c>
      <c r="V42" s="43">
        <f t="shared" si="66"/>
        <v>0</v>
      </c>
      <c r="W42" s="43">
        <f t="shared" si="66"/>
        <v>-9.237055564881302E-14</v>
      </c>
      <c r="X42" s="43">
        <f t="shared" si="66"/>
        <v>0</v>
      </c>
      <c r="Y42" s="43">
        <f t="shared" si="66"/>
        <v>9.237055564881302E-14</v>
      </c>
      <c r="Z42" s="43">
        <f t="shared" si="66"/>
        <v>0</v>
      </c>
      <c r="AA42" s="43">
        <f t="shared" si="66"/>
        <v>0</v>
      </c>
      <c r="AB42" s="43">
        <f t="shared" si="66"/>
        <v>0</v>
      </c>
      <c r="AC42" s="43">
        <f t="shared" si="66"/>
        <v>0</v>
      </c>
      <c r="AD42" s="43">
        <f t="shared" si="66"/>
        <v>0</v>
      </c>
      <c r="AE42" s="43">
        <f t="shared" si="66"/>
        <v>5.684341886080802E-14</v>
      </c>
      <c r="AF42" s="43">
        <f t="shared" si="66"/>
        <v>0</v>
      </c>
      <c r="AG42" s="43">
        <f t="shared" si="66"/>
        <v>0</v>
      </c>
      <c r="AH42" s="43">
        <f t="shared" si="66"/>
        <v>0</v>
      </c>
      <c r="AI42" s="43">
        <f aca="true" t="shared" si="67" ref="AI42:BN42">+AI17-AI40</f>
        <v>0</v>
      </c>
      <c r="AJ42" s="43">
        <f t="shared" si="67"/>
        <v>0</v>
      </c>
      <c r="AK42" s="43">
        <f t="shared" si="67"/>
        <v>0</v>
      </c>
      <c r="AL42" s="43">
        <f t="shared" si="67"/>
        <v>5.684341886080802E-14</v>
      </c>
      <c r="AM42" s="43">
        <f t="shared" si="67"/>
        <v>0</v>
      </c>
      <c r="AN42" s="43">
        <f t="shared" si="67"/>
        <v>-6.394884621840902E-14</v>
      </c>
      <c r="AO42" s="43">
        <f t="shared" si="67"/>
        <v>0</v>
      </c>
      <c r="AP42" s="43">
        <f t="shared" si="67"/>
        <v>0</v>
      </c>
      <c r="AQ42" s="43">
        <f t="shared" si="67"/>
        <v>0</v>
      </c>
      <c r="AR42" s="43">
        <f t="shared" si="67"/>
        <v>5.684341886080802E-14</v>
      </c>
      <c r="AS42" s="43">
        <f t="shared" si="67"/>
        <v>0</v>
      </c>
      <c r="AT42" s="43">
        <f t="shared" si="67"/>
        <v>0</v>
      </c>
      <c r="AU42" s="43">
        <f t="shared" si="67"/>
        <v>0</v>
      </c>
      <c r="AV42" s="43">
        <f t="shared" si="67"/>
        <v>0</v>
      </c>
      <c r="AW42" s="43">
        <f t="shared" si="67"/>
        <v>0</v>
      </c>
      <c r="AX42" s="43">
        <f t="shared" si="67"/>
        <v>0</v>
      </c>
      <c r="AY42" s="43">
        <f t="shared" si="67"/>
        <v>0</v>
      </c>
      <c r="AZ42" s="43">
        <f t="shared" si="67"/>
        <v>0</v>
      </c>
      <c r="BA42" s="43">
        <f t="shared" si="67"/>
        <v>0</v>
      </c>
      <c r="BB42" s="43">
        <f t="shared" si="67"/>
        <v>0</v>
      </c>
      <c r="BC42" s="43">
        <f t="shared" si="67"/>
        <v>0</v>
      </c>
      <c r="BD42" s="43">
        <f t="shared" si="67"/>
        <v>0</v>
      </c>
      <c r="BE42" s="43">
        <f t="shared" si="67"/>
        <v>0</v>
      </c>
      <c r="BF42" s="43">
        <f t="shared" si="67"/>
        <v>0</v>
      </c>
      <c r="BG42" s="43">
        <f t="shared" si="67"/>
        <v>0</v>
      </c>
      <c r="BH42" s="43">
        <f t="shared" si="67"/>
        <v>0</v>
      </c>
      <c r="BI42" s="43">
        <f t="shared" si="67"/>
        <v>0</v>
      </c>
      <c r="BJ42" s="43">
        <f t="shared" si="67"/>
        <v>0</v>
      </c>
      <c r="BK42" s="43">
        <f t="shared" si="67"/>
        <v>0</v>
      </c>
      <c r="BL42" s="43">
        <f t="shared" si="67"/>
        <v>0</v>
      </c>
      <c r="BM42" s="43">
        <f t="shared" si="67"/>
        <v>0</v>
      </c>
      <c r="BN42" s="43">
        <f t="shared" si="67"/>
        <v>0</v>
      </c>
      <c r="BO42" s="43">
        <f aca="true" t="shared" si="68" ref="BO42:CT42">+BO17-BO40</f>
        <v>0</v>
      </c>
      <c r="BP42" s="43">
        <f t="shared" si="68"/>
        <v>0</v>
      </c>
      <c r="BQ42" s="43">
        <f t="shared" si="68"/>
        <v>0</v>
      </c>
      <c r="BR42" s="43">
        <f t="shared" si="68"/>
        <v>0</v>
      </c>
      <c r="BS42" s="43">
        <f t="shared" si="68"/>
        <v>-1.1368683772161603E-13</v>
      </c>
      <c r="BT42" s="43">
        <f t="shared" si="68"/>
        <v>0</v>
      </c>
      <c r="BU42" s="43">
        <f t="shared" si="68"/>
        <v>0</v>
      </c>
      <c r="BV42" s="43">
        <f t="shared" si="68"/>
        <v>0</v>
      </c>
      <c r="BW42" s="43">
        <f t="shared" si="68"/>
        <v>0</v>
      </c>
      <c r="BX42" s="43">
        <f t="shared" si="68"/>
        <v>0</v>
      </c>
      <c r="BY42" s="43">
        <f t="shared" si="68"/>
        <v>0</v>
      </c>
      <c r="BZ42" s="43">
        <f t="shared" si="68"/>
        <v>0</v>
      </c>
      <c r="CA42" s="43">
        <f t="shared" si="68"/>
        <v>0</v>
      </c>
      <c r="CB42" s="43">
        <f t="shared" si="68"/>
        <v>0</v>
      </c>
      <c r="CC42" s="43">
        <f t="shared" si="68"/>
        <v>0</v>
      </c>
      <c r="CD42" s="43">
        <f t="shared" si="68"/>
        <v>0</v>
      </c>
      <c r="CE42" s="43">
        <f t="shared" si="68"/>
        <v>0</v>
      </c>
      <c r="CF42" s="43">
        <f t="shared" si="68"/>
        <v>0</v>
      </c>
      <c r="CG42" s="43">
        <f t="shared" si="68"/>
        <v>0</v>
      </c>
      <c r="CH42" s="43">
        <f t="shared" si="68"/>
        <v>0</v>
      </c>
      <c r="CI42" s="43">
        <f t="shared" si="68"/>
        <v>1.2789769243681803E-13</v>
      </c>
      <c r="CJ42" s="43">
        <f t="shared" si="68"/>
        <v>0</v>
      </c>
      <c r="CK42" s="43">
        <f t="shared" si="68"/>
        <v>0</v>
      </c>
      <c r="CL42" s="43">
        <f t="shared" si="68"/>
        <v>0</v>
      </c>
      <c r="CM42" s="43">
        <f t="shared" si="68"/>
        <v>0</v>
      </c>
      <c r="CN42" s="43">
        <f t="shared" si="68"/>
        <v>0</v>
      </c>
      <c r="CO42" s="43">
        <f t="shared" si="68"/>
        <v>0</v>
      </c>
      <c r="CP42" s="43">
        <f t="shared" si="68"/>
        <v>0</v>
      </c>
      <c r="CQ42" s="43">
        <f t="shared" si="68"/>
        <v>0</v>
      </c>
      <c r="CR42" s="43">
        <f t="shared" si="68"/>
        <v>0</v>
      </c>
      <c r="CS42" s="43">
        <f t="shared" si="68"/>
        <v>0</v>
      </c>
      <c r="CT42" s="43">
        <f t="shared" si="68"/>
        <v>3.979039320256561E-13</v>
      </c>
      <c r="CU42" s="43">
        <f aca="true" t="shared" si="69" ref="CU42:DZ42">+CU17-CU40</f>
        <v>-2.8421709430404007E-13</v>
      </c>
      <c r="CV42" s="43">
        <f t="shared" si="69"/>
        <v>0</v>
      </c>
      <c r="CW42" s="43">
        <f t="shared" si="69"/>
        <v>0</v>
      </c>
      <c r="CX42" s="43">
        <f t="shared" si="69"/>
        <v>0</v>
      </c>
      <c r="CY42" s="43">
        <f t="shared" si="69"/>
        <v>0</v>
      </c>
      <c r="CZ42" s="43">
        <f t="shared" si="69"/>
        <v>0</v>
      </c>
      <c r="DA42" s="43">
        <f t="shared" si="69"/>
        <v>0</v>
      </c>
      <c r="DB42" s="43">
        <f t="shared" si="69"/>
        <v>0</v>
      </c>
      <c r="DC42" s="43">
        <f t="shared" si="69"/>
        <v>0</v>
      </c>
      <c r="DD42" s="43">
        <f t="shared" si="69"/>
        <v>0</v>
      </c>
      <c r="DE42" s="43">
        <f t="shared" si="69"/>
        <v>0</v>
      </c>
      <c r="DF42" s="43">
        <f t="shared" si="69"/>
        <v>0</v>
      </c>
      <c r="DG42" s="43">
        <f t="shared" si="69"/>
        <v>0</v>
      </c>
      <c r="DH42" s="43">
        <f t="shared" si="69"/>
        <v>0</v>
      </c>
      <c r="DI42" s="43">
        <f t="shared" si="69"/>
        <v>0</v>
      </c>
      <c r="DJ42" s="43">
        <f t="shared" si="69"/>
        <v>0</v>
      </c>
      <c r="DK42" s="43">
        <f t="shared" si="69"/>
        <v>0</v>
      </c>
      <c r="DL42" s="43">
        <f t="shared" si="69"/>
        <v>0</v>
      </c>
      <c r="DM42" s="43">
        <f t="shared" si="69"/>
        <v>0</v>
      </c>
      <c r="DN42" s="43">
        <f t="shared" si="69"/>
        <v>0</v>
      </c>
      <c r="DO42" s="43">
        <f t="shared" si="69"/>
        <v>0</v>
      </c>
      <c r="DP42" s="43">
        <f t="shared" si="69"/>
        <v>0</v>
      </c>
      <c r="DQ42" s="43">
        <f t="shared" si="69"/>
        <v>0</v>
      </c>
      <c r="DR42" s="43">
        <f t="shared" si="69"/>
        <v>0</v>
      </c>
      <c r="DS42" s="43">
        <f t="shared" si="69"/>
        <v>0</v>
      </c>
      <c r="DT42" s="43">
        <f t="shared" si="69"/>
        <v>-4.831690603168681E-13</v>
      </c>
      <c r="DU42" s="43">
        <f t="shared" si="69"/>
        <v>-4.831690603168681E-13</v>
      </c>
      <c r="DV42" s="43">
        <f t="shared" si="69"/>
        <v>-3.126388037344441E-13</v>
      </c>
      <c r="DW42" s="43">
        <f t="shared" si="69"/>
        <v>3.126388037344441E-13</v>
      </c>
      <c r="DX42" s="43">
        <f t="shared" si="69"/>
        <v>0</v>
      </c>
      <c r="DY42" s="43">
        <f t="shared" si="69"/>
        <v>3.126388037344441E-13</v>
      </c>
      <c r="DZ42" s="43">
        <f t="shared" si="69"/>
        <v>-2.2737367544323206E-13</v>
      </c>
      <c r="EA42" s="43">
        <f aca="true" t="shared" si="70" ref="EA42:FF42">+EA17-EA40</f>
        <v>-4.547473508864641E-13</v>
      </c>
      <c r="EB42" s="43">
        <f t="shared" si="70"/>
        <v>-2.2737367544323206E-13</v>
      </c>
      <c r="EC42" s="43">
        <f t="shared" si="70"/>
        <v>0</v>
      </c>
      <c r="ED42" s="43">
        <f t="shared" si="70"/>
        <v>-4.263256414560601E-13</v>
      </c>
      <c r="EE42" s="43">
        <f t="shared" si="70"/>
        <v>4.263256414560601E-13</v>
      </c>
      <c r="EF42" s="43">
        <f t="shared" si="70"/>
        <v>4.263256414560601E-13</v>
      </c>
      <c r="EG42" s="43">
        <f t="shared" si="70"/>
        <v>0</v>
      </c>
      <c r="EH42" s="43">
        <f t="shared" si="70"/>
        <v>0</v>
      </c>
      <c r="EI42" s="43">
        <f t="shared" si="70"/>
        <v>0</v>
      </c>
      <c r="EJ42" s="43">
        <f t="shared" si="70"/>
        <v>0</v>
      </c>
      <c r="EK42" s="43">
        <f t="shared" si="70"/>
        <v>0</v>
      </c>
      <c r="EL42" s="43">
        <f t="shared" si="70"/>
        <v>0</v>
      </c>
      <c r="EM42" s="43">
        <f t="shared" si="70"/>
        <v>0</v>
      </c>
      <c r="EN42" s="43">
        <f t="shared" si="70"/>
        <v>0</v>
      </c>
      <c r="EO42" s="43">
        <f t="shared" si="70"/>
        <v>0</v>
      </c>
      <c r="EP42" s="43">
        <f t="shared" si="70"/>
        <v>0</v>
      </c>
      <c r="EQ42" s="43">
        <f t="shared" si="70"/>
        <v>5.684341886080801E-13</v>
      </c>
      <c r="ER42" s="43">
        <f t="shared" si="70"/>
        <v>4.547473508864641E-13</v>
      </c>
      <c r="ES42" s="43">
        <f t="shared" si="70"/>
        <v>-5.115907697472721E-13</v>
      </c>
      <c r="ET42" s="43">
        <f t="shared" si="70"/>
        <v>-6.252776074688882E-13</v>
      </c>
      <c r="EU42" s="43">
        <f t="shared" si="70"/>
        <v>0</v>
      </c>
      <c r="EV42" s="43">
        <f t="shared" si="70"/>
        <v>0</v>
      </c>
      <c r="EW42" s="43">
        <f t="shared" si="70"/>
        <v>0</v>
      </c>
      <c r="EX42" s="43">
        <f t="shared" si="70"/>
        <v>0</v>
      </c>
      <c r="EY42" s="43">
        <f t="shared" si="70"/>
        <v>0</v>
      </c>
      <c r="EZ42" s="43">
        <f t="shared" si="70"/>
        <v>0</v>
      </c>
      <c r="FA42" s="43">
        <f t="shared" si="70"/>
        <v>0</v>
      </c>
      <c r="FB42" s="43">
        <f t="shared" si="70"/>
        <v>0</v>
      </c>
      <c r="FC42" s="43">
        <f t="shared" si="70"/>
        <v>0</v>
      </c>
      <c r="FD42" s="43">
        <f t="shared" si="70"/>
        <v>0</v>
      </c>
      <c r="FE42" s="43">
        <f t="shared" si="70"/>
        <v>5.115907697472721E-13</v>
      </c>
      <c r="FF42" s="43">
        <f t="shared" si="70"/>
        <v>0</v>
      </c>
      <c r="FG42" s="43">
        <f aca="true" t="shared" si="71" ref="FG42:GP42">+FG17-FG40</f>
        <v>0</v>
      </c>
      <c r="FH42" s="43">
        <f t="shared" si="71"/>
        <v>0</v>
      </c>
      <c r="FI42" s="43">
        <f t="shared" si="71"/>
        <v>0</v>
      </c>
      <c r="FJ42" s="43">
        <f t="shared" si="71"/>
        <v>0</v>
      </c>
      <c r="FK42" s="43">
        <f t="shared" si="71"/>
        <v>0</v>
      </c>
      <c r="FL42" s="43">
        <f t="shared" si="71"/>
        <v>0</v>
      </c>
      <c r="FM42" s="43">
        <f t="shared" si="71"/>
        <v>0</v>
      </c>
      <c r="FN42" s="43">
        <f t="shared" si="71"/>
        <v>6.252776074688882E-13</v>
      </c>
      <c r="FO42" s="43">
        <f t="shared" si="71"/>
        <v>0</v>
      </c>
      <c r="FP42" s="43">
        <f t="shared" si="71"/>
        <v>0</v>
      </c>
      <c r="FQ42" s="43">
        <f t="shared" si="71"/>
        <v>0</v>
      </c>
      <c r="FR42" s="43">
        <f t="shared" si="71"/>
        <v>0</v>
      </c>
      <c r="FS42" s="43">
        <f t="shared" si="71"/>
        <v>0</v>
      </c>
      <c r="FT42" s="43">
        <f t="shared" si="71"/>
        <v>0</v>
      </c>
      <c r="FU42" s="43">
        <f t="shared" si="71"/>
        <v>0</v>
      </c>
      <c r="FV42" s="43">
        <f t="shared" si="71"/>
        <v>0</v>
      </c>
      <c r="FW42" s="43">
        <f t="shared" si="71"/>
        <v>0</v>
      </c>
      <c r="FX42" s="43">
        <f t="shared" si="71"/>
        <v>0</v>
      </c>
      <c r="FY42" s="43">
        <f t="shared" si="71"/>
        <v>0</v>
      </c>
      <c r="FZ42" s="43">
        <f t="shared" si="71"/>
        <v>0</v>
      </c>
      <c r="GA42" s="43">
        <f t="shared" si="71"/>
        <v>0</v>
      </c>
      <c r="GB42" s="43">
        <f t="shared" si="71"/>
        <v>0</v>
      </c>
      <c r="GC42" s="43">
        <f t="shared" si="71"/>
        <v>0</v>
      </c>
      <c r="GD42" s="43">
        <f t="shared" si="71"/>
        <v>0</v>
      </c>
      <c r="GE42" s="43">
        <f t="shared" si="71"/>
        <v>0</v>
      </c>
      <c r="GF42" s="43">
        <f t="shared" si="71"/>
        <v>0</v>
      </c>
      <c r="GG42" s="43">
        <f t="shared" si="71"/>
        <v>0</v>
      </c>
      <c r="GH42" s="43">
        <f t="shared" si="71"/>
        <v>0</v>
      </c>
      <c r="GI42" s="43">
        <f t="shared" si="71"/>
        <v>0</v>
      </c>
      <c r="GJ42" s="43">
        <f t="shared" si="71"/>
        <v>0</v>
      </c>
      <c r="GK42" s="43">
        <f t="shared" si="71"/>
        <v>0</v>
      </c>
      <c r="GL42" s="43">
        <f t="shared" si="71"/>
        <v>0</v>
      </c>
      <c r="GM42" s="44">
        <f t="shared" si="71"/>
        <v>0</v>
      </c>
      <c r="GN42" s="44">
        <f t="shared" si="71"/>
        <v>0</v>
      </c>
      <c r="GO42" s="43">
        <f t="shared" si="71"/>
        <v>0</v>
      </c>
      <c r="GP42" s="43">
        <f t="shared" si="71"/>
        <v>0</v>
      </c>
      <c r="GQ42" s="43"/>
      <c r="GR42" s="43"/>
      <c r="GS42" s="43"/>
      <c r="GT42" s="43"/>
      <c r="GU42" s="43"/>
      <c r="GV42" s="43"/>
      <c r="GW42" s="43"/>
      <c r="GX42" s="43"/>
      <c r="GY42" s="43"/>
      <c r="GZ42" s="43"/>
    </row>
    <row r="43" spans="1:255" s="29" customFormat="1" ht="12.75">
      <c r="A43" s="39"/>
      <c r="B43" s="45" t="s">
        <v>66</v>
      </c>
      <c r="GM43" s="26"/>
      <c r="GN43" s="26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9" customFormat="1" ht="12.75">
      <c r="A44" s="39"/>
      <c r="B44" s="45" t="s">
        <v>67</v>
      </c>
      <c r="GM44" s="26"/>
      <c r="GN44" s="26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ht="12.75">
      <c r="B45" s="46" t="s">
        <v>68</v>
      </c>
    </row>
    <row r="46" ht="12.75">
      <c r="B46" s="46" t="s">
        <v>69</v>
      </c>
    </row>
    <row r="48" ht="12.75">
      <c r="C48" s="47">
        <v>0</v>
      </c>
    </row>
    <row r="51" ht="12.75">
      <c r="C51" s="47">
        <f>+C29+C37</f>
        <v>1.578622581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89"/>
  <sheetViews>
    <sheetView zoomScale="110" zoomScaleNormal="110" zoomScalePageLayoutView="0" workbookViewId="0" topLeftCell="A1">
      <selection activeCell="A1" sqref="A1"/>
    </sheetView>
  </sheetViews>
  <sheetFormatPr defaultColWidth="12.57421875" defaultRowHeight="15" customHeight="1"/>
  <cols>
    <col min="1" max="1" width="12.57421875" style="48" customWidth="1"/>
    <col min="2" max="2" width="58.00390625" style="49" customWidth="1"/>
    <col min="3" max="12" width="0" style="49" hidden="1" customWidth="1"/>
    <col min="13" max="13" width="12.57421875" style="50" customWidth="1"/>
    <col min="14" max="14" width="12.57421875" style="51" customWidth="1"/>
    <col min="15" max="15" width="12.57421875" style="52" customWidth="1"/>
    <col min="16" max="16" width="10.140625" style="52" customWidth="1"/>
    <col min="17" max="17" width="11.421875" style="51" customWidth="1"/>
    <col min="18" max="18" width="13.7109375" style="51" customWidth="1"/>
    <col min="19" max="19" width="13.8515625" style="51" customWidth="1"/>
    <col min="20" max="23" width="0" style="51" hidden="1" customWidth="1"/>
    <col min="24" max="30" width="0" style="49" hidden="1" customWidth="1"/>
    <col min="31" max="16384" width="12.57421875" style="49" customWidth="1"/>
  </cols>
  <sheetData>
    <row r="1" spans="2:23" ht="12.75" customHeight="1">
      <c r="B1" s="53"/>
      <c r="C1" s="54"/>
      <c r="D1" s="54"/>
      <c r="E1" s="54"/>
      <c r="F1" s="54"/>
      <c r="G1" s="54"/>
      <c r="H1" s="55"/>
      <c r="I1" s="55"/>
      <c r="J1" s="55"/>
      <c r="K1" s="55"/>
      <c r="L1" s="56"/>
      <c r="M1" s="57"/>
      <c r="N1" s="58"/>
      <c r="O1" s="59"/>
      <c r="P1" s="59"/>
      <c r="Q1" s="58"/>
      <c r="R1" s="58"/>
      <c r="S1" s="58"/>
      <c r="T1" s="58"/>
      <c r="U1" s="58"/>
      <c r="V1" s="58"/>
      <c r="W1" s="58"/>
    </row>
    <row r="2" spans="2:23" ht="12.75" customHeight="1">
      <c r="B2" s="60"/>
      <c r="C2" s="61"/>
      <c r="D2" s="61"/>
      <c r="E2" s="61"/>
      <c r="F2" s="61"/>
      <c r="G2" s="61"/>
      <c r="H2" s="55"/>
      <c r="I2" s="55"/>
      <c r="J2" s="55"/>
      <c r="K2" s="55"/>
      <c r="L2" s="56"/>
      <c r="M2" s="56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2:23" ht="12.75" customHeight="1">
      <c r="B3" s="60"/>
      <c r="C3" s="61"/>
      <c r="D3" s="61"/>
      <c r="E3" s="61"/>
      <c r="F3" s="61"/>
      <c r="G3" s="61"/>
      <c r="H3" s="55"/>
      <c r="I3" s="55"/>
      <c r="J3" s="55"/>
      <c r="K3" s="55"/>
      <c r="L3" s="56"/>
      <c r="M3" s="56"/>
      <c r="N3" s="58"/>
      <c r="O3" s="58"/>
      <c r="P3" s="62"/>
      <c r="Q3" s="63"/>
      <c r="R3" s="58"/>
      <c r="S3" s="58"/>
      <c r="T3" s="64"/>
      <c r="U3" s="58"/>
      <c r="V3" s="58"/>
      <c r="W3" s="58"/>
    </row>
    <row r="4" spans="1:23" ht="15.75" customHeight="1">
      <c r="A4" s="50"/>
      <c r="B4" s="65"/>
      <c r="C4" s="66"/>
      <c r="D4" s="66"/>
      <c r="E4" s="66"/>
      <c r="F4" s="66"/>
      <c r="G4" s="66"/>
      <c r="H4" s="67"/>
      <c r="I4" s="67"/>
      <c r="J4" s="67"/>
      <c r="K4" s="67"/>
      <c r="L4" s="68"/>
      <c r="M4" s="68"/>
      <c r="N4" s="62"/>
      <c r="O4" s="62"/>
      <c r="P4" s="62"/>
      <c r="Q4" s="62"/>
      <c r="R4" s="62"/>
      <c r="S4" s="64"/>
      <c r="T4" s="62"/>
      <c r="U4" s="62"/>
      <c r="V4" s="62"/>
      <c r="W4" s="62"/>
    </row>
    <row r="5" spans="1:23" ht="16.5" customHeight="1">
      <c r="A5" s="50"/>
      <c r="B5" s="158" t="s">
        <v>70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62"/>
      <c r="R5" s="62"/>
      <c r="S5" s="62"/>
      <c r="T5" s="49"/>
      <c r="U5" s="58" t="s">
        <v>71</v>
      </c>
      <c r="V5" s="69"/>
      <c r="W5" s="49"/>
    </row>
    <row r="6" spans="1:23" ht="15.75" customHeight="1">
      <c r="A6" s="50"/>
      <c r="B6" s="70" t="s">
        <v>72</v>
      </c>
      <c r="C6" s="71">
        <v>2005</v>
      </c>
      <c r="D6" s="71">
        <v>2006</v>
      </c>
      <c r="E6" s="71">
        <v>2007</v>
      </c>
      <c r="F6" s="71">
        <v>2008</v>
      </c>
      <c r="G6" s="71">
        <v>2009</v>
      </c>
      <c r="H6" s="71">
        <v>2010</v>
      </c>
      <c r="I6" s="71">
        <v>2011</v>
      </c>
      <c r="J6" s="71">
        <v>2012</v>
      </c>
      <c r="K6" s="71">
        <v>2013</v>
      </c>
      <c r="L6" s="71">
        <v>2014</v>
      </c>
      <c r="M6" s="71">
        <v>2015</v>
      </c>
      <c r="N6" s="71">
        <v>2016</v>
      </c>
      <c r="O6" s="71">
        <v>2017</v>
      </c>
      <c r="P6" s="71">
        <v>2018</v>
      </c>
      <c r="Q6" s="72" t="s">
        <v>73</v>
      </c>
      <c r="R6" s="72" t="s">
        <v>74</v>
      </c>
      <c r="S6" s="72" t="s">
        <v>75</v>
      </c>
      <c r="T6" s="72" t="s">
        <v>76</v>
      </c>
      <c r="U6" s="72" t="s">
        <v>77</v>
      </c>
      <c r="V6" s="72" t="s">
        <v>78</v>
      </c>
      <c r="W6" s="72" t="s">
        <v>79</v>
      </c>
    </row>
    <row r="7" spans="1:23" ht="15.75" customHeight="1">
      <c r="A7" s="50"/>
      <c r="B7" s="73"/>
      <c r="C7" s="74"/>
      <c r="D7" s="74"/>
      <c r="E7" s="74"/>
      <c r="F7" s="74"/>
      <c r="G7" s="74"/>
      <c r="H7" s="74"/>
      <c r="I7" s="74"/>
      <c r="J7" s="75"/>
      <c r="K7" s="75"/>
      <c r="L7" s="75"/>
      <c r="M7" s="75"/>
      <c r="N7" s="76"/>
      <c r="O7" s="76"/>
      <c r="P7" s="76" t="s">
        <v>80</v>
      </c>
      <c r="Q7" s="77" t="s">
        <v>81</v>
      </c>
      <c r="R7" s="77" t="s">
        <v>82</v>
      </c>
      <c r="S7" s="77" t="s">
        <v>82</v>
      </c>
      <c r="T7" s="77" t="s">
        <v>82</v>
      </c>
      <c r="U7" s="77" t="s">
        <v>82</v>
      </c>
      <c r="V7" s="77" t="s">
        <v>82</v>
      </c>
      <c r="W7" s="77" t="s">
        <v>82</v>
      </c>
    </row>
    <row r="8" spans="1:29" ht="26.25" customHeight="1">
      <c r="A8" s="50"/>
      <c r="B8" s="78" t="s">
        <v>83</v>
      </c>
      <c r="C8" s="79">
        <f aca="true" t="shared" si="0" ref="C8:K8">C9+C31+C33</f>
        <v>-5.53857</v>
      </c>
      <c r="D8" s="80">
        <f t="shared" si="0"/>
        <v>-20.545007999999992</v>
      </c>
      <c r="E8" s="80">
        <f t="shared" si="0"/>
        <v>-14.690147999999994</v>
      </c>
      <c r="F8" s="80">
        <f t="shared" si="0"/>
        <v>-12.863066999999994</v>
      </c>
      <c r="G8" s="80">
        <f t="shared" si="0"/>
        <v>-22.62904499999999</v>
      </c>
      <c r="H8" s="81">
        <f t="shared" si="0"/>
        <v>-35.01800842425443</v>
      </c>
      <c r="I8" s="82">
        <f t="shared" si="0"/>
        <v>-6.59792405530596</v>
      </c>
      <c r="J8" s="82">
        <f t="shared" si="0"/>
        <v>-42.505351997000005</v>
      </c>
      <c r="K8" s="82">
        <f t="shared" si="0"/>
        <v>-25.942099999999986</v>
      </c>
      <c r="L8" s="82">
        <v>3.113580000000006</v>
      </c>
      <c r="M8" s="82">
        <v>12.400000000000004</v>
      </c>
      <c r="N8" s="82">
        <v>10</v>
      </c>
      <c r="O8" s="82">
        <v>2.2460000000000164</v>
      </c>
      <c r="P8" s="82">
        <v>-30.075620000000022</v>
      </c>
      <c r="Q8" s="83">
        <v>-72.87150202814237</v>
      </c>
      <c r="R8" s="84">
        <v>-101.79661199999998</v>
      </c>
      <c r="S8" s="83">
        <v>-32.657121226428444</v>
      </c>
      <c r="T8" s="83" t="e">
        <f>T9+T31+T33</f>
        <v>#REF!</v>
      </c>
      <c r="U8" s="83" t="e">
        <f>U9+U31+U33</f>
        <v>#REF!</v>
      </c>
      <c r="V8" s="83" t="e">
        <f>V9+V31+V33</f>
        <v>#REF!</v>
      </c>
      <c r="W8" s="83">
        <f>W9+W31+W33</f>
        <v>-14.399999999999984</v>
      </c>
      <c r="Z8" s="159">
        <v>2019</v>
      </c>
      <c r="AA8" s="159"/>
      <c r="AB8" s="160">
        <v>2020</v>
      </c>
      <c r="AC8" s="160"/>
    </row>
    <row r="9" spans="1:29" ht="15.75" customHeight="1">
      <c r="A9" s="50"/>
      <c r="B9" s="78" t="s">
        <v>84</v>
      </c>
      <c r="C9" s="80">
        <f aca="true" t="shared" si="1" ref="C9:K9">C10+C26</f>
        <v>-27.984075</v>
      </c>
      <c r="D9" s="80">
        <f t="shared" si="1"/>
        <v>-45.65215599999999</v>
      </c>
      <c r="E9" s="80">
        <f t="shared" si="1"/>
        <v>-45.89771999999999</v>
      </c>
      <c r="F9" s="80">
        <f t="shared" si="1"/>
        <v>-50.10649699999999</v>
      </c>
      <c r="G9" s="80">
        <f t="shared" si="1"/>
        <v>-63.921465</v>
      </c>
      <c r="H9" s="81">
        <f t="shared" si="1"/>
        <v>-63.61498442425443</v>
      </c>
      <c r="I9" s="80">
        <f t="shared" si="1"/>
        <v>-26.99332405530596</v>
      </c>
      <c r="J9" s="80">
        <f t="shared" si="1"/>
        <v>-51.60535199700001</v>
      </c>
      <c r="K9" s="80">
        <f t="shared" si="1"/>
        <v>-39.090699999999984</v>
      </c>
      <c r="L9" s="80">
        <v>-58.19556</v>
      </c>
      <c r="M9" s="80">
        <v>-29.099999999999994</v>
      </c>
      <c r="N9" s="80">
        <v>-33.5</v>
      </c>
      <c r="O9" s="80">
        <v>-41.54399999999998</v>
      </c>
      <c r="P9" s="80">
        <v>-43.72312000000002</v>
      </c>
      <c r="Q9" s="85">
        <v>-133.39443122814237</v>
      </c>
      <c r="R9" s="86">
        <v>-154.296212</v>
      </c>
      <c r="S9" s="85">
        <v>-100.70312122642845</v>
      </c>
      <c r="T9" s="85" t="e">
        <f>T10+T26</f>
        <v>#REF!</v>
      </c>
      <c r="U9" s="85" t="e">
        <f>U10+U26</f>
        <v>#REF!</v>
      </c>
      <c r="V9" s="85">
        <f>V10+V26</f>
        <v>-130.5055724</v>
      </c>
      <c r="W9" s="85">
        <f>W10+W26</f>
        <v>-55.19999999999999</v>
      </c>
      <c r="Y9" s="87"/>
      <c r="Z9" s="87" t="s">
        <v>85</v>
      </c>
      <c r="AA9" s="87" t="s">
        <v>86</v>
      </c>
      <c r="AB9" s="87" t="s">
        <v>85</v>
      </c>
      <c r="AC9" s="87" t="s">
        <v>86</v>
      </c>
    </row>
    <row r="10" spans="1:32" ht="15.75" customHeight="1">
      <c r="A10" s="50"/>
      <c r="B10" s="78" t="s">
        <v>87</v>
      </c>
      <c r="C10" s="80">
        <f aca="true" t="shared" si="2" ref="C10:K10">C11+C17</f>
        <v>-8.636144999999999</v>
      </c>
      <c r="D10" s="80">
        <f t="shared" si="2"/>
        <v>-27.12166599999999</v>
      </c>
      <c r="E10" s="80">
        <f t="shared" si="2"/>
        <v>-29.188455999999995</v>
      </c>
      <c r="F10" s="80">
        <f t="shared" si="2"/>
        <v>-31.592085999999995</v>
      </c>
      <c r="G10" s="80">
        <f t="shared" si="2"/>
        <v>-38.363339999999994</v>
      </c>
      <c r="H10" s="81">
        <f t="shared" si="2"/>
        <v>-34.62192842425442</v>
      </c>
      <c r="I10" s="80">
        <f t="shared" si="2"/>
        <v>-1.0141340553059592</v>
      </c>
      <c r="J10" s="80">
        <f t="shared" si="2"/>
        <v>-25.705351997000008</v>
      </c>
      <c r="K10" s="80">
        <f t="shared" si="2"/>
        <v>-14.840399999999988</v>
      </c>
      <c r="L10" s="80">
        <v>-23.799999999999997</v>
      </c>
      <c r="M10" s="80">
        <v>26.80000000000001</v>
      </c>
      <c r="N10" s="80">
        <v>27.5</v>
      </c>
      <c r="O10" s="80">
        <v>28.30000000000001</v>
      </c>
      <c r="P10" s="80">
        <v>25.699579999999997</v>
      </c>
      <c r="Q10" s="85">
        <v>-65.99443122814236</v>
      </c>
      <c r="R10" s="86">
        <v>-83.576212</v>
      </c>
      <c r="S10" s="85">
        <v>-28.879121226428452</v>
      </c>
      <c r="T10" s="85" t="e">
        <f>T11+T17</f>
        <v>#REF!</v>
      </c>
      <c r="U10" s="85" t="e">
        <f>U11+U17</f>
        <v>#REF!</v>
      </c>
      <c r="V10" s="85">
        <f>V11+V17</f>
        <v>-55.80557239999999</v>
      </c>
      <c r="W10" s="85">
        <f>W11+W17</f>
        <v>11.400000000000006</v>
      </c>
      <c r="Y10" s="87"/>
      <c r="Z10" s="87">
        <v>22.69</v>
      </c>
      <c r="AA10" s="87">
        <v>13.762</v>
      </c>
      <c r="AB10" s="87"/>
      <c r="AC10" s="87"/>
      <c r="AE10" s="88"/>
      <c r="AF10" s="88"/>
    </row>
    <row r="11" spans="1:32" s="87" customFormat="1" ht="15.75" customHeight="1">
      <c r="A11" s="89"/>
      <c r="B11" s="78" t="s">
        <v>88</v>
      </c>
      <c r="C11" s="80">
        <v>47.45379</v>
      </c>
      <c r="D11" s="80">
        <v>38.004164</v>
      </c>
      <c r="E11" s="80">
        <v>51.336384</v>
      </c>
      <c r="F11" s="80">
        <v>57.286923</v>
      </c>
      <c r="G11" s="80">
        <v>57.83982</v>
      </c>
      <c r="H11" s="81">
        <v>62.67966</v>
      </c>
      <c r="I11" s="80">
        <f>SUM(I12:I16)</f>
        <v>112.3224999999</v>
      </c>
      <c r="J11" s="80">
        <f>SUM(J12:J16)</f>
        <v>67.062020003</v>
      </c>
      <c r="K11" s="80">
        <f>SUM(K12:K16)</f>
        <v>75.4856</v>
      </c>
      <c r="L11" s="80">
        <v>82.1</v>
      </c>
      <c r="M11" s="80">
        <v>149.20000000000002</v>
      </c>
      <c r="N11" s="80">
        <v>164</v>
      </c>
      <c r="O11" s="80">
        <v>197.5</v>
      </c>
      <c r="P11" s="80">
        <v>188.5979</v>
      </c>
      <c r="Q11" s="85">
        <v>142.43915097515438</v>
      </c>
      <c r="R11" s="86">
        <v>81.4136</v>
      </c>
      <c r="S11" s="85">
        <v>137.5554416</v>
      </c>
      <c r="T11" s="85" t="e">
        <f>SUM(T12:T16)</f>
        <v>#REF!</v>
      </c>
      <c r="U11" s="85" t="e">
        <f>SUM(U12:U16)</f>
        <v>#REF!</v>
      </c>
      <c r="V11" s="85">
        <f>SUM(V12:V16)</f>
        <v>141.1</v>
      </c>
      <c r="W11" s="85">
        <f>SUM(W12:W16)</f>
        <v>181.1</v>
      </c>
      <c r="Y11" s="87" t="s">
        <v>89</v>
      </c>
      <c r="Z11" s="87">
        <v>14.465</v>
      </c>
      <c r="AA11" s="87">
        <v>11.697</v>
      </c>
      <c r="AE11" s="90"/>
      <c r="AF11" s="90"/>
    </row>
    <row r="12" spans="1:29" s="99" customFormat="1" ht="15.75" customHeight="1">
      <c r="A12" s="91"/>
      <c r="B12" s="92" t="s">
        <v>90</v>
      </c>
      <c r="C12" s="93"/>
      <c r="D12" s="93"/>
      <c r="E12" s="93"/>
      <c r="F12" s="93"/>
      <c r="G12" s="93"/>
      <c r="H12" s="93">
        <v>51.8</v>
      </c>
      <c r="I12" s="94">
        <v>103.1225</v>
      </c>
      <c r="J12" s="94">
        <v>59.976</v>
      </c>
      <c r="K12" s="94">
        <v>60.8855</v>
      </c>
      <c r="L12" s="95">
        <v>69.2</v>
      </c>
      <c r="M12" s="96">
        <v>133.3</v>
      </c>
      <c r="N12" s="96">
        <v>159.5</v>
      </c>
      <c r="O12" s="96">
        <v>189</v>
      </c>
      <c r="P12" s="96">
        <v>140.5979</v>
      </c>
      <c r="Q12" s="97">
        <v>135.20765097515437</v>
      </c>
      <c r="R12" s="98">
        <v>77.31360000000001</v>
      </c>
      <c r="S12" s="97">
        <v>131.5554416</v>
      </c>
      <c r="T12" s="97" t="e">
        <f>#REF!+#REF!</f>
        <v>#REF!</v>
      </c>
      <c r="U12" s="97" t="e">
        <f>#REF!+#REF!</f>
        <v>#REF!</v>
      </c>
      <c r="V12" s="97">
        <v>127</v>
      </c>
      <c r="W12" s="97">
        <v>148</v>
      </c>
      <c r="Y12" s="87" t="s">
        <v>91</v>
      </c>
      <c r="Z12" s="87">
        <v>8.145</v>
      </c>
      <c r="AA12" s="87">
        <v>2.065</v>
      </c>
      <c r="AB12" s="87"/>
      <c r="AC12" s="87"/>
    </row>
    <row r="13" spans="1:23" s="99" customFormat="1" ht="15.75" customHeight="1">
      <c r="A13" s="91"/>
      <c r="B13" s="92" t="s">
        <v>92</v>
      </c>
      <c r="C13" s="93"/>
      <c r="D13" s="93"/>
      <c r="E13" s="93"/>
      <c r="F13" s="93"/>
      <c r="G13" s="93"/>
      <c r="H13" s="93">
        <v>0.5</v>
      </c>
      <c r="I13" s="94">
        <v>0.2</v>
      </c>
      <c r="J13" s="94">
        <v>0</v>
      </c>
      <c r="K13" s="94">
        <v>0.2</v>
      </c>
      <c r="L13" s="95">
        <v>0.2</v>
      </c>
      <c r="M13" s="96">
        <v>0</v>
      </c>
      <c r="N13" s="96">
        <v>0</v>
      </c>
      <c r="O13" s="96">
        <v>1</v>
      </c>
      <c r="P13" s="96">
        <v>0.6</v>
      </c>
      <c r="Q13" s="97">
        <v>0.4</v>
      </c>
      <c r="R13" s="98">
        <v>0.6</v>
      </c>
      <c r="S13" s="97">
        <v>0.7</v>
      </c>
      <c r="T13" s="97">
        <v>0.8</v>
      </c>
      <c r="U13" s="97">
        <v>4.5</v>
      </c>
      <c r="V13" s="97">
        <v>5.5</v>
      </c>
      <c r="W13" s="97">
        <v>6.5</v>
      </c>
    </row>
    <row r="14" spans="1:23" s="99" customFormat="1" ht="15.75" customHeight="1">
      <c r="A14" s="91"/>
      <c r="B14" s="92" t="s">
        <v>93</v>
      </c>
      <c r="C14" s="93"/>
      <c r="D14" s="93"/>
      <c r="E14" s="93"/>
      <c r="F14" s="93"/>
      <c r="G14" s="93"/>
      <c r="H14" s="93">
        <v>1.1</v>
      </c>
      <c r="I14" s="94">
        <v>1.1</v>
      </c>
      <c r="J14" s="94">
        <v>0</v>
      </c>
      <c r="K14" s="94">
        <v>1.8</v>
      </c>
      <c r="L14" s="95">
        <v>1.8</v>
      </c>
      <c r="M14" s="96">
        <v>11.8</v>
      </c>
      <c r="N14" s="96">
        <v>0</v>
      </c>
      <c r="O14" s="96">
        <v>1</v>
      </c>
      <c r="P14" s="96">
        <v>44</v>
      </c>
      <c r="Q14" s="97">
        <v>0.0315</v>
      </c>
      <c r="R14" s="98">
        <v>0</v>
      </c>
      <c r="S14" s="97">
        <v>1.3</v>
      </c>
      <c r="T14" s="97">
        <v>1.3</v>
      </c>
      <c r="U14" s="97">
        <v>1.3</v>
      </c>
      <c r="V14" s="97">
        <v>1.5</v>
      </c>
      <c r="W14" s="97">
        <v>12.5</v>
      </c>
    </row>
    <row r="15" spans="1:23" s="99" customFormat="1" ht="15.75" customHeight="1">
      <c r="A15" s="91"/>
      <c r="B15" s="92" t="s">
        <v>94</v>
      </c>
      <c r="C15" s="93"/>
      <c r="D15" s="93"/>
      <c r="E15" s="93"/>
      <c r="F15" s="93"/>
      <c r="G15" s="93"/>
      <c r="H15" s="93">
        <v>0</v>
      </c>
      <c r="I15" s="94">
        <v>0</v>
      </c>
      <c r="J15" s="94">
        <v>0</v>
      </c>
      <c r="K15" s="94">
        <v>0</v>
      </c>
      <c r="L15" s="95">
        <v>0</v>
      </c>
      <c r="M15" s="96">
        <v>0</v>
      </c>
      <c r="N15" s="96">
        <v>0</v>
      </c>
      <c r="O15" s="96">
        <v>0</v>
      </c>
      <c r="P15" s="96">
        <v>0</v>
      </c>
      <c r="Q15" s="97">
        <v>0</v>
      </c>
      <c r="R15" s="98">
        <v>0</v>
      </c>
      <c r="S15" s="97">
        <v>0</v>
      </c>
      <c r="T15" s="97">
        <v>0</v>
      </c>
      <c r="U15" s="97">
        <v>0</v>
      </c>
      <c r="V15" s="97">
        <v>0</v>
      </c>
      <c r="W15" s="97">
        <v>6</v>
      </c>
    </row>
    <row r="16" spans="1:23" s="99" customFormat="1" ht="15.75" customHeight="1">
      <c r="A16" s="91"/>
      <c r="B16" s="92" t="s">
        <v>95</v>
      </c>
      <c r="C16" s="93"/>
      <c r="D16" s="93"/>
      <c r="E16" s="93"/>
      <c r="F16" s="93"/>
      <c r="G16" s="93"/>
      <c r="H16" s="93">
        <v>9.3</v>
      </c>
      <c r="I16" s="94">
        <v>7.8999999999</v>
      </c>
      <c r="J16" s="94">
        <v>7.086020003</v>
      </c>
      <c r="K16" s="94">
        <v>12.6001</v>
      </c>
      <c r="L16" s="95">
        <v>10.9</v>
      </c>
      <c r="M16" s="96">
        <v>4.1</v>
      </c>
      <c r="N16" s="96">
        <v>4.5</v>
      </c>
      <c r="O16" s="96">
        <v>6.5</v>
      </c>
      <c r="P16" s="96">
        <v>3.4</v>
      </c>
      <c r="Q16" s="97">
        <v>6.8</v>
      </c>
      <c r="R16" s="98">
        <v>3.5</v>
      </c>
      <c r="S16" s="97">
        <v>4</v>
      </c>
      <c r="T16" s="97">
        <v>3.8</v>
      </c>
      <c r="U16" s="97">
        <v>6.1</v>
      </c>
      <c r="V16" s="97">
        <v>7.1</v>
      </c>
      <c r="W16" s="97">
        <v>8.1</v>
      </c>
    </row>
    <row r="17" spans="1:23" s="87" customFormat="1" ht="15.75" customHeight="1">
      <c r="A17" s="89"/>
      <c r="B17" s="78" t="s">
        <v>96</v>
      </c>
      <c r="C17" s="80">
        <v>-56.089935</v>
      </c>
      <c r="D17" s="80">
        <v>-65.12583</v>
      </c>
      <c r="E17" s="80">
        <v>-80.52484</v>
      </c>
      <c r="F17" s="80">
        <v>-88.879009</v>
      </c>
      <c r="G17" s="80">
        <v>-96.20316</v>
      </c>
      <c r="H17" s="81">
        <f>-SUM(H19:H24)</f>
        <v>-97.30158842425442</v>
      </c>
      <c r="I17" s="81">
        <f>-SUM(I19:I24)</f>
        <v>-113.33663405520596</v>
      </c>
      <c r="J17" s="81">
        <f>-SUM(J19:J24)</f>
        <v>-92.76737200000001</v>
      </c>
      <c r="K17" s="80">
        <v>-90.326</v>
      </c>
      <c r="L17" s="100">
        <v>-105.9</v>
      </c>
      <c r="M17" s="80">
        <v>-122.4</v>
      </c>
      <c r="N17" s="80">
        <v>-136.5</v>
      </c>
      <c r="O17" s="80">
        <v>-169.2</v>
      </c>
      <c r="P17" s="80">
        <v>-162.89832</v>
      </c>
      <c r="Q17" s="85">
        <v>-208.43358220329674</v>
      </c>
      <c r="R17" s="86">
        <v>-164.989812</v>
      </c>
      <c r="S17" s="85">
        <v>-166.43456282642845</v>
      </c>
      <c r="T17" s="85">
        <f>T18-(T18*0.1498)</f>
        <v>-176.42628453427847</v>
      </c>
      <c r="U17" s="85">
        <f>U18-(U18*0.1588)</f>
        <v>-191.533702848</v>
      </c>
      <c r="V17" s="85">
        <f>V18-(V18*0.1588)</f>
        <v>-196.90557239999998</v>
      </c>
      <c r="W17" s="85">
        <v>-169.7</v>
      </c>
    </row>
    <row r="18" spans="1:24" s="87" customFormat="1" ht="15.75" customHeight="1">
      <c r="A18" s="89"/>
      <c r="B18" s="78" t="s">
        <v>97</v>
      </c>
      <c r="C18" s="80">
        <v>-65.2208546511628</v>
      </c>
      <c r="D18" s="80">
        <v>-75.7277093023256</v>
      </c>
      <c r="E18" s="80">
        <v>-93.633534883721</v>
      </c>
      <c r="F18" s="80">
        <v>-103.347684883721</v>
      </c>
      <c r="G18" s="80">
        <v>-111.864139534884</v>
      </c>
      <c r="H18" s="81">
        <f>SUM(H19:H24)</f>
        <v>97.30158842425442</v>
      </c>
      <c r="I18" s="81">
        <f>SUM(I19:I24)</f>
        <v>113.33663405520596</v>
      </c>
      <c r="J18" s="81">
        <f>SUM(J19:J24)</f>
        <v>92.76737200000001</v>
      </c>
      <c r="K18" s="80">
        <f>SUM(K19:K24)</f>
        <v>-105.69999999999999</v>
      </c>
      <c r="L18" s="80">
        <v>-128.5</v>
      </c>
      <c r="M18" s="80">
        <v>-148.5</v>
      </c>
      <c r="N18" s="80">
        <v>-165.7</v>
      </c>
      <c r="O18" s="80">
        <v>-205.40000000000003</v>
      </c>
      <c r="P18" s="80">
        <v>-191.60000000000002</v>
      </c>
      <c r="Q18" s="85">
        <v>-245.1582947580531</v>
      </c>
      <c r="R18" s="86">
        <v>-194.06</v>
      </c>
      <c r="S18" s="85">
        <v>-195.75930701767638</v>
      </c>
      <c r="T18" s="85">
        <f>SUM(T19:T24)</f>
        <v>-207.51150850891375</v>
      </c>
      <c r="U18" s="85">
        <f>SUM(U19:U24)</f>
        <v>-227.69104</v>
      </c>
      <c r="V18" s="85">
        <f>SUM(V19:V24)</f>
        <v>-234.077</v>
      </c>
      <c r="W18" s="85">
        <f>SUM(W19:W24)</f>
        <v>-177.2</v>
      </c>
      <c r="X18" s="85"/>
    </row>
    <row r="19" spans="1:26" s="99" customFormat="1" ht="15.75" customHeight="1">
      <c r="A19" s="91"/>
      <c r="B19" s="101" t="s">
        <v>98</v>
      </c>
      <c r="C19" s="102"/>
      <c r="D19" s="102"/>
      <c r="E19" s="102"/>
      <c r="F19" s="102"/>
      <c r="G19" s="102"/>
      <c r="H19" s="103">
        <v>28.656047280211</v>
      </c>
      <c r="I19" s="102">
        <v>36.3098727161914</v>
      </c>
      <c r="J19" s="102">
        <v>34.817362</v>
      </c>
      <c r="K19" s="102">
        <v>-36.5</v>
      </c>
      <c r="L19" s="95">
        <v>-46</v>
      </c>
      <c r="M19" s="96">
        <v>-48.7</v>
      </c>
      <c r="N19" s="96">
        <v>-60.2</v>
      </c>
      <c r="O19" s="96">
        <v>-72.8</v>
      </c>
      <c r="P19" s="96">
        <v>-64.3</v>
      </c>
      <c r="Q19" s="97">
        <v>-60.21470545899393</v>
      </c>
      <c r="R19" s="98">
        <v>-50.3</v>
      </c>
      <c r="S19" s="97">
        <v>-60.4</v>
      </c>
      <c r="T19" s="97">
        <v>-61.004</v>
      </c>
      <c r="U19" s="97">
        <f>T19*1.01</f>
        <v>-61.614039999999996</v>
      </c>
      <c r="V19" s="97">
        <v>-62</v>
      </c>
      <c r="W19" s="97">
        <v>-59.7</v>
      </c>
      <c r="Y19" s="104"/>
      <c r="Z19" s="104"/>
    </row>
    <row r="20" spans="1:26" s="99" customFormat="1" ht="15.75" customHeight="1">
      <c r="A20" s="91"/>
      <c r="B20" s="101" t="s">
        <v>99</v>
      </c>
      <c r="C20" s="102"/>
      <c r="D20" s="102"/>
      <c r="E20" s="102"/>
      <c r="F20" s="102"/>
      <c r="G20" s="102"/>
      <c r="H20" s="103">
        <v>5.61687179440817</v>
      </c>
      <c r="I20" s="102">
        <v>6.75890006832408</v>
      </c>
      <c r="J20" s="102">
        <v>5.572062</v>
      </c>
      <c r="K20" s="102">
        <v>-8.3778</v>
      </c>
      <c r="L20" s="95">
        <v>-7.8</v>
      </c>
      <c r="M20" s="96">
        <v>-9.2</v>
      </c>
      <c r="N20" s="96">
        <v>-13.4</v>
      </c>
      <c r="O20" s="96">
        <v>-15.9</v>
      </c>
      <c r="P20" s="96">
        <v>-10.6</v>
      </c>
      <c r="Q20" s="97">
        <v>-16.510161062823713</v>
      </c>
      <c r="R20" s="98">
        <v>-15.8248788368336</v>
      </c>
      <c r="S20" s="97">
        <v>-16.4</v>
      </c>
      <c r="T20" s="97">
        <v>-15.4</v>
      </c>
      <c r="U20" s="97">
        <f>T20</f>
        <v>-15.4</v>
      </c>
      <c r="V20" s="97">
        <f>U20</f>
        <v>-15.4</v>
      </c>
      <c r="W20" s="97">
        <v>-10.3</v>
      </c>
      <c r="Y20" s="104"/>
      <c r="Z20" s="104"/>
    </row>
    <row r="21" spans="1:26" s="99" customFormat="1" ht="15.75" customHeight="1">
      <c r="A21" s="91"/>
      <c r="B21" s="101" t="s">
        <v>100</v>
      </c>
      <c r="C21" s="102"/>
      <c r="D21" s="102"/>
      <c r="E21" s="102"/>
      <c r="F21" s="102"/>
      <c r="G21" s="102"/>
      <c r="H21" s="103">
        <v>21.9065146205054</v>
      </c>
      <c r="I21" s="102">
        <v>23.0201870725821</v>
      </c>
      <c r="J21" s="102">
        <v>16.833662</v>
      </c>
      <c r="K21" s="102">
        <v>-22.5044</v>
      </c>
      <c r="L21" s="95">
        <v>-23.2</v>
      </c>
      <c r="M21" s="96">
        <v>-31</v>
      </c>
      <c r="N21" s="96">
        <v>-28</v>
      </c>
      <c r="O21" s="96">
        <v>-35.4</v>
      </c>
      <c r="P21" s="96">
        <v>-39.4</v>
      </c>
      <c r="Q21" s="97">
        <v>-50.42060664372954</v>
      </c>
      <c r="R21" s="98">
        <v>-32.2</v>
      </c>
      <c r="S21" s="98">
        <v>-35.2</v>
      </c>
      <c r="T21" s="97">
        <v>-43.677</v>
      </c>
      <c r="U21" s="97">
        <f>T21</f>
        <v>-43.677</v>
      </c>
      <c r="V21" s="97">
        <f>U21</f>
        <v>-43.677</v>
      </c>
      <c r="W21" s="97">
        <v>-35.6</v>
      </c>
      <c r="Y21" s="104"/>
      <c r="Z21" s="104"/>
    </row>
    <row r="22" spans="1:26" s="99" customFormat="1" ht="15.75" customHeight="1">
      <c r="A22" s="91"/>
      <c r="B22" s="101" t="s">
        <v>101</v>
      </c>
      <c r="C22" s="102"/>
      <c r="D22" s="102"/>
      <c r="E22" s="102"/>
      <c r="F22" s="102"/>
      <c r="G22" s="102"/>
      <c r="H22" s="103">
        <v>7.7204817235662</v>
      </c>
      <c r="I22" s="102">
        <v>10.39310616785</v>
      </c>
      <c r="J22" s="102">
        <v>9.001862</v>
      </c>
      <c r="K22" s="102">
        <v>-12.3244</v>
      </c>
      <c r="L22" s="95">
        <v>-16.9</v>
      </c>
      <c r="M22" s="96">
        <v>-20.3</v>
      </c>
      <c r="N22" s="96">
        <v>-20.7</v>
      </c>
      <c r="O22" s="96">
        <v>-27.6</v>
      </c>
      <c r="P22" s="96">
        <v>-25.9</v>
      </c>
      <c r="Q22" s="97">
        <v>-26.84219715969177</v>
      </c>
      <c r="R22" s="98">
        <v>-24.716732056312022</v>
      </c>
      <c r="S22" s="97">
        <v>-25.1843070176764</v>
      </c>
      <c r="T22" s="97">
        <v>-26.94720850891375</v>
      </c>
      <c r="U22" s="97">
        <v>-40</v>
      </c>
      <c r="V22" s="97">
        <v>-43</v>
      </c>
      <c r="W22" s="97">
        <v>-27</v>
      </c>
      <c r="Y22" s="104"/>
      <c r="Z22" s="104"/>
    </row>
    <row r="23" spans="1:26" s="99" customFormat="1" ht="15.75" customHeight="1">
      <c r="A23" s="91"/>
      <c r="B23" s="101" t="s">
        <v>102</v>
      </c>
      <c r="C23" s="102"/>
      <c r="D23" s="102"/>
      <c r="E23" s="102"/>
      <c r="F23" s="102"/>
      <c r="G23" s="102"/>
      <c r="H23" s="103">
        <v>27.8367414872585</v>
      </c>
      <c r="I23" s="102">
        <v>30.7558773228664</v>
      </c>
      <c r="J23" s="102">
        <v>22.754762</v>
      </c>
      <c r="K23" s="102">
        <v>-19.7704</v>
      </c>
      <c r="L23" s="95">
        <v>-20.3</v>
      </c>
      <c r="M23" s="96">
        <v>-24.8</v>
      </c>
      <c r="N23" s="96">
        <v>-23.7</v>
      </c>
      <c r="O23" s="96">
        <v>-29.7</v>
      </c>
      <c r="P23" s="96">
        <v>-30.7</v>
      </c>
      <c r="Q23" s="97">
        <v>-57.51414483203661</v>
      </c>
      <c r="R23" s="98">
        <v>-34.7269974613432</v>
      </c>
      <c r="S23" s="97">
        <v>-36.839999999999996</v>
      </c>
      <c r="T23" s="97">
        <v>-38.3136</v>
      </c>
      <c r="U23" s="97">
        <v>-37</v>
      </c>
      <c r="V23" s="97">
        <v>-40</v>
      </c>
      <c r="W23" s="97">
        <v>-28.2</v>
      </c>
      <c r="Y23" s="104"/>
      <c r="Z23" s="104"/>
    </row>
    <row r="24" spans="1:26" s="99" customFormat="1" ht="15.75" customHeight="1">
      <c r="A24" s="91"/>
      <c r="B24" s="101" t="s">
        <v>103</v>
      </c>
      <c r="C24" s="102"/>
      <c r="D24" s="102"/>
      <c r="E24" s="102"/>
      <c r="F24" s="102"/>
      <c r="G24" s="102"/>
      <c r="H24" s="103">
        <v>5.56493151830515</v>
      </c>
      <c r="I24" s="102">
        <v>6.09869070739198</v>
      </c>
      <c r="J24" s="102">
        <v>3.787662</v>
      </c>
      <c r="K24" s="102">
        <v>-6.223</v>
      </c>
      <c r="L24" s="95">
        <v>-14.3</v>
      </c>
      <c r="M24" s="96">
        <v>-14.5</v>
      </c>
      <c r="N24" s="96">
        <v>-19.7</v>
      </c>
      <c r="O24" s="96">
        <v>-24</v>
      </c>
      <c r="P24" s="96">
        <v>-20.7</v>
      </c>
      <c r="Q24" s="97">
        <v>-33.65647960077754</v>
      </c>
      <c r="R24" s="98">
        <v>-36.2913916455112</v>
      </c>
      <c r="S24" s="97">
        <v>-21.735</v>
      </c>
      <c r="T24" s="97">
        <v>-22.1697</v>
      </c>
      <c r="U24" s="97">
        <v>-30</v>
      </c>
      <c r="V24" s="97">
        <v>-30</v>
      </c>
      <c r="W24" s="97">
        <v>-16.4</v>
      </c>
      <c r="Y24" s="104"/>
      <c r="Z24" s="104"/>
    </row>
    <row r="25" spans="1:26" s="99" customFormat="1" ht="15.75" customHeight="1">
      <c r="A25" s="91"/>
      <c r="B25" s="105" t="s">
        <v>104</v>
      </c>
      <c r="C25" s="102">
        <f>(-34.6*529.5)/1000</f>
        <v>-18.320700000000002</v>
      </c>
      <c r="D25" s="102">
        <f>(-37.383*512.6)/1000</f>
        <v>-19.162525800000004</v>
      </c>
      <c r="E25" s="102">
        <f>(-47.3*479.6)/1000</f>
        <v>-22.68508</v>
      </c>
      <c r="F25" s="102">
        <f>(-37.089*447.1)/1000</f>
        <v>-16.5824919</v>
      </c>
      <c r="G25" s="102">
        <f>(-39.301*475.5)/1000</f>
        <v>-18.687625500000003</v>
      </c>
      <c r="H25" s="103">
        <f>(-39.9406*495.1)/1000</f>
        <v>-19.774591060000002</v>
      </c>
      <c r="I25" s="102"/>
      <c r="J25" s="102"/>
      <c r="K25" s="102"/>
      <c r="L25" s="102"/>
      <c r="M25" s="96">
        <v>0</v>
      </c>
      <c r="N25" s="96">
        <v>0</v>
      </c>
      <c r="O25" s="96">
        <v>0</v>
      </c>
      <c r="P25" s="96">
        <v>0</v>
      </c>
      <c r="Q25" s="97">
        <v>67.5</v>
      </c>
      <c r="R25" s="98">
        <v>42.2</v>
      </c>
      <c r="S25" s="97">
        <v>65.3</v>
      </c>
      <c r="T25" s="97">
        <v>65.3</v>
      </c>
      <c r="U25" s="97">
        <f>+T25</f>
        <v>65.3</v>
      </c>
      <c r="V25" s="97">
        <f>+U25</f>
        <v>65.3</v>
      </c>
      <c r="W25" s="97">
        <f>+V25</f>
        <v>65.3</v>
      </c>
      <c r="Y25" s="104"/>
      <c r="Z25" s="104"/>
    </row>
    <row r="26" spans="1:23" ht="15.75" customHeight="1">
      <c r="A26" s="50"/>
      <c r="B26" s="78" t="s">
        <v>105</v>
      </c>
      <c r="C26" s="80">
        <f aca="true" t="shared" si="3" ref="C26:K26">C27+C29</f>
        <v>-19.34793</v>
      </c>
      <c r="D26" s="80">
        <f t="shared" si="3"/>
        <v>-18.53049</v>
      </c>
      <c r="E26" s="80">
        <f t="shared" si="3"/>
        <v>-16.709264</v>
      </c>
      <c r="F26" s="80">
        <f t="shared" si="3"/>
        <v>-18.514410999999996</v>
      </c>
      <c r="G26" s="80">
        <f t="shared" si="3"/>
        <v>-25.558125000000004</v>
      </c>
      <c r="H26" s="81">
        <f t="shared" si="3"/>
        <v>-28.993056000000006</v>
      </c>
      <c r="I26" s="80">
        <f t="shared" si="3"/>
        <v>-25.97919</v>
      </c>
      <c r="J26" s="80">
        <f t="shared" si="3"/>
        <v>-25.9</v>
      </c>
      <c r="K26" s="80">
        <f t="shared" si="3"/>
        <v>-24.2503</v>
      </c>
      <c r="L26" s="80">
        <v>-34.39556</v>
      </c>
      <c r="M26" s="80">
        <v>-55.900000000000006</v>
      </c>
      <c r="N26" s="80">
        <v>-61</v>
      </c>
      <c r="O26" s="80">
        <v>-69.844</v>
      </c>
      <c r="P26" s="80">
        <v>-69.42270000000002</v>
      </c>
      <c r="Q26" s="85">
        <v>-67.39999999999999</v>
      </c>
      <c r="R26" s="86">
        <v>-70.72</v>
      </c>
      <c r="S26" s="85">
        <v>-71.824</v>
      </c>
      <c r="T26" s="85">
        <f>T27+T29</f>
        <v>-75.5</v>
      </c>
      <c r="U26" s="85">
        <f>U27+U29</f>
        <v>-73.8</v>
      </c>
      <c r="V26" s="85">
        <f>V27+V29</f>
        <v>-74.7</v>
      </c>
      <c r="W26" s="85">
        <f>W27+W29</f>
        <v>-66.6</v>
      </c>
    </row>
    <row r="27" spans="1:23" ht="15.75" customHeight="1">
      <c r="A27" s="50"/>
      <c r="B27" s="78" t="s">
        <v>106</v>
      </c>
      <c r="C27" s="80">
        <f>(5.2*529.5)/1000</f>
        <v>2.7534</v>
      </c>
      <c r="D27" s="80">
        <f>(3.43*512.6)/1000</f>
        <v>1.758218</v>
      </c>
      <c r="E27" s="80">
        <f>(33.39*479.6)/1000</f>
        <v>16.013844000000002</v>
      </c>
      <c r="F27" s="80">
        <f>(43.78*447.1)/1000</f>
        <v>19.574038</v>
      </c>
      <c r="G27" s="80">
        <f>(33.12*475.5)/1000</f>
        <v>15.74856</v>
      </c>
      <c r="H27" s="81">
        <f>(44*495.1)/1000</f>
        <v>21.7844</v>
      </c>
      <c r="I27" s="80">
        <v>21.0684</v>
      </c>
      <c r="J27" s="80">
        <v>11.1</v>
      </c>
      <c r="K27" s="80">
        <v>18.8424</v>
      </c>
      <c r="L27" s="80">
        <v>23.19961</v>
      </c>
      <c r="M27" s="96">
        <v>21.5</v>
      </c>
      <c r="N27" s="96">
        <v>21.2</v>
      </c>
      <c r="O27" s="96">
        <v>20.245</v>
      </c>
      <c r="P27" s="96">
        <v>26.719</v>
      </c>
      <c r="Q27" s="97">
        <v>27.2</v>
      </c>
      <c r="R27" s="98">
        <v>10.48</v>
      </c>
      <c r="S27" s="97">
        <v>16.768</v>
      </c>
      <c r="T27" s="97">
        <v>19.4</v>
      </c>
      <c r="U27" s="97">
        <v>20.2</v>
      </c>
      <c r="V27" s="97">
        <v>20.3</v>
      </c>
      <c r="W27" s="97">
        <v>22.2</v>
      </c>
    </row>
    <row r="28" spans="1:23" ht="18" customHeight="1">
      <c r="A28" s="50"/>
      <c r="B28" s="106" t="s">
        <v>107</v>
      </c>
      <c r="C28" s="80">
        <f>(-41.74*529.5)/1000</f>
        <v>-22.10133</v>
      </c>
      <c r="D28" s="96">
        <f>(2.8*512.6)/1000</f>
        <v>1.43528</v>
      </c>
      <c r="E28" s="96">
        <f>(28.39*479.6)/1000</f>
        <v>13.615844000000001</v>
      </c>
      <c r="F28" s="96">
        <f>(38.21*447.1)/1000</f>
        <v>17.083691</v>
      </c>
      <c r="G28" s="96">
        <f>(11.98*475.5)/1000</f>
        <v>5.69649</v>
      </c>
      <c r="H28" s="107">
        <f>(13.28*495.1)/1000</f>
        <v>6.574928</v>
      </c>
      <c r="I28" s="96">
        <v>6.6352</v>
      </c>
      <c r="J28" s="96">
        <v>6.8557707560269</v>
      </c>
      <c r="K28" s="96">
        <v>4.6</v>
      </c>
      <c r="L28" s="96">
        <v>5.6</v>
      </c>
      <c r="M28" s="96">
        <v>6.6</v>
      </c>
      <c r="N28" s="96">
        <v>7.6</v>
      </c>
      <c r="O28" s="96">
        <v>8.6</v>
      </c>
      <c r="P28" s="96">
        <v>9.6</v>
      </c>
      <c r="Q28" s="97">
        <v>10</v>
      </c>
      <c r="R28" s="98">
        <v>7.6</v>
      </c>
      <c r="S28" s="97">
        <v>8.36</v>
      </c>
      <c r="T28" s="97">
        <v>13.6</v>
      </c>
      <c r="U28" s="97">
        <v>14.6</v>
      </c>
      <c r="V28" s="97">
        <v>15.6</v>
      </c>
      <c r="W28" s="97">
        <v>16.6</v>
      </c>
    </row>
    <row r="29" spans="1:23" ht="15.75" customHeight="1">
      <c r="A29" s="50"/>
      <c r="B29" s="78" t="s">
        <v>108</v>
      </c>
      <c r="C29" s="80">
        <f>(-41.74*529.5)/1000</f>
        <v>-22.10133</v>
      </c>
      <c r="D29" s="80">
        <f>(-39.58*512.6)/1000</f>
        <v>-20.288708</v>
      </c>
      <c r="E29" s="80">
        <f>(-68.23*479.6)/1000</f>
        <v>-32.723108</v>
      </c>
      <c r="F29" s="80">
        <f>(-85.19*447.1)/1000</f>
        <v>-38.088449</v>
      </c>
      <c r="G29" s="80">
        <f>(-86.87*475.5)/1000</f>
        <v>-41.306685</v>
      </c>
      <c r="H29" s="81">
        <f>(-102.56*495.1)/1000</f>
        <v>-50.77745600000001</v>
      </c>
      <c r="I29" s="80">
        <v>-47.04759</v>
      </c>
      <c r="J29" s="80">
        <v>-37</v>
      </c>
      <c r="K29" s="80">
        <v>-43.0927</v>
      </c>
      <c r="L29" s="80">
        <v>-57.59517</v>
      </c>
      <c r="M29" s="96">
        <v>-77.4</v>
      </c>
      <c r="N29" s="96">
        <v>-82.2</v>
      </c>
      <c r="O29" s="96">
        <v>-90.089</v>
      </c>
      <c r="P29" s="96">
        <v>-96.14170000000001</v>
      </c>
      <c r="Q29" s="97">
        <v>-94.6</v>
      </c>
      <c r="R29" s="98">
        <v>-81.2</v>
      </c>
      <c r="S29" s="97">
        <v>-88.592</v>
      </c>
      <c r="T29" s="97">
        <v>-94.9</v>
      </c>
      <c r="U29" s="97">
        <v>-94</v>
      </c>
      <c r="V29" s="97">
        <v>-95</v>
      </c>
      <c r="W29" s="97">
        <v>-88.8</v>
      </c>
    </row>
    <row r="30" spans="1:23" ht="15" customHeight="1">
      <c r="A30" s="50"/>
      <c r="B30" s="106" t="s">
        <v>109</v>
      </c>
      <c r="C30" s="96">
        <f>(-16.37*529.5)/1000</f>
        <v>-8.667915</v>
      </c>
      <c r="D30" s="96">
        <f>(-20.17*512.6)/1000</f>
        <v>-10.339142000000002</v>
      </c>
      <c r="E30" s="96">
        <f>(-23.52*479.6)/1000</f>
        <v>-11.280192000000001</v>
      </c>
      <c r="F30" s="96">
        <f>(-31.61*447.1)/1000</f>
        <v>-14.132831</v>
      </c>
      <c r="G30" s="96">
        <f>(-30.07*475.5)/1000</f>
        <v>-14.298285</v>
      </c>
      <c r="H30" s="107">
        <f>(-27.43*495.1)/1000</f>
        <v>-13.580593</v>
      </c>
      <c r="I30" s="96">
        <v>0</v>
      </c>
      <c r="J30" s="96">
        <v>-14.9</v>
      </c>
      <c r="K30" s="80">
        <v>-12.8</v>
      </c>
      <c r="L30" s="80">
        <v>-14</v>
      </c>
      <c r="M30" s="96">
        <v>-15.5</v>
      </c>
      <c r="N30" s="96">
        <v>-16.5</v>
      </c>
      <c r="O30" s="96">
        <v>-14.7</v>
      </c>
      <c r="P30" s="96">
        <v>-26.7</v>
      </c>
      <c r="Q30" s="97">
        <v>-36.7</v>
      </c>
      <c r="R30" s="108">
        <v>-27.78</v>
      </c>
      <c r="S30" s="97">
        <v>-29.32474419124793</v>
      </c>
      <c r="T30" s="97">
        <f>T18-T17</f>
        <v>-31.085223974635284</v>
      </c>
      <c r="U30" s="97">
        <f>U18-U17</f>
        <v>-36.157337152</v>
      </c>
      <c r="V30" s="97">
        <v>5</v>
      </c>
      <c r="W30" s="97">
        <v>6</v>
      </c>
    </row>
    <row r="31" spans="1:23" ht="15.75" customHeight="1">
      <c r="A31" s="50"/>
      <c r="B31" s="78" t="s">
        <v>110</v>
      </c>
      <c r="C31" s="80">
        <f>(-8.82*529.5)/1000</f>
        <v>-4.670190000000001</v>
      </c>
      <c r="D31" s="80">
        <f>(-8.84*512.6)/1000</f>
        <v>-4.531384</v>
      </c>
      <c r="E31" s="80">
        <f>(-9.9*479.6)/1000</f>
        <v>-4.74804</v>
      </c>
      <c r="F31" s="80">
        <f>(-14.7*447.1)/1000</f>
        <v>-6.57237</v>
      </c>
      <c r="G31" s="80">
        <f>(-11.11*475.5)/1000</f>
        <v>-5.282805</v>
      </c>
      <c r="H31" s="81">
        <f>(-2.31*495.1)/1000</f>
        <v>-1.143681</v>
      </c>
      <c r="I31" s="80">
        <v>-8.7336</v>
      </c>
      <c r="J31" s="80">
        <v>-16.9</v>
      </c>
      <c r="K31" s="80">
        <v>-3.9632</v>
      </c>
      <c r="L31" s="80">
        <v>18.45914</v>
      </c>
      <c r="M31" s="80">
        <v>15.1</v>
      </c>
      <c r="N31" s="80">
        <v>17.6</v>
      </c>
      <c r="O31" s="80">
        <v>8.4</v>
      </c>
      <c r="P31" s="80">
        <v>-28.4071</v>
      </c>
      <c r="Q31" s="85">
        <v>15.922929200000002</v>
      </c>
      <c r="R31" s="85">
        <v>11.8</v>
      </c>
      <c r="S31" s="85">
        <v>8.5</v>
      </c>
      <c r="T31" s="85" t="e">
        <f>8.3+#REF!-#REF!+#REF!-T32</f>
        <v>#REF!</v>
      </c>
      <c r="U31" s="85" t="e">
        <f>8.3+#REF!-#REF!+#REF!-U32</f>
        <v>#REF!</v>
      </c>
      <c r="V31" s="85" t="e">
        <f>8.3+#REF!-#REF!+#REF!-V32</f>
        <v>#REF!</v>
      </c>
      <c r="W31" s="85">
        <v>14.2</v>
      </c>
    </row>
    <row r="32" spans="1:23" ht="15" customHeight="1">
      <c r="A32" s="50"/>
      <c r="B32" s="109" t="s">
        <v>111</v>
      </c>
      <c r="C32" s="96">
        <f>(-6.3*529.5)/1000</f>
        <v>-3.3358499999999998</v>
      </c>
      <c r="D32" s="96">
        <f>(-4.4*512.6)/1000</f>
        <v>-2.2554400000000006</v>
      </c>
      <c r="E32" s="96">
        <f>(-4.8*479.6)/1000</f>
        <v>-2.30208</v>
      </c>
      <c r="F32" s="96">
        <f>(-6.318*447.1)/1000</f>
        <v>-2.8247777999999997</v>
      </c>
      <c r="G32" s="96">
        <f>(-5.4*475.5)/1000</f>
        <v>-2.5677000000000003</v>
      </c>
      <c r="H32" s="107">
        <f>(-0.48*495.1)/1000</f>
        <v>-0.237648</v>
      </c>
      <c r="I32" s="96">
        <v>-0.7</v>
      </c>
      <c r="J32" s="96">
        <v>-0.3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5">
        <v>2.7</v>
      </c>
      <c r="R32" s="86">
        <v>5.5</v>
      </c>
      <c r="S32" s="85">
        <v>8.8</v>
      </c>
      <c r="T32" s="85">
        <v>4.7</v>
      </c>
      <c r="U32" s="85">
        <v>5.4</v>
      </c>
      <c r="V32" s="85">
        <v>5</v>
      </c>
      <c r="W32" s="85">
        <v>6</v>
      </c>
    </row>
    <row r="33" spans="1:23" ht="15.75" customHeight="1">
      <c r="A33" s="50"/>
      <c r="B33" s="78" t="s">
        <v>112</v>
      </c>
      <c r="C33" s="80">
        <f aca="true" t="shared" si="4" ref="C33:K33">C34+C35</f>
        <v>27.115695000000002</v>
      </c>
      <c r="D33" s="80">
        <f t="shared" si="4"/>
        <v>29.638532</v>
      </c>
      <c r="E33" s="80">
        <f t="shared" si="4"/>
        <v>35.955612</v>
      </c>
      <c r="F33" s="80">
        <f t="shared" si="4"/>
        <v>43.815799999999996</v>
      </c>
      <c r="G33" s="80">
        <f t="shared" si="4"/>
        <v>46.575225</v>
      </c>
      <c r="H33" s="81">
        <f t="shared" si="4"/>
        <v>29.740657</v>
      </c>
      <c r="I33" s="80">
        <f t="shared" si="4"/>
        <v>29.128999999999998</v>
      </c>
      <c r="J33" s="80">
        <f t="shared" si="4"/>
        <v>26</v>
      </c>
      <c r="K33" s="80">
        <f t="shared" si="4"/>
        <v>17.1118</v>
      </c>
      <c r="L33" s="80">
        <v>42.85</v>
      </c>
      <c r="M33" s="80">
        <v>26.4</v>
      </c>
      <c r="N33" s="80">
        <v>25.9</v>
      </c>
      <c r="O33" s="80">
        <v>35.39</v>
      </c>
      <c r="P33" s="80">
        <v>42.0546</v>
      </c>
      <c r="Q33" s="85">
        <v>44.6</v>
      </c>
      <c r="R33" s="86">
        <v>40.699600000000004</v>
      </c>
      <c r="S33" s="85">
        <v>59.54600000000001</v>
      </c>
      <c r="T33" s="85" t="e">
        <f>T34+T35</f>
        <v>#REF!</v>
      </c>
      <c r="U33" s="85" t="e">
        <f>U34+U35</f>
        <v>#REF!</v>
      </c>
      <c r="V33" s="85" t="e">
        <f>V34+V35</f>
        <v>#REF!</v>
      </c>
      <c r="W33" s="85">
        <f>W34+W35</f>
        <v>26.6</v>
      </c>
    </row>
    <row r="34" spans="1:23" ht="15.75" customHeight="1">
      <c r="A34" s="50"/>
      <c r="B34" s="78" t="s">
        <v>113</v>
      </c>
      <c r="C34" s="80">
        <v>18.56427</v>
      </c>
      <c r="D34" s="80">
        <v>17.469408</v>
      </c>
      <c r="E34" s="80">
        <v>17.011412</v>
      </c>
      <c r="F34" s="80">
        <v>28.654639</v>
      </c>
      <c r="G34" s="80">
        <v>31.37349</v>
      </c>
      <c r="H34" s="81">
        <v>14.204419</v>
      </c>
      <c r="I34" s="80">
        <v>17.314</v>
      </c>
      <c r="J34" s="80">
        <v>11.9</v>
      </c>
      <c r="K34" s="80">
        <v>1.861</v>
      </c>
      <c r="L34" s="95">
        <v>23.6</v>
      </c>
      <c r="M34" s="96">
        <v>6.5</v>
      </c>
      <c r="N34" s="96">
        <v>1.4</v>
      </c>
      <c r="O34" s="96">
        <v>9.6</v>
      </c>
      <c r="P34" s="96">
        <v>10.1709</v>
      </c>
      <c r="Q34" s="97">
        <v>10</v>
      </c>
      <c r="R34" s="97">
        <v>22.5</v>
      </c>
      <c r="S34" s="97">
        <v>24.6</v>
      </c>
      <c r="T34" s="97" t="e">
        <f>#REF!</f>
        <v>#REF!</v>
      </c>
      <c r="U34" s="97" t="e">
        <f>#REF!</f>
        <v>#REF!</v>
      </c>
      <c r="V34" s="97" t="e">
        <f>+#REF!</f>
        <v>#REF!</v>
      </c>
      <c r="W34" s="97">
        <v>0</v>
      </c>
    </row>
    <row r="35" spans="1:34" ht="15.75" customHeight="1">
      <c r="A35" s="50"/>
      <c r="B35" s="78" t="s">
        <v>114</v>
      </c>
      <c r="C35" s="80">
        <f>(16.15*529.5)/1000</f>
        <v>8.551425</v>
      </c>
      <c r="D35" s="80">
        <f>(23.74*512.6)/1000</f>
        <v>12.169124</v>
      </c>
      <c r="E35" s="80">
        <f>(39.5*479.6)/1000</f>
        <v>18.944200000000002</v>
      </c>
      <c r="F35" s="80">
        <f>(33.91*447.1)/1000</f>
        <v>15.161161</v>
      </c>
      <c r="G35" s="80">
        <f>(31.97*475.5)/1000</f>
        <v>15.201735</v>
      </c>
      <c r="H35" s="81">
        <f>(31.38*495.1)/1000</f>
        <v>15.536237999999999</v>
      </c>
      <c r="I35" s="80">
        <v>11.815</v>
      </c>
      <c r="J35" s="80">
        <v>14.1</v>
      </c>
      <c r="K35" s="80">
        <v>15.2508</v>
      </c>
      <c r="L35" s="110">
        <v>19.25</v>
      </c>
      <c r="M35" s="80">
        <v>19.9</v>
      </c>
      <c r="N35" s="80">
        <v>24.5</v>
      </c>
      <c r="O35" s="80">
        <v>25.79</v>
      </c>
      <c r="P35" s="80">
        <v>31.8837</v>
      </c>
      <c r="Q35" s="85">
        <v>34.6</v>
      </c>
      <c r="R35" s="86">
        <v>18.1996</v>
      </c>
      <c r="S35" s="85">
        <v>34.946000000000005</v>
      </c>
      <c r="T35" s="85">
        <v>35.2</v>
      </c>
      <c r="U35" s="85">
        <f>T35</f>
        <v>35.2</v>
      </c>
      <c r="V35" s="85">
        <f>U35</f>
        <v>35.2</v>
      </c>
      <c r="W35" s="85">
        <v>26.6</v>
      </c>
      <c r="Y35" s="159">
        <v>2019</v>
      </c>
      <c r="Z35" s="159"/>
      <c r="AA35" s="160">
        <v>2020</v>
      </c>
      <c r="AB35" s="160"/>
      <c r="AC35" s="160">
        <v>2021</v>
      </c>
      <c r="AD35" s="160"/>
      <c r="AE35" s="160"/>
      <c r="AF35" s="160"/>
      <c r="AG35" s="160"/>
      <c r="AH35" s="160"/>
    </row>
    <row r="36" spans="1:34" s="87" customFormat="1" ht="15.75" customHeight="1">
      <c r="A36" s="89"/>
      <c r="B36" s="78" t="s">
        <v>115</v>
      </c>
      <c r="C36" s="80">
        <f aca="true" t="shared" si="5" ref="C36:K36">C37+C38</f>
        <v>24.034005</v>
      </c>
      <c r="D36" s="80">
        <f t="shared" si="5"/>
        <v>16.577114</v>
      </c>
      <c r="E36" s="80">
        <f t="shared" si="5"/>
        <v>15.44762</v>
      </c>
      <c r="F36" s="80">
        <f t="shared" si="5"/>
        <v>16.436859</v>
      </c>
      <c r="G36" s="80">
        <f t="shared" si="5"/>
        <v>33.279529999999994</v>
      </c>
      <c r="H36" s="81">
        <f t="shared" si="5"/>
        <v>490.4</v>
      </c>
      <c r="I36" s="80">
        <f t="shared" si="5"/>
        <v>26.958</v>
      </c>
      <c r="J36" s="80">
        <f t="shared" si="5"/>
        <v>15.863</v>
      </c>
      <c r="K36" s="80">
        <f t="shared" si="5"/>
        <v>15.8</v>
      </c>
      <c r="L36" s="80">
        <v>27.39592</v>
      </c>
      <c r="M36" s="80">
        <v>35.4</v>
      </c>
      <c r="N36" s="80">
        <v>29.6</v>
      </c>
      <c r="O36" s="80">
        <v>60.568</v>
      </c>
      <c r="P36" s="80">
        <v>23.4052</v>
      </c>
      <c r="Q36" s="85">
        <v>14.7</v>
      </c>
      <c r="R36" s="86">
        <v>15.6</v>
      </c>
      <c r="S36" s="85">
        <v>17.7</v>
      </c>
      <c r="T36" s="85" t="e">
        <f>T37+T38</f>
        <v>#REF!</v>
      </c>
      <c r="U36" s="85" t="e">
        <f>U37+U38</f>
        <v>#REF!</v>
      </c>
      <c r="V36" s="85" t="e">
        <f>V37+V38</f>
        <v>#REF!</v>
      </c>
      <c r="W36" s="85" t="e">
        <f>W37+W38</f>
        <v>#REF!</v>
      </c>
      <c r="Y36" s="111" t="s">
        <v>85</v>
      </c>
      <c r="Z36" s="111" t="s">
        <v>86</v>
      </c>
      <c r="AA36" s="111" t="s">
        <v>85</v>
      </c>
      <c r="AB36" s="111" t="s">
        <v>86</v>
      </c>
      <c r="AC36" s="111" t="s">
        <v>85</v>
      </c>
      <c r="AD36" s="111" t="s">
        <v>86</v>
      </c>
      <c r="AE36" s="111"/>
      <c r="AF36" s="111"/>
      <c r="AG36" s="111"/>
      <c r="AH36" s="111"/>
    </row>
    <row r="37" spans="1:30" s="87" customFormat="1" ht="15.75" customHeight="1">
      <c r="A37" s="89"/>
      <c r="B37" s="78" t="s">
        <v>116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3">
        <v>0</v>
      </c>
      <c r="I37" s="112">
        <v>0</v>
      </c>
      <c r="J37" s="112">
        <v>0</v>
      </c>
      <c r="K37" s="112">
        <v>0</v>
      </c>
      <c r="L37" s="112">
        <v>0</v>
      </c>
      <c r="M37" s="80">
        <v>0</v>
      </c>
      <c r="N37" s="80">
        <v>0</v>
      </c>
      <c r="O37" s="80">
        <v>-0.699</v>
      </c>
      <c r="P37" s="80">
        <v>-0.3913</v>
      </c>
      <c r="Q37" s="85">
        <v>0</v>
      </c>
      <c r="R37" s="86">
        <v>0</v>
      </c>
      <c r="S37" s="85">
        <v>0</v>
      </c>
      <c r="T37" s="85">
        <v>0</v>
      </c>
      <c r="U37" s="85">
        <v>0</v>
      </c>
      <c r="V37" s="85">
        <v>0</v>
      </c>
      <c r="W37" s="85">
        <v>6</v>
      </c>
      <c r="Y37" s="87">
        <v>22.69</v>
      </c>
      <c r="Z37" s="87">
        <v>13.762</v>
      </c>
      <c r="AA37" s="87">
        <v>34.599</v>
      </c>
      <c r="AB37" s="87">
        <v>17.129</v>
      </c>
      <c r="AC37" s="87">
        <v>40026</v>
      </c>
      <c r="AD37" s="87">
        <v>24027</v>
      </c>
    </row>
    <row r="38" spans="1:30" s="87" customFormat="1" ht="15.75" customHeight="1">
      <c r="A38" s="89"/>
      <c r="B38" s="78" t="s">
        <v>117</v>
      </c>
      <c r="C38" s="80">
        <f aca="true" t="shared" si="6" ref="C38:K38">C39+C42</f>
        <v>24.034005</v>
      </c>
      <c r="D38" s="80">
        <f t="shared" si="6"/>
        <v>16.577114</v>
      </c>
      <c r="E38" s="80">
        <f t="shared" si="6"/>
        <v>15.44762</v>
      </c>
      <c r="F38" s="80">
        <f t="shared" si="6"/>
        <v>16.436859</v>
      </c>
      <c r="G38" s="80">
        <f t="shared" si="6"/>
        <v>33.279529999999994</v>
      </c>
      <c r="H38" s="81">
        <f t="shared" si="6"/>
        <v>490.4</v>
      </c>
      <c r="I38" s="80">
        <f t="shared" si="6"/>
        <v>26.958</v>
      </c>
      <c r="J38" s="80">
        <f t="shared" si="6"/>
        <v>15.863</v>
      </c>
      <c r="K38" s="80">
        <f t="shared" si="6"/>
        <v>15.8</v>
      </c>
      <c r="L38" s="80">
        <v>27.39592</v>
      </c>
      <c r="M38" s="80">
        <v>35.4</v>
      </c>
      <c r="N38" s="80">
        <v>29.6</v>
      </c>
      <c r="O38" s="80">
        <v>61.266999999999996</v>
      </c>
      <c r="P38" s="80">
        <v>23.7965</v>
      </c>
      <c r="Q38" s="85">
        <v>14.7</v>
      </c>
      <c r="R38" s="86">
        <v>15.6</v>
      </c>
      <c r="S38" s="85">
        <v>17.7</v>
      </c>
      <c r="T38" s="85" t="e">
        <f>T39+T42</f>
        <v>#REF!</v>
      </c>
      <c r="U38" s="85" t="e">
        <f>U39+U42</f>
        <v>#REF!</v>
      </c>
      <c r="V38" s="85" t="e">
        <f>V39+V42</f>
        <v>#REF!</v>
      </c>
      <c r="W38" s="85" t="e">
        <f>W39+W42</f>
        <v>#REF!</v>
      </c>
      <c r="X38" s="87" t="s">
        <v>89</v>
      </c>
      <c r="Y38" s="87">
        <v>14.465</v>
      </c>
      <c r="Z38" s="87">
        <v>11.697</v>
      </c>
      <c r="AA38" s="87">
        <v>15.042</v>
      </c>
      <c r="AB38" s="87">
        <v>13.2</v>
      </c>
      <c r="AC38" s="87">
        <v>15471</v>
      </c>
      <c r="AD38" s="87">
        <v>19009</v>
      </c>
    </row>
    <row r="39" spans="1:30" s="87" customFormat="1" ht="15.75" customHeight="1">
      <c r="A39" s="89"/>
      <c r="B39" s="78" t="s">
        <v>113</v>
      </c>
      <c r="C39" s="80">
        <f aca="true" t="shared" si="7" ref="C39:K39">C40+C41</f>
        <v>22.0272</v>
      </c>
      <c r="D39" s="80">
        <f t="shared" si="7"/>
        <v>15.105952</v>
      </c>
      <c r="E39" s="80">
        <f t="shared" si="7"/>
        <v>15.409252</v>
      </c>
      <c r="F39" s="80">
        <f t="shared" si="7"/>
        <v>16.436859</v>
      </c>
      <c r="G39" s="80">
        <f t="shared" si="7"/>
        <v>32.3</v>
      </c>
      <c r="H39" s="81">
        <f t="shared" si="7"/>
        <v>489.4</v>
      </c>
      <c r="I39" s="80">
        <f t="shared" si="7"/>
        <v>25.7</v>
      </c>
      <c r="J39" s="80">
        <f t="shared" si="7"/>
        <v>15.863</v>
      </c>
      <c r="K39" s="80">
        <f t="shared" si="7"/>
        <v>15.8</v>
      </c>
      <c r="L39" s="80">
        <v>26.1</v>
      </c>
      <c r="M39" s="80">
        <v>34.8</v>
      </c>
      <c r="N39" s="80">
        <v>28.1</v>
      </c>
      <c r="O39" s="80">
        <v>59.867</v>
      </c>
      <c r="P39" s="80">
        <v>22.1401</v>
      </c>
      <c r="Q39" s="85">
        <v>14.5</v>
      </c>
      <c r="R39" s="86">
        <v>15</v>
      </c>
      <c r="S39" s="85">
        <v>15.5</v>
      </c>
      <c r="T39" s="85" t="e">
        <f>T40+T41</f>
        <v>#REF!</v>
      </c>
      <c r="U39" s="85" t="e">
        <f>U40+U41</f>
        <v>#REF!</v>
      </c>
      <c r="V39" s="85" t="e">
        <f>V40+V41</f>
        <v>#REF!</v>
      </c>
      <c r="W39" s="85" t="e">
        <f>W40+W41</f>
        <v>#REF!</v>
      </c>
      <c r="X39" s="87" t="s">
        <v>118</v>
      </c>
      <c r="Y39" s="87">
        <v>8.145</v>
      </c>
      <c r="Z39" s="87">
        <v>2.065</v>
      </c>
      <c r="AA39" s="87">
        <v>19.558</v>
      </c>
      <c r="AB39" s="87">
        <f>AB37-AB38</f>
        <v>3.929000000000002</v>
      </c>
      <c r="AC39" s="87">
        <f>AC37-AC38</f>
        <v>24555</v>
      </c>
      <c r="AD39" s="87">
        <f>AD37-AD38</f>
        <v>5018</v>
      </c>
    </row>
    <row r="40" spans="1:23" ht="15.75" customHeight="1">
      <c r="A40" s="50"/>
      <c r="B40" s="109" t="s">
        <v>119</v>
      </c>
      <c r="C40" s="114">
        <f>(9.33*529.5)/1000</f>
        <v>4.9402349999999995</v>
      </c>
      <c r="D40" s="114">
        <v>5.1</v>
      </c>
      <c r="E40" s="114">
        <v>5.4</v>
      </c>
      <c r="F40" s="114">
        <v>2</v>
      </c>
      <c r="G40" s="114">
        <v>2.1</v>
      </c>
      <c r="H40" s="115">
        <v>454</v>
      </c>
      <c r="I40" s="114">
        <v>0</v>
      </c>
      <c r="J40" s="114">
        <v>0</v>
      </c>
      <c r="K40" s="114">
        <v>0</v>
      </c>
      <c r="L40" s="114">
        <v>0</v>
      </c>
      <c r="M40" s="96">
        <v>0</v>
      </c>
      <c r="N40" s="96">
        <v>0</v>
      </c>
      <c r="O40" s="96">
        <v>25</v>
      </c>
      <c r="P40" s="96">
        <v>0</v>
      </c>
      <c r="Q40" s="97">
        <v>0</v>
      </c>
      <c r="R40" s="98">
        <v>0</v>
      </c>
      <c r="S40" s="97">
        <v>0</v>
      </c>
      <c r="T40" s="97" t="e">
        <f>+#REF!</f>
        <v>#REF!</v>
      </c>
      <c r="U40" s="97" t="e">
        <f>+#REF!</f>
        <v>#REF!</v>
      </c>
      <c r="V40" s="97" t="e">
        <f>+#REF!</f>
        <v>#REF!</v>
      </c>
      <c r="W40" s="97" t="e">
        <f>+#REF!</f>
        <v>#REF!</v>
      </c>
    </row>
    <row r="41" spans="1:25" ht="15.75" customHeight="1">
      <c r="A41" s="50"/>
      <c r="B41" s="109" t="s">
        <v>120</v>
      </c>
      <c r="C41" s="96">
        <v>17.086965</v>
      </c>
      <c r="D41" s="96">
        <v>10.005952</v>
      </c>
      <c r="E41" s="96">
        <v>10.009252</v>
      </c>
      <c r="F41" s="96">
        <v>14.436859</v>
      </c>
      <c r="G41" s="96">
        <v>30.2</v>
      </c>
      <c r="H41" s="107">
        <v>35.4</v>
      </c>
      <c r="I41" s="96">
        <v>25.7</v>
      </c>
      <c r="J41" s="96">
        <v>15.863</v>
      </c>
      <c r="K41" s="96">
        <v>15.8</v>
      </c>
      <c r="L41" s="96">
        <v>26.1</v>
      </c>
      <c r="M41" s="96">
        <v>34.8</v>
      </c>
      <c r="N41" s="96">
        <v>28.1</v>
      </c>
      <c r="O41" s="96">
        <v>34.867</v>
      </c>
      <c r="P41" s="96">
        <v>22.1401</v>
      </c>
      <c r="Q41" s="97">
        <v>14.5</v>
      </c>
      <c r="R41" s="97">
        <v>15</v>
      </c>
      <c r="S41" s="97">
        <v>15.5</v>
      </c>
      <c r="T41" s="97" t="e">
        <f>#REF!</f>
        <v>#REF!</v>
      </c>
      <c r="U41" s="97" t="e">
        <f>#REF!</f>
        <v>#REF!</v>
      </c>
      <c r="V41" s="97" t="e">
        <f>#REF!</f>
        <v>#REF!</v>
      </c>
      <c r="W41" s="97">
        <v>0</v>
      </c>
      <c r="Y41" s="86">
        <f>1.5*590*1000000000</f>
        <v>885000000000</v>
      </c>
    </row>
    <row r="42" spans="1:23" s="87" customFormat="1" ht="15.75" customHeight="1">
      <c r="A42" s="89"/>
      <c r="B42" s="78" t="s">
        <v>114</v>
      </c>
      <c r="C42" s="112">
        <f>(3.79*529.5)/1000</f>
        <v>2.006805</v>
      </c>
      <c r="D42" s="112">
        <f>(2.87*512.6)/1000</f>
        <v>1.471162</v>
      </c>
      <c r="E42" s="112">
        <f>(0.08*479.6)/1000</f>
        <v>0.038368</v>
      </c>
      <c r="F42" s="112">
        <v>0</v>
      </c>
      <c r="G42" s="112">
        <f>(2.06*475.5)/1000</f>
        <v>0.97953</v>
      </c>
      <c r="H42" s="113">
        <v>1</v>
      </c>
      <c r="I42" s="112">
        <v>1.258</v>
      </c>
      <c r="J42" s="112">
        <v>0</v>
      </c>
      <c r="K42" s="112">
        <v>0</v>
      </c>
      <c r="L42" s="112">
        <v>1.29592</v>
      </c>
      <c r="M42" s="80">
        <v>0.6</v>
      </c>
      <c r="N42" s="80">
        <v>1.5</v>
      </c>
      <c r="O42" s="80">
        <v>1.4</v>
      </c>
      <c r="P42" s="80">
        <v>1.6564</v>
      </c>
      <c r="Q42" s="85">
        <v>0.2</v>
      </c>
      <c r="R42" s="86">
        <v>0.6</v>
      </c>
      <c r="S42" s="85">
        <v>2.2</v>
      </c>
      <c r="T42" s="85">
        <v>3.2</v>
      </c>
      <c r="U42" s="85">
        <v>4.2</v>
      </c>
      <c r="V42" s="85">
        <v>5.2</v>
      </c>
      <c r="W42" s="85">
        <v>6.2</v>
      </c>
    </row>
    <row r="43" spans="1:23" s="87" customFormat="1" ht="31.5" customHeight="1">
      <c r="A43" s="89"/>
      <c r="B43" s="78" t="s">
        <v>121</v>
      </c>
      <c r="C43" s="116">
        <f aca="true" t="shared" si="8" ref="C43:K43">C8+C36</f>
        <v>18.495435</v>
      </c>
      <c r="D43" s="116">
        <f t="shared" si="8"/>
        <v>-3.9678939999999905</v>
      </c>
      <c r="E43" s="116">
        <f t="shared" si="8"/>
        <v>0.757472000000007</v>
      </c>
      <c r="F43" s="116">
        <f t="shared" si="8"/>
        <v>3.5737920000000045</v>
      </c>
      <c r="G43" s="116">
        <f t="shared" si="8"/>
        <v>10.650485000000003</v>
      </c>
      <c r="H43" s="117">
        <f t="shared" si="8"/>
        <v>455.38199157574553</v>
      </c>
      <c r="I43" s="116">
        <f t="shared" si="8"/>
        <v>20.36007594469404</v>
      </c>
      <c r="J43" s="116">
        <f t="shared" si="8"/>
        <v>-26.642351997000006</v>
      </c>
      <c r="K43" s="116">
        <f t="shared" si="8"/>
        <v>-10.142099999999985</v>
      </c>
      <c r="L43" s="116">
        <v>30.509500000000006</v>
      </c>
      <c r="M43" s="80">
        <v>47.8</v>
      </c>
      <c r="N43" s="80">
        <v>39.6</v>
      </c>
      <c r="O43" s="80">
        <v>62.814000000000014</v>
      </c>
      <c r="P43" s="80">
        <v>-6.670420000000021</v>
      </c>
      <c r="Q43" s="85">
        <v>-58.17150202814237</v>
      </c>
      <c r="R43" s="86">
        <v>-86.19661199999999</v>
      </c>
      <c r="S43" s="85">
        <v>-14.957121226428445</v>
      </c>
      <c r="T43" s="85" t="e">
        <f>T8+T36</f>
        <v>#REF!</v>
      </c>
      <c r="U43" s="85" t="e">
        <f>U8+U36</f>
        <v>#REF!</v>
      </c>
      <c r="V43" s="85" t="e">
        <f>V8+V36</f>
        <v>#REF!</v>
      </c>
      <c r="W43" s="85" t="e">
        <f>W8+W36</f>
        <v>#REF!</v>
      </c>
    </row>
    <row r="44" spans="1:23" s="87" customFormat="1" ht="15.75" customHeight="1">
      <c r="A44" s="89"/>
      <c r="B44" s="78" t="s">
        <v>122</v>
      </c>
      <c r="C44" s="80">
        <f aca="true" t="shared" si="9" ref="C44:K44">C45+C46+C47+C48</f>
        <v>7.862640000000001</v>
      </c>
      <c r="D44" s="80">
        <f t="shared" si="9"/>
        <v>-6.306038000000001</v>
      </c>
      <c r="E44" s="80">
        <f t="shared" si="9"/>
        <v>-13.2925</v>
      </c>
      <c r="F44" s="80">
        <f t="shared" si="9"/>
        <v>-7.419563000000001</v>
      </c>
      <c r="G44" s="80">
        <f t="shared" si="9"/>
        <v>-3.7260050000000007</v>
      </c>
      <c r="H44" s="81">
        <f t="shared" si="9"/>
        <v>441.025339</v>
      </c>
      <c r="I44" s="80">
        <f t="shared" si="9"/>
        <v>-8.713033524844754</v>
      </c>
      <c r="J44" s="80">
        <f t="shared" si="9"/>
        <v>1.7518000000000007</v>
      </c>
      <c r="K44" s="80">
        <f t="shared" si="9"/>
        <v>-15.9069</v>
      </c>
      <c r="L44" s="80">
        <v>-39.5915</v>
      </c>
      <c r="M44" s="80">
        <v>4.128599999999999</v>
      </c>
      <c r="N44" s="80">
        <v>-6.681799999999999</v>
      </c>
      <c r="O44" s="80">
        <v>35.2927</v>
      </c>
      <c r="P44" s="80">
        <v>-19.5927</v>
      </c>
      <c r="Q44" s="85">
        <v>-36.32</v>
      </c>
      <c r="R44" s="86">
        <v>-85.552</v>
      </c>
      <c r="S44" s="85">
        <v>-5.699999999999999</v>
      </c>
      <c r="T44" s="85" t="e">
        <f>T45+T46+T47+T48</f>
        <v>#REF!</v>
      </c>
      <c r="U44" s="85" t="e">
        <f>U45+U46+U47+U48</f>
        <v>#REF!</v>
      </c>
      <c r="V44" s="85" t="e">
        <f>V45+V46+V47+V48</f>
        <v>#REF!</v>
      </c>
      <c r="W44" s="85" t="e">
        <f>W45+W46+W47+W48</f>
        <v>#REF!</v>
      </c>
    </row>
    <row r="45" spans="1:26" s="87" customFormat="1" ht="15.75" customHeight="1">
      <c r="A45" s="89"/>
      <c r="B45" s="78" t="s">
        <v>123</v>
      </c>
      <c r="C45" s="112">
        <v>-4.230705</v>
      </c>
      <c r="D45" s="112">
        <v>-9.119154</v>
      </c>
      <c r="E45" s="112">
        <v>-8.9925</v>
      </c>
      <c r="F45" s="112">
        <v>-2.669187</v>
      </c>
      <c r="G45" s="112">
        <v>-8.34027</v>
      </c>
      <c r="H45" s="113">
        <v>-13.719221</v>
      </c>
      <c r="I45" s="112">
        <v>-11.403</v>
      </c>
      <c r="J45" s="112">
        <v>-3.4582</v>
      </c>
      <c r="K45" s="112">
        <v>-9.7019</v>
      </c>
      <c r="L45" s="112">
        <v>-11.956615115000004</v>
      </c>
      <c r="M45" s="80">
        <v>-15.057220000000001</v>
      </c>
      <c r="N45" s="80">
        <v>-11.1818</v>
      </c>
      <c r="O45" s="80">
        <v>-8.313143999999996</v>
      </c>
      <c r="P45" s="80">
        <v>-11.6472</v>
      </c>
      <c r="Q45" s="85">
        <v>-37.25</v>
      </c>
      <c r="R45" s="86">
        <v>-7</v>
      </c>
      <c r="S45" s="85">
        <v>-13</v>
      </c>
      <c r="T45" s="85">
        <v>-15.6</v>
      </c>
      <c r="U45" s="85">
        <v>-15.6</v>
      </c>
      <c r="V45" s="85">
        <v>-15.6</v>
      </c>
      <c r="W45" s="85">
        <v>-4.1</v>
      </c>
      <c r="Y45" s="118"/>
      <c r="Z45" s="118"/>
    </row>
    <row r="46" spans="1:26" s="87" customFormat="1" ht="15.75" customHeight="1">
      <c r="A46" s="89"/>
      <c r="B46" s="78" t="s">
        <v>124</v>
      </c>
      <c r="C46" s="112">
        <v>-1.106655</v>
      </c>
      <c r="D46" s="112">
        <v>-0.686884</v>
      </c>
      <c r="E46" s="112">
        <v>-2.9</v>
      </c>
      <c r="F46" s="112">
        <v>-0.250376</v>
      </c>
      <c r="G46" s="112">
        <v>0.014265</v>
      </c>
      <c r="H46" s="113">
        <v>0.04456</v>
      </c>
      <c r="I46" s="112">
        <v>-0.0161</v>
      </c>
      <c r="J46" s="112">
        <v>0</v>
      </c>
      <c r="K46" s="112">
        <v>0</v>
      </c>
      <c r="L46" s="112">
        <v>0.139</v>
      </c>
      <c r="M46" s="80">
        <v>-4.96</v>
      </c>
      <c r="N46" s="80">
        <v>-10.8</v>
      </c>
      <c r="O46" s="80">
        <v>-8.478</v>
      </c>
      <c r="P46" s="80">
        <v>-18.2429</v>
      </c>
      <c r="Q46" s="85">
        <v>-13</v>
      </c>
      <c r="R46" s="86">
        <v>-48.5</v>
      </c>
      <c r="S46" s="85">
        <v>-15.5</v>
      </c>
      <c r="T46" s="85">
        <v>-15.5</v>
      </c>
      <c r="U46" s="85">
        <v>15.5</v>
      </c>
      <c r="V46" s="85">
        <v>-3</v>
      </c>
      <c r="W46" s="85">
        <v>-2</v>
      </c>
      <c r="Y46" s="118"/>
      <c r="Z46" s="118"/>
    </row>
    <row r="47" spans="1:26" s="87" customFormat="1" ht="15.75" customHeight="1">
      <c r="A47" s="89"/>
      <c r="B47" s="78" t="s">
        <v>125</v>
      </c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1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5">
        <v>0</v>
      </c>
      <c r="R47" s="86">
        <v>0</v>
      </c>
      <c r="S47" s="85">
        <v>0</v>
      </c>
      <c r="T47" s="85">
        <v>0</v>
      </c>
      <c r="U47" s="85">
        <v>0</v>
      </c>
      <c r="V47" s="85">
        <v>5</v>
      </c>
      <c r="W47" s="85">
        <v>6</v>
      </c>
      <c r="Z47" s="119"/>
    </row>
    <row r="48" spans="1:26" s="87" customFormat="1" ht="15.75" customHeight="1">
      <c r="A48" s="89"/>
      <c r="B48" s="78" t="s">
        <v>126</v>
      </c>
      <c r="C48" s="80">
        <f aca="true" t="shared" si="10" ref="C48:K48">C49+C55</f>
        <v>13.200000000000001</v>
      </c>
      <c r="D48" s="80">
        <f t="shared" si="10"/>
        <v>3.5</v>
      </c>
      <c r="E48" s="80">
        <f t="shared" si="10"/>
        <v>-1.4000000000000004</v>
      </c>
      <c r="F48" s="80">
        <f t="shared" si="10"/>
        <v>-4.500000000000001</v>
      </c>
      <c r="G48" s="80">
        <f t="shared" si="10"/>
        <v>4.6</v>
      </c>
      <c r="H48" s="81">
        <f t="shared" si="10"/>
        <v>454.7</v>
      </c>
      <c r="I48" s="80">
        <f t="shared" si="10"/>
        <v>2.7060664751552466</v>
      </c>
      <c r="J48" s="80">
        <f t="shared" si="10"/>
        <v>5.210000000000001</v>
      </c>
      <c r="K48" s="80">
        <f t="shared" si="10"/>
        <v>-6.205</v>
      </c>
      <c r="L48" s="80">
        <v>-27.773884885</v>
      </c>
      <c r="M48" s="80">
        <v>24.14582</v>
      </c>
      <c r="N48" s="80">
        <v>15.3</v>
      </c>
      <c r="O48" s="80">
        <v>52.083844</v>
      </c>
      <c r="P48" s="80">
        <v>10.297399999999996</v>
      </c>
      <c r="Q48" s="85">
        <v>13.93</v>
      </c>
      <c r="R48" s="86">
        <v>-30.052000000000003</v>
      </c>
      <c r="S48" s="85">
        <v>22.8</v>
      </c>
      <c r="T48" s="85" t="e">
        <f>T49+T55</f>
        <v>#REF!</v>
      </c>
      <c r="U48" s="85" t="e">
        <f>U49+U55</f>
        <v>#REF!</v>
      </c>
      <c r="V48" s="85" t="e">
        <f>V49+V55</f>
        <v>#REF!</v>
      </c>
      <c r="W48" s="85" t="e">
        <f>W49+W55</f>
        <v>#REF!</v>
      </c>
      <c r="Y48" s="118"/>
      <c r="Z48" s="119"/>
    </row>
    <row r="49" spans="1:23" s="87" customFormat="1" ht="15.75" customHeight="1">
      <c r="A49" s="89"/>
      <c r="B49" s="78" t="s">
        <v>113</v>
      </c>
      <c r="C49" s="112">
        <v>-13.4</v>
      </c>
      <c r="D49" s="112">
        <v>-2</v>
      </c>
      <c r="E49" s="112">
        <v>-4.4</v>
      </c>
      <c r="F49" s="112">
        <v>-9.8</v>
      </c>
      <c r="G49" s="112">
        <v>-3</v>
      </c>
      <c r="H49" s="112">
        <f>-SUM(H50:H54)</f>
        <v>450.7</v>
      </c>
      <c r="I49" s="112">
        <f>-SUM(I50:I54)</f>
        <v>-9.836733524844753</v>
      </c>
      <c r="J49" s="112">
        <f>-SUM(J50:J54)</f>
        <v>-7.59</v>
      </c>
      <c r="K49" s="112">
        <f>-SUM(K50:K54)</f>
        <v>-12.4353</v>
      </c>
      <c r="L49" s="112">
        <v>-24.094984885000002</v>
      </c>
      <c r="M49" s="80">
        <v>-12.05418</v>
      </c>
      <c r="N49" s="80">
        <v>-12</v>
      </c>
      <c r="O49" s="80">
        <v>14.757844</v>
      </c>
      <c r="P49" s="80">
        <v>-23.9371</v>
      </c>
      <c r="Q49" s="85">
        <v>-13.37</v>
      </c>
      <c r="R49" s="86">
        <v>-57.252</v>
      </c>
      <c r="S49" s="85">
        <v>0.5</v>
      </c>
      <c r="T49" s="85" t="e">
        <f>-SUM(T50:T54)</f>
        <v>#REF!</v>
      </c>
      <c r="U49" s="85" t="e">
        <f>-SUM(U50:U54)</f>
        <v>#REF!</v>
      </c>
      <c r="V49" s="85" t="e">
        <f>-SUM(V50:V54)</f>
        <v>#REF!</v>
      </c>
      <c r="W49" s="85" t="e">
        <f>-SUM(W50:W54)</f>
        <v>#REF!</v>
      </c>
    </row>
    <row r="50" spans="1:24" ht="15.75" customHeight="1">
      <c r="A50" s="50"/>
      <c r="B50" s="106" t="s">
        <v>127</v>
      </c>
      <c r="C50" s="96">
        <v>13.8</v>
      </c>
      <c r="D50" s="96">
        <v>4.7</v>
      </c>
      <c r="E50" s="96">
        <v>8.8</v>
      </c>
      <c r="F50" s="96">
        <v>11.4</v>
      </c>
      <c r="G50" s="96">
        <v>5.1</v>
      </c>
      <c r="H50" s="107">
        <v>4.7</v>
      </c>
      <c r="I50" s="96">
        <v>10.2</v>
      </c>
      <c r="J50" s="96">
        <v>7.6</v>
      </c>
      <c r="K50" s="96">
        <v>12.5353</v>
      </c>
      <c r="L50" s="96">
        <v>24.934</v>
      </c>
      <c r="M50" s="96">
        <v>13.05418</v>
      </c>
      <c r="N50" s="96">
        <v>13.5</v>
      </c>
      <c r="O50" s="96">
        <v>12.730631</v>
      </c>
      <c r="P50" s="96">
        <v>29.19235</v>
      </c>
      <c r="Q50" s="97">
        <v>13.8</v>
      </c>
      <c r="R50" s="86">
        <v>61.492000000000004</v>
      </c>
      <c r="S50" s="97">
        <v>20.1</v>
      </c>
      <c r="T50" s="97">
        <v>23.3</v>
      </c>
      <c r="U50" s="97">
        <v>20.5</v>
      </c>
      <c r="V50" s="97" t="e">
        <f>+#REF!</f>
        <v>#REF!</v>
      </c>
      <c r="W50" s="97">
        <v>0</v>
      </c>
      <c r="X50" s="120"/>
    </row>
    <row r="51" spans="1:24" ht="15.75" customHeight="1">
      <c r="A51" s="50"/>
      <c r="B51" s="106" t="s">
        <v>128</v>
      </c>
      <c r="C51" s="121">
        <v>19.4</v>
      </c>
      <c r="D51" s="96">
        <v>14.7</v>
      </c>
      <c r="E51" s="96">
        <v>9</v>
      </c>
      <c r="F51" s="96">
        <v>11.2</v>
      </c>
      <c r="G51" s="96">
        <v>8.6</v>
      </c>
      <c r="H51" s="107">
        <v>0</v>
      </c>
      <c r="I51" s="96">
        <v>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96">
        <v>0</v>
      </c>
      <c r="P51" s="96">
        <v>-2.05525</v>
      </c>
      <c r="Q51" s="97">
        <v>3.77</v>
      </c>
      <c r="R51" s="86">
        <v>0</v>
      </c>
      <c r="S51" s="97">
        <v>0</v>
      </c>
      <c r="T51" s="97" t="e">
        <f>+#REF!</f>
        <v>#REF!</v>
      </c>
      <c r="U51" s="97" t="e">
        <f>+#REF!</f>
        <v>#REF!</v>
      </c>
      <c r="V51" s="97" t="e">
        <f>+#REF!</f>
        <v>#REF!</v>
      </c>
      <c r="W51" s="97" t="e">
        <f>+#REF!</f>
        <v>#REF!</v>
      </c>
      <c r="X51" s="122"/>
    </row>
    <row r="52" spans="1:24" ht="15.75" customHeight="1">
      <c r="A52" s="50"/>
      <c r="B52" s="106" t="s">
        <v>129</v>
      </c>
      <c r="C52" s="96">
        <v>0</v>
      </c>
      <c r="D52" s="96">
        <v>0</v>
      </c>
      <c r="E52" s="96">
        <v>0</v>
      </c>
      <c r="F52" s="96">
        <v>0</v>
      </c>
      <c r="G52" s="96">
        <v>0</v>
      </c>
      <c r="H52" s="107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7">
        <v>0</v>
      </c>
      <c r="R52" s="86">
        <v>0</v>
      </c>
      <c r="S52" s="97">
        <v>0</v>
      </c>
      <c r="T52" s="97">
        <v>0</v>
      </c>
      <c r="U52" s="97">
        <v>0</v>
      </c>
      <c r="V52" s="97">
        <v>5</v>
      </c>
      <c r="W52" s="97">
        <v>6</v>
      </c>
      <c r="X52" s="122"/>
    </row>
    <row r="53" spans="1:23" ht="15.75" customHeight="1">
      <c r="A53" s="50"/>
      <c r="B53" s="106" t="s">
        <v>130</v>
      </c>
      <c r="C53" s="96">
        <v>0</v>
      </c>
      <c r="D53" s="96">
        <v>0</v>
      </c>
      <c r="E53" s="96">
        <v>0</v>
      </c>
      <c r="F53" s="96">
        <v>0</v>
      </c>
      <c r="G53" s="96">
        <v>0</v>
      </c>
      <c r="H53" s="107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7">
        <v>0</v>
      </c>
      <c r="R53" s="86">
        <v>0</v>
      </c>
      <c r="S53" s="97">
        <v>0</v>
      </c>
      <c r="T53" s="97">
        <v>0</v>
      </c>
      <c r="U53" s="97">
        <v>0</v>
      </c>
      <c r="V53" s="97">
        <v>0</v>
      </c>
      <c r="W53" s="97">
        <v>0</v>
      </c>
    </row>
    <row r="54" spans="1:23" ht="15.75" customHeight="1">
      <c r="A54" s="50"/>
      <c r="B54" s="106" t="s">
        <v>131</v>
      </c>
      <c r="C54" s="96">
        <v>-0.400000000000002</v>
      </c>
      <c r="D54" s="96">
        <v>-2.7</v>
      </c>
      <c r="E54" s="96">
        <v>-4.4</v>
      </c>
      <c r="F54" s="96">
        <v>-1.6</v>
      </c>
      <c r="G54" s="96">
        <v>-2.1</v>
      </c>
      <c r="H54" s="107">
        <v>-455.4</v>
      </c>
      <c r="I54" s="96">
        <v>-0.363266475155247</v>
      </c>
      <c r="J54" s="96">
        <v>-0.01</v>
      </c>
      <c r="K54" s="96">
        <v>-0.1</v>
      </c>
      <c r="L54" s="96">
        <v>-0.839015115</v>
      </c>
      <c r="M54" s="96">
        <v>-1</v>
      </c>
      <c r="N54" s="96">
        <v>-1.5</v>
      </c>
      <c r="O54" s="96">
        <v>-27.488475</v>
      </c>
      <c r="P54" s="96">
        <v>-3.2</v>
      </c>
      <c r="Q54" s="97">
        <v>-4.2</v>
      </c>
      <c r="R54" s="86">
        <v>-4.24</v>
      </c>
      <c r="S54" s="97">
        <v>-20.6</v>
      </c>
      <c r="T54" s="97">
        <v>-10</v>
      </c>
      <c r="U54" s="97">
        <v>-8</v>
      </c>
      <c r="V54" s="97">
        <f>35*V74/1000</f>
        <v>19.306</v>
      </c>
      <c r="W54" s="97">
        <f>35*W74/1000</f>
        <v>19.341</v>
      </c>
    </row>
    <row r="55" spans="1:23" ht="15.75" customHeight="1">
      <c r="A55" s="50"/>
      <c r="B55" s="78" t="s">
        <v>114</v>
      </c>
      <c r="C55" s="123">
        <v>26.6</v>
      </c>
      <c r="D55" s="112">
        <v>5.5</v>
      </c>
      <c r="E55" s="112">
        <v>3</v>
      </c>
      <c r="F55" s="112">
        <v>5.3</v>
      </c>
      <c r="G55" s="112">
        <v>7.6</v>
      </c>
      <c r="H55" s="113">
        <v>4</v>
      </c>
      <c r="I55" s="112">
        <v>12.5428</v>
      </c>
      <c r="J55" s="112">
        <v>12.8</v>
      </c>
      <c r="K55" s="112">
        <v>6.2303</v>
      </c>
      <c r="L55" s="112">
        <v>-3.6789</v>
      </c>
      <c r="M55" s="80">
        <v>36.2</v>
      </c>
      <c r="N55" s="80">
        <v>27.3</v>
      </c>
      <c r="O55" s="80">
        <v>37.326</v>
      </c>
      <c r="P55" s="80">
        <v>34.2345</v>
      </c>
      <c r="Q55" s="85">
        <v>27.3</v>
      </c>
      <c r="R55" s="86">
        <v>27.2</v>
      </c>
      <c r="S55" s="85">
        <v>22.3</v>
      </c>
      <c r="T55" s="85">
        <v>15</v>
      </c>
      <c r="U55" s="85">
        <v>10</v>
      </c>
      <c r="V55" s="85">
        <v>10</v>
      </c>
      <c r="W55" s="85">
        <v>26.1</v>
      </c>
    </row>
    <row r="56" spans="1:23" ht="15.75" customHeight="1">
      <c r="A56" s="50"/>
      <c r="B56" s="78" t="s">
        <v>132</v>
      </c>
      <c r="C56" s="80">
        <f aca="true" t="shared" si="11" ref="C56:K56">SUM(C57:C60)</f>
        <v>24.340235</v>
      </c>
      <c r="D56" s="80">
        <f t="shared" si="11"/>
        <v>20.799999999999997</v>
      </c>
      <c r="E56" s="80">
        <f t="shared" si="11"/>
        <v>16.4</v>
      </c>
      <c r="F56" s="80">
        <f t="shared" si="11"/>
        <v>16.2</v>
      </c>
      <c r="G56" s="80">
        <f t="shared" si="11"/>
        <v>14.7</v>
      </c>
      <c r="H56" s="81">
        <f t="shared" si="11"/>
        <v>459</v>
      </c>
      <c r="I56" s="80">
        <f t="shared" si="11"/>
        <v>0</v>
      </c>
      <c r="J56" s="80">
        <f t="shared" si="11"/>
        <v>0</v>
      </c>
      <c r="K56" s="80">
        <f t="shared" si="11"/>
        <v>0</v>
      </c>
      <c r="L56" s="80">
        <v>0</v>
      </c>
      <c r="M56" s="80">
        <v>0</v>
      </c>
      <c r="N56" s="80">
        <v>0</v>
      </c>
      <c r="O56" s="80">
        <v>25</v>
      </c>
      <c r="P56" s="80">
        <v>-2.05525</v>
      </c>
      <c r="Q56" s="80">
        <v>-3.8</v>
      </c>
      <c r="R56" s="86">
        <v>0</v>
      </c>
      <c r="S56" s="85">
        <v>0</v>
      </c>
      <c r="T56" s="85">
        <v>0</v>
      </c>
      <c r="U56" s="85" t="e">
        <f>SUM(U57:U60)</f>
        <v>#REF!</v>
      </c>
      <c r="V56" s="85" t="e">
        <f>SUM(V57:V60)</f>
        <v>#REF!</v>
      </c>
      <c r="W56" s="85" t="e">
        <f>SUM(W57:W60)</f>
        <v>#REF!</v>
      </c>
    </row>
    <row r="57" spans="1:23" ht="15.75" customHeight="1">
      <c r="A57" s="50"/>
      <c r="B57" s="106" t="s">
        <v>128</v>
      </c>
      <c r="C57" s="121">
        <f aca="true" t="shared" si="12" ref="C57:H57">C51</f>
        <v>19.4</v>
      </c>
      <c r="D57" s="121">
        <f t="shared" si="12"/>
        <v>14.7</v>
      </c>
      <c r="E57" s="121">
        <f t="shared" si="12"/>
        <v>9</v>
      </c>
      <c r="F57" s="121">
        <f t="shared" si="12"/>
        <v>11.2</v>
      </c>
      <c r="G57" s="121">
        <f t="shared" si="12"/>
        <v>8.6</v>
      </c>
      <c r="H57" s="124">
        <f t="shared" si="12"/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-2.05525</v>
      </c>
      <c r="Q57" s="97">
        <v>-3.8</v>
      </c>
      <c r="R57" s="98">
        <v>0</v>
      </c>
      <c r="S57" s="97">
        <v>0</v>
      </c>
      <c r="T57" s="97" t="e">
        <f>+T51</f>
        <v>#REF!</v>
      </c>
      <c r="U57" s="97" t="e">
        <f>+U51</f>
        <v>#REF!</v>
      </c>
      <c r="V57" s="97" t="e">
        <f>+V51</f>
        <v>#REF!</v>
      </c>
      <c r="W57" s="97" t="e">
        <f>+W51</f>
        <v>#REF!</v>
      </c>
    </row>
    <row r="58" spans="1:23" ht="15.75" customHeight="1">
      <c r="A58" s="50"/>
      <c r="B58" s="106" t="s">
        <v>129</v>
      </c>
      <c r="C58" s="96">
        <f aca="true" t="shared" si="13" ref="C58:H58">+C52</f>
        <v>0</v>
      </c>
      <c r="D58" s="96">
        <f t="shared" si="13"/>
        <v>0</v>
      </c>
      <c r="E58" s="96">
        <f t="shared" si="13"/>
        <v>0</v>
      </c>
      <c r="F58" s="96">
        <f t="shared" si="13"/>
        <v>0</v>
      </c>
      <c r="G58" s="96">
        <f t="shared" si="13"/>
        <v>0</v>
      </c>
      <c r="H58" s="107">
        <f t="shared" si="13"/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7">
        <v>0</v>
      </c>
      <c r="R58" s="98">
        <v>0</v>
      </c>
      <c r="S58" s="97">
        <v>0</v>
      </c>
      <c r="T58" s="97">
        <f>+S58</f>
        <v>0</v>
      </c>
      <c r="U58" s="97">
        <f>+T58</f>
        <v>0</v>
      </c>
      <c r="V58" s="97">
        <f>+U58</f>
        <v>0</v>
      </c>
      <c r="W58" s="97">
        <f>+V58</f>
        <v>0</v>
      </c>
    </row>
    <row r="59" spans="1:23" ht="15.75" customHeight="1">
      <c r="A59" s="50"/>
      <c r="B59" s="106" t="s">
        <v>133</v>
      </c>
      <c r="C59" s="121">
        <f aca="true" t="shared" si="14" ref="C59:H59">+C40</f>
        <v>4.9402349999999995</v>
      </c>
      <c r="D59" s="121">
        <f t="shared" si="14"/>
        <v>5.1</v>
      </c>
      <c r="E59" s="121">
        <f t="shared" si="14"/>
        <v>5.4</v>
      </c>
      <c r="F59" s="121">
        <f t="shared" si="14"/>
        <v>2</v>
      </c>
      <c r="G59" s="121">
        <f t="shared" si="14"/>
        <v>2.1</v>
      </c>
      <c r="H59" s="124">
        <f t="shared" si="14"/>
        <v>454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96">
        <v>25</v>
      </c>
      <c r="P59" s="96">
        <v>0</v>
      </c>
      <c r="Q59" s="97">
        <v>0</v>
      </c>
      <c r="R59" s="98">
        <v>0</v>
      </c>
      <c r="S59" s="97">
        <v>0</v>
      </c>
      <c r="T59" s="97" t="e">
        <f>+T40</f>
        <v>#REF!</v>
      </c>
      <c r="U59" s="97" t="e">
        <f>+U40</f>
        <v>#REF!</v>
      </c>
      <c r="V59" s="97" t="e">
        <f>+V40</f>
        <v>#REF!</v>
      </c>
      <c r="W59" s="97" t="e">
        <f>+W40</f>
        <v>#REF!</v>
      </c>
    </row>
    <row r="60" spans="1:23" ht="15.75" customHeight="1">
      <c r="A60" s="50"/>
      <c r="B60" s="106" t="s">
        <v>134</v>
      </c>
      <c r="C60" s="96">
        <v>0</v>
      </c>
      <c r="D60" s="96">
        <v>1</v>
      </c>
      <c r="E60" s="96">
        <v>2</v>
      </c>
      <c r="F60" s="96">
        <v>3</v>
      </c>
      <c r="G60" s="96">
        <v>4</v>
      </c>
      <c r="H60" s="107">
        <v>5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7">
        <v>0</v>
      </c>
      <c r="R60" s="98">
        <v>0</v>
      </c>
      <c r="S60" s="97">
        <v>0</v>
      </c>
      <c r="T60" s="97">
        <v>0</v>
      </c>
      <c r="U60" s="97">
        <v>0</v>
      </c>
      <c r="V60" s="97">
        <v>0</v>
      </c>
      <c r="W60" s="97">
        <v>0</v>
      </c>
    </row>
    <row r="61" spans="1:23" ht="15.75" customHeight="1">
      <c r="A61" s="50"/>
      <c r="B61" s="78" t="s">
        <v>135</v>
      </c>
      <c r="C61" s="125">
        <v>-3</v>
      </c>
      <c r="D61" s="112">
        <v>-0.6</v>
      </c>
      <c r="E61" s="112">
        <v>-1.9</v>
      </c>
      <c r="F61" s="112">
        <v>3.6</v>
      </c>
      <c r="G61" s="112">
        <v>-0.7</v>
      </c>
      <c r="H61" s="113">
        <v>-2.06</v>
      </c>
      <c r="I61" s="112">
        <v>-2.26171</v>
      </c>
      <c r="J61" s="112">
        <v>-4.8</v>
      </c>
      <c r="K61" s="112">
        <v>4.9698</v>
      </c>
      <c r="L61" s="112">
        <v>6.1401</v>
      </c>
      <c r="M61" s="80">
        <v>-7.8385</v>
      </c>
      <c r="N61" s="80">
        <v>-12.4562</v>
      </c>
      <c r="O61" s="80">
        <v>-8.9224</v>
      </c>
      <c r="P61" s="85">
        <v>-4.04193</v>
      </c>
      <c r="Q61" s="85">
        <v>6.7</v>
      </c>
      <c r="R61" s="86">
        <v>0</v>
      </c>
      <c r="S61" s="85">
        <v>0</v>
      </c>
      <c r="T61" s="85">
        <v>0</v>
      </c>
      <c r="U61" s="85">
        <v>0</v>
      </c>
      <c r="V61" s="85">
        <v>0</v>
      </c>
      <c r="W61" s="85">
        <v>0</v>
      </c>
    </row>
    <row r="62" spans="1:23" ht="15.75" customHeight="1">
      <c r="A62" s="50"/>
      <c r="B62" s="78" t="s">
        <v>136</v>
      </c>
      <c r="C62" s="79">
        <f aca="true" t="shared" si="15" ref="C62:K62">C43+C61-C44</f>
        <v>7.632795</v>
      </c>
      <c r="D62" s="80">
        <f t="shared" si="15"/>
        <v>1.7381440000000108</v>
      </c>
      <c r="E62" s="80">
        <f t="shared" si="15"/>
        <v>12.149972000000007</v>
      </c>
      <c r="F62" s="80">
        <f t="shared" si="15"/>
        <v>14.593355000000006</v>
      </c>
      <c r="G62" s="80">
        <f t="shared" si="15"/>
        <v>13.676490000000005</v>
      </c>
      <c r="H62" s="81">
        <f t="shared" si="15"/>
        <v>12.296652575745554</v>
      </c>
      <c r="I62" s="80">
        <f t="shared" si="15"/>
        <v>26.81139946953879</v>
      </c>
      <c r="J62" s="80">
        <f t="shared" si="15"/>
        <v>-33.194151997000006</v>
      </c>
      <c r="K62" s="126">
        <f t="shared" si="15"/>
        <v>10.734600000000015</v>
      </c>
      <c r="L62" s="126">
        <v>76.24110000000002</v>
      </c>
      <c r="M62" s="126">
        <v>35.8329</v>
      </c>
      <c r="N62" s="126">
        <v>33.825599999999994</v>
      </c>
      <c r="O62" s="126">
        <v>18.598900000000008</v>
      </c>
      <c r="P62" s="127">
        <v>8.880349999999979</v>
      </c>
      <c r="Q62" s="127">
        <v>-15.151502028142367</v>
      </c>
      <c r="R62" s="128">
        <v>-0.6446119999999809</v>
      </c>
      <c r="S62" s="127">
        <v>-9.257121226428445</v>
      </c>
      <c r="T62" s="127" t="e">
        <f>T43+T61-T44</f>
        <v>#REF!</v>
      </c>
      <c r="U62" s="127" t="e">
        <f>U43+U61-U44</f>
        <v>#REF!</v>
      </c>
      <c r="V62" s="127" t="e">
        <f>V43+V61-V44</f>
        <v>#REF!</v>
      </c>
      <c r="W62" s="85" t="e">
        <f>W43+W61-W44</f>
        <v>#REF!</v>
      </c>
    </row>
    <row r="63" spans="1:23" ht="15.75" customHeight="1">
      <c r="A63" s="50"/>
      <c r="B63" s="78" t="s">
        <v>137</v>
      </c>
      <c r="C63" s="112">
        <f aca="true" t="shared" si="16" ref="C63:K63">-C62-(C64)</f>
        <v>-5.4378057</v>
      </c>
      <c r="D63" s="112">
        <f t="shared" si="16"/>
        <v>1.5865283399999894</v>
      </c>
      <c r="E63" s="112">
        <f t="shared" si="16"/>
        <v>-8.167421560000006</v>
      </c>
      <c r="F63" s="112">
        <f t="shared" si="16"/>
        <v>-7.835036110000005</v>
      </c>
      <c r="G63" s="112">
        <f t="shared" si="16"/>
        <v>-7.004701950000005</v>
      </c>
      <c r="H63" s="113">
        <f t="shared" si="16"/>
        <v>-6.039182695745554</v>
      </c>
      <c r="I63" s="112">
        <f t="shared" si="16"/>
        <v>0</v>
      </c>
      <c r="J63" s="112">
        <f t="shared" si="16"/>
        <v>-0.005848002999996993</v>
      </c>
      <c r="K63" s="112">
        <f t="shared" si="16"/>
        <v>0</v>
      </c>
      <c r="L63" s="112">
        <v>-16.86701167230838</v>
      </c>
      <c r="M63" s="80">
        <v>-20.672898915620586</v>
      </c>
      <c r="N63" s="80">
        <v>-0.19678042294459885</v>
      </c>
      <c r="O63" s="80">
        <v>5.426262584452026</v>
      </c>
      <c r="P63" s="85">
        <v>-2.077635256805351</v>
      </c>
      <c r="Q63" s="85">
        <v>-0.04849797185763194</v>
      </c>
      <c r="R63" s="85">
        <v>0</v>
      </c>
      <c r="S63" s="85">
        <v>0</v>
      </c>
      <c r="T63" s="85" t="e">
        <f>-T62-(T64)</f>
        <v>#REF!</v>
      </c>
      <c r="U63" s="85" t="e">
        <f>-U62-(U64)</f>
        <v>#REF!</v>
      </c>
      <c r="V63" s="85" t="e">
        <f>-V62-(V64)</f>
        <v>#REF!</v>
      </c>
      <c r="W63" s="85" t="e">
        <f>-W62-(W64)</f>
        <v>#REF!</v>
      </c>
    </row>
    <row r="64" spans="1:26" ht="15.75" customHeight="1">
      <c r="A64" s="50"/>
      <c r="B64" s="129" t="s">
        <v>138</v>
      </c>
      <c r="C64" s="130">
        <f>(-4.1454*529.5)/1000</f>
        <v>-2.1949893</v>
      </c>
      <c r="D64" s="126">
        <f>(-6.4859*512.6)/1000</f>
        <v>-3.3246723400000002</v>
      </c>
      <c r="E64" s="126">
        <f>(-8.3039*479.6)/1000</f>
        <v>-3.9825504400000002</v>
      </c>
      <c r="F64" s="126">
        <f>(-15.1159*447.1)/1000</f>
        <v>-6.758318890000001</v>
      </c>
      <c r="G64" s="126">
        <f>(-14.0311*475.5)/1000</f>
        <v>-6.67178805</v>
      </c>
      <c r="H64" s="131">
        <f>(-12.6388*495.1)/1000</f>
        <v>-6.25746988</v>
      </c>
      <c r="I64" s="126">
        <f>-I62</f>
        <v>-26.81139946953879</v>
      </c>
      <c r="J64" s="126">
        <v>33.2</v>
      </c>
      <c r="K64" s="126">
        <f>-K62</f>
        <v>-10.734600000000015</v>
      </c>
      <c r="L64" s="126">
        <v>-59.37408832769164</v>
      </c>
      <c r="M64" s="126">
        <v>-15.160001084379417</v>
      </c>
      <c r="N64" s="126">
        <v>-33.628819577055395</v>
      </c>
      <c r="O64" s="126">
        <v>-24.025162584452033</v>
      </c>
      <c r="P64" s="127">
        <v>-6.8027147431946275</v>
      </c>
      <c r="Q64" s="127">
        <v>15.2</v>
      </c>
      <c r="R64" s="128">
        <v>0.6446119999999809</v>
      </c>
      <c r="S64" s="127">
        <v>9.257121226428445</v>
      </c>
      <c r="T64" s="127" t="e">
        <f>-T62</f>
        <v>#REF!</v>
      </c>
      <c r="U64" s="127" t="e">
        <f>-U62</f>
        <v>#REF!</v>
      </c>
      <c r="V64" s="127" t="e">
        <f>-V62</f>
        <v>#REF!</v>
      </c>
      <c r="W64" s="127" t="e">
        <f>-W62</f>
        <v>#REF!</v>
      </c>
      <c r="Y64" s="132"/>
      <c r="Z64" s="132"/>
    </row>
    <row r="65" spans="1:23" s="87" customFormat="1" ht="15" customHeight="1">
      <c r="A65" s="89"/>
      <c r="B65" s="78" t="s">
        <v>139</v>
      </c>
      <c r="C65" s="80">
        <f aca="true" t="shared" si="17" ref="C65:K65">100*(C11+C27)/(-C17-C29)</f>
        <v>64.21074016387892</v>
      </c>
      <c r="D65" s="80">
        <f t="shared" si="17"/>
        <v>46.55224149312849</v>
      </c>
      <c r="E65" s="80">
        <f t="shared" si="17"/>
        <v>59.47147757591157</v>
      </c>
      <c r="F65" s="80">
        <f t="shared" si="17"/>
        <v>60.5359532361434</v>
      </c>
      <c r="G65" s="80">
        <f t="shared" si="17"/>
        <v>53.51499014488745</v>
      </c>
      <c r="H65" s="80">
        <f t="shared" si="17"/>
        <v>57.03984674428742</v>
      </c>
      <c r="I65" s="80">
        <f t="shared" si="17"/>
        <v>83.16958902016786</v>
      </c>
      <c r="J65" s="80">
        <f t="shared" si="17"/>
        <v>60.23241343209138</v>
      </c>
      <c r="K65" s="80">
        <f t="shared" si="17"/>
        <v>70.70073385514925</v>
      </c>
      <c r="L65" s="80">
        <v>64.40533380894371</v>
      </c>
      <c r="M65" s="80">
        <v>85.43543543543544</v>
      </c>
      <c r="N65" s="80">
        <v>84.68221307727481</v>
      </c>
      <c r="O65" s="80">
        <v>83.97772369826718</v>
      </c>
      <c r="P65" s="85">
        <v>83.12109457063815</v>
      </c>
      <c r="Q65" s="85">
        <v>55.980314043658765</v>
      </c>
      <c r="R65" s="86">
        <v>37.3263212045509</v>
      </c>
      <c r="S65" s="85">
        <v>60.5126932228753</v>
      </c>
      <c r="T65" s="85" t="e">
        <f>100*(T11+T27)/(-T17-T29)</f>
        <v>#REF!</v>
      </c>
      <c r="U65" s="85" t="e">
        <f>100*(U11+U27)/(-U17-U29)</f>
        <v>#REF!</v>
      </c>
      <c r="V65" s="85">
        <f>100*(V11+V27)/(-V17-V29)</f>
        <v>55.29185300335158</v>
      </c>
      <c r="W65" s="85">
        <f>100*(W11+W27)/(-W17-W29)</f>
        <v>78.64603481624758</v>
      </c>
    </row>
    <row r="66" spans="1:23" s="87" customFormat="1" ht="31.5" customHeight="1">
      <c r="A66" s="89"/>
      <c r="B66" s="78" t="s">
        <v>140</v>
      </c>
      <c r="C66" s="80">
        <f aca="true" t="shared" si="18" ref="C66:K66">100*((C11+C27)+(-C17-C29))/(2*C72)</f>
        <v>19.031733754024632</v>
      </c>
      <c r="D66" s="80">
        <f t="shared" si="18"/>
        <v>18.87318769705521</v>
      </c>
      <c r="E66" s="80">
        <f t="shared" si="18"/>
        <v>25.04904071790759</v>
      </c>
      <c r="F66" s="80">
        <f t="shared" si="18"/>
        <v>23.98603548842523</v>
      </c>
      <c r="G66" s="80">
        <f t="shared" si="18"/>
        <v>25.212376501550686</v>
      </c>
      <c r="H66" s="80">
        <f t="shared" si="18"/>
        <v>24.995911047237286</v>
      </c>
      <c r="I66" s="80">
        <f t="shared" si="18"/>
        <v>26.93851622244692</v>
      </c>
      <c r="J66" s="80">
        <f t="shared" si="18"/>
        <v>19.404216735269042</v>
      </c>
      <c r="K66" s="80">
        <f t="shared" si="18"/>
        <v>20.77601715015508</v>
      </c>
      <c r="L66" s="80">
        <v>23.97648375512406</v>
      </c>
      <c r="M66" s="80">
        <v>27.190545175934936</v>
      </c>
      <c r="N66" s="80">
        <v>27.37050680501682</v>
      </c>
      <c r="O66" s="80">
        <v>27.944017536110824</v>
      </c>
      <c r="P66" s="80">
        <v>28.370366739201447</v>
      </c>
      <c r="Q66" s="85">
        <v>27.79718379481533</v>
      </c>
      <c r="R66" s="86">
        <v>21.143427892432772</v>
      </c>
      <c r="S66" s="85">
        <v>23.459833690567333</v>
      </c>
      <c r="T66" s="85" t="e">
        <f>100*((T11+T27)+(-T17-T29))/(2*T72)</f>
        <v>#REF!</v>
      </c>
      <c r="U66" s="85" t="e">
        <f>100*((U11+U27)+(-U17-U29))/(2*U72)</f>
        <v>#REF!</v>
      </c>
      <c r="V66" s="85" t="e">
        <f>100*((V11+V27)+(-V17-V29))/(2*V72)</f>
        <v>#REF!</v>
      </c>
      <c r="W66" s="85" t="e">
        <f>100*((W11+W27)+(-W17-W29))/(2*W72)</f>
        <v>#REF!</v>
      </c>
    </row>
    <row r="67" spans="1:23" s="87" customFormat="1" ht="15" customHeight="1">
      <c r="A67" s="89"/>
      <c r="B67" s="78" t="s">
        <v>141</v>
      </c>
      <c r="C67" s="80">
        <f aca="true" t="shared" si="19" ref="C67:K67">100*C8/C72</f>
        <v>-1.6418980994440813</v>
      </c>
      <c r="D67" s="80">
        <f t="shared" si="19"/>
        <v>-6.195228197362594</v>
      </c>
      <c r="E67" s="80">
        <f t="shared" si="19"/>
        <v>-4.075059046045832</v>
      </c>
      <c r="F67" s="80">
        <f t="shared" si="19"/>
        <v>-3.0273892430278955</v>
      </c>
      <c r="G67" s="80">
        <f t="shared" si="19"/>
        <v>-5.405369963774285</v>
      </c>
      <c r="H67" s="80">
        <f t="shared" si="19"/>
        <v>-7.528127103929507</v>
      </c>
      <c r="I67" s="80">
        <f t="shared" si="19"/>
        <v>-1.210029506548638</v>
      </c>
      <c r="J67" s="80">
        <f t="shared" si="19"/>
        <v>-7.933299420668617</v>
      </c>
      <c r="K67" s="80">
        <f t="shared" si="19"/>
        <v>-4.733096150337527</v>
      </c>
      <c r="L67" s="80">
        <v>0.5554624259465107</v>
      </c>
      <c r="M67" s="80">
        <v>1.8200418903189923</v>
      </c>
      <c r="N67" s="80">
        <v>1.3553110574407934</v>
      </c>
      <c r="O67" s="80">
        <v>-4.867184580219386</v>
      </c>
      <c r="P67" s="80">
        <v>-3.597528921086942</v>
      </c>
      <c r="Q67" s="85">
        <v>-8.570930341843034</v>
      </c>
      <c r="R67" s="86">
        <v>-12.732534333958723</v>
      </c>
      <c r="S67" s="85">
        <v>-3.7431568315636974</v>
      </c>
      <c r="T67" s="85" t="e">
        <f>100*T8/T72</f>
        <v>#REF!</v>
      </c>
      <c r="U67" s="85" t="e">
        <f>100*U8/U72</f>
        <v>#REF!</v>
      </c>
      <c r="V67" s="85" t="e">
        <f>100*V8/V72</f>
        <v>#REF!</v>
      </c>
      <c r="W67" s="85" t="e">
        <f>100*W8/W72</f>
        <v>#REF!</v>
      </c>
    </row>
    <row r="68" spans="1:23" s="87" customFormat="1" ht="15" customHeight="1">
      <c r="A68" s="89"/>
      <c r="B68" s="78" t="s">
        <v>142</v>
      </c>
      <c r="C68" s="80">
        <f aca="true" t="shared" si="20" ref="C68:K68">100*C69/C72</f>
        <v>0</v>
      </c>
      <c r="D68" s="80">
        <f t="shared" si="20"/>
        <v>0</v>
      </c>
      <c r="E68" s="80">
        <f t="shared" si="20"/>
        <v>0</v>
      </c>
      <c r="F68" s="80">
        <f t="shared" si="20"/>
        <v>0</v>
      </c>
      <c r="G68" s="80">
        <f t="shared" si="20"/>
        <v>0</v>
      </c>
      <c r="H68" s="80">
        <f t="shared" si="20"/>
        <v>0</v>
      </c>
      <c r="I68" s="80">
        <f t="shared" si="20"/>
        <v>0</v>
      </c>
      <c r="J68" s="80">
        <f t="shared" si="20"/>
        <v>0</v>
      </c>
      <c r="K68" s="80">
        <f t="shared" si="20"/>
        <v>0</v>
      </c>
      <c r="L68" s="80">
        <v>0</v>
      </c>
      <c r="M68" s="80">
        <v>0</v>
      </c>
      <c r="N68" s="80">
        <v>0</v>
      </c>
      <c r="O68" s="80">
        <v>0</v>
      </c>
      <c r="P68" s="80">
        <v>0</v>
      </c>
      <c r="Q68" s="85">
        <v>0</v>
      </c>
      <c r="R68" s="86">
        <v>0.12507817385866166</v>
      </c>
      <c r="S68" s="85">
        <v>0.22923985280946754</v>
      </c>
      <c r="T68" s="85" t="e">
        <f>100*T69/T72</f>
        <v>#REF!</v>
      </c>
      <c r="U68" s="85" t="e">
        <f>100*U69/U72</f>
        <v>#REF!</v>
      </c>
      <c r="V68" s="85" t="e">
        <f>100*V69/V72</f>
        <v>#REF!</v>
      </c>
      <c r="W68" s="85" t="e">
        <f>100*W69/W72</f>
        <v>#REF!</v>
      </c>
    </row>
    <row r="69" spans="1:23" s="87" customFormat="1" ht="26.25" customHeight="1">
      <c r="A69" s="89"/>
      <c r="B69" s="78" t="s">
        <v>143</v>
      </c>
      <c r="C69" s="80">
        <v>0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v>0</v>
      </c>
      <c r="P69" s="80">
        <v>0</v>
      </c>
      <c r="Q69" s="85">
        <v>0</v>
      </c>
      <c r="R69" s="86">
        <v>1</v>
      </c>
      <c r="S69" s="85">
        <v>2</v>
      </c>
      <c r="T69" s="85">
        <v>3</v>
      </c>
      <c r="U69" s="85">
        <v>4</v>
      </c>
      <c r="V69" s="85">
        <v>5</v>
      </c>
      <c r="W69" s="85">
        <v>6</v>
      </c>
    </row>
    <row r="70" spans="1:23" s="87" customFormat="1" ht="15" customHeight="1">
      <c r="A70" s="89"/>
      <c r="B70" s="78" t="s">
        <v>144</v>
      </c>
      <c r="C70" s="80">
        <f aca="true" t="shared" si="21" ref="C70:K70">-100*C45/C72</f>
        <v>1.25418411229046</v>
      </c>
      <c r="D70" s="80">
        <f t="shared" si="21"/>
        <v>2.749828084607799</v>
      </c>
      <c r="E70" s="80">
        <f t="shared" si="21"/>
        <v>2.494526840135794</v>
      </c>
      <c r="F70" s="80">
        <f t="shared" si="21"/>
        <v>0.6282069440693967</v>
      </c>
      <c r="G70" s="80">
        <f t="shared" si="21"/>
        <v>1.9922292322883166</v>
      </c>
      <c r="H70" s="80">
        <f t="shared" si="21"/>
        <v>2.949340756436745</v>
      </c>
      <c r="I70" s="80">
        <f t="shared" si="21"/>
        <v>2.091258757681211</v>
      </c>
      <c r="J70" s="80">
        <f t="shared" si="21"/>
        <v>0.6454466265446418</v>
      </c>
      <c r="K70" s="80">
        <f t="shared" si="21"/>
        <v>1.7700966976829047</v>
      </c>
      <c r="L70" s="80">
        <v>2.1330591916336203</v>
      </c>
      <c r="M70" s="80">
        <v>2.210062189657172</v>
      </c>
      <c r="N70" s="80">
        <v>1.5154817182091462</v>
      </c>
      <c r="O70" s="80">
        <v>0.973945847533779</v>
      </c>
      <c r="P70" s="80">
        <v>1.3931928535366453</v>
      </c>
      <c r="Q70" s="85">
        <v>4.381234726167091</v>
      </c>
      <c r="R70" s="86">
        <v>0.8755472170106317</v>
      </c>
      <c r="S70" s="85">
        <v>1.490059043261539</v>
      </c>
      <c r="T70" s="85" t="e">
        <f>-100*T45/T72</f>
        <v>#REF!</v>
      </c>
      <c r="U70" s="85" t="e">
        <f>-100*U45/U72</f>
        <v>#REF!</v>
      </c>
      <c r="V70" s="85" t="e">
        <f>-100*V45/V72</f>
        <v>#REF!</v>
      </c>
      <c r="W70" s="85" t="e">
        <f>-100*W45/W72</f>
        <v>#REF!</v>
      </c>
    </row>
    <row r="71" spans="1:23" s="87" customFormat="1" ht="15" customHeight="1">
      <c r="A71" s="89"/>
      <c r="B71" s="78" t="s">
        <v>145</v>
      </c>
      <c r="C71" s="79">
        <f>(-16*529.5)/1000</f>
        <v>-8.472</v>
      </c>
      <c r="D71" s="80">
        <f aca="true" t="shared" si="22" ref="D71:K71">100*(D45/C45-1)</f>
        <v>115.54691239403358</v>
      </c>
      <c r="E71" s="80">
        <f t="shared" si="22"/>
        <v>-1.3888788367868332</v>
      </c>
      <c r="F71" s="80">
        <f t="shared" si="22"/>
        <v>-70.31763135946622</v>
      </c>
      <c r="G71" s="80">
        <f t="shared" si="22"/>
        <v>212.46480669956807</v>
      </c>
      <c r="H71" s="80">
        <f t="shared" si="22"/>
        <v>64.4937274212945</v>
      </c>
      <c r="I71" s="80">
        <f t="shared" si="22"/>
        <v>-16.883035851671156</v>
      </c>
      <c r="J71" s="80">
        <f t="shared" si="22"/>
        <v>-69.67289309830747</v>
      </c>
      <c r="K71" s="80">
        <f t="shared" si="22"/>
        <v>180.5476837661211</v>
      </c>
      <c r="L71" s="80">
        <v>23.239933569713187</v>
      </c>
      <c r="M71" s="80">
        <v>25.932129245426474</v>
      </c>
      <c r="N71" s="80">
        <v>-25.7379516271928</v>
      </c>
      <c r="O71" s="80">
        <v>-25.654688869412833</v>
      </c>
      <c r="P71" s="80">
        <v>40.10583721393501</v>
      </c>
      <c r="Q71" s="85">
        <v>219.8193557249811</v>
      </c>
      <c r="R71" s="86">
        <v>-81.20805369127517</v>
      </c>
      <c r="S71" s="85">
        <v>85.71428571428572</v>
      </c>
      <c r="T71" s="85">
        <f>100*(T45/S45-1)</f>
        <v>19.999999999999996</v>
      </c>
      <c r="U71" s="85">
        <f>100*(U45/T45-1)</f>
        <v>0</v>
      </c>
      <c r="V71" s="85">
        <f>100*(V45/U45-1)</f>
        <v>0</v>
      </c>
      <c r="W71" s="85">
        <f>100*(W45/V45-1)</f>
        <v>-73.71794871794873</v>
      </c>
    </row>
    <row r="72" spans="1:23" s="87" customFormat="1" ht="15.75" customHeight="1">
      <c r="A72" s="89"/>
      <c r="B72" s="133" t="s">
        <v>146</v>
      </c>
      <c r="C72" s="80">
        <v>337.3272678660914</v>
      </c>
      <c r="D72" s="80">
        <v>331.6263315166716</v>
      </c>
      <c r="E72" s="80">
        <v>360.4892060215507</v>
      </c>
      <c r="F72" s="80">
        <v>424.88976366761403</v>
      </c>
      <c r="G72" s="80">
        <v>418.64007739813104</v>
      </c>
      <c r="H72" s="80">
        <v>465.16228991372697</v>
      </c>
      <c r="I72" s="80">
        <v>545.2696830612991</v>
      </c>
      <c r="J72" s="80">
        <v>535.7840381803926</v>
      </c>
      <c r="K72" s="80">
        <v>548.1</v>
      </c>
      <c r="L72" s="80">
        <v>560.5383648938</v>
      </c>
      <c r="M72" s="80">
        <v>681.303</v>
      </c>
      <c r="N72" s="80">
        <v>737.838</v>
      </c>
      <c r="O72" s="80">
        <v>853.553</v>
      </c>
      <c r="P72" s="80">
        <v>836.0077336338162</v>
      </c>
      <c r="Q72" s="85">
        <v>850.2169440391531</v>
      </c>
      <c r="R72" s="86">
        <v>799.5</v>
      </c>
      <c r="S72" s="85">
        <v>872.4486495209443</v>
      </c>
      <c r="T72" s="85" t="e">
        <f>#REF!/1000</f>
        <v>#REF!</v>
      </c>
      <c r="U72" s="85" t="e">
        <f>#REF!/1000</f>
        <v>#REF!</v>
      </c>
      <c r="V72" s="85" t="e">
        <f>#REF!/1000</f>
        <v>#REF!</v>
      </c>
      <c r="W72" s="85" t="e">
        <f>#REF!/1000</f>
        <v>#REF!</v>
      </c>
    </row>
    <row r="73" spans="1:23" s="87" customFormat="1" ht="15.75" customHeight="1">
      <c r="A73" s="89"/>
      <c r="B73" s="134" t="s">
        <v>147</v>
      </c>
      <c r="C73" s="135">
        <f aca="true" t="shared" si="23" ref="C73:K73">100*C62/C72</f>
        <v>2.2627269500875293</v>
      </c>
      <c r="D73" s="135">
        <f t="shared" si="23"/>
        <v>0.5241272585475109</v>
      </c>
      <c r="E73" s="135">
        <f t="shared" si="23"/>
        <v>3.3704121502250084</v>
      </c>
      <c r="F73" s="135">
        <f t="shared" si="23"/>
        <v>3.434621458994763</v>
      </c>
      <c r="G73" s="135">
        <f t="shared" si="23"/>
        <v>3.2668850256764888</v>
      </c>
      <c r="H73" s="136">
        <f t="shared" si="23"/>
        <v>2.6435187981438046</v>
      </c>
      <c r="I73" s="135">
        <f t="shared" si="23"/>
        <v>4.917089708529542</v>
      </c>
      <c r="J73" s="135">
        <f t="shared" si="23"/>
        <v>-6.195435031945446</v>
      </c>
      <c r="K73" s="135">
        <f t="shared" si="23"/>
        <v>1.9585112205801887</v>
      </c>
      <c r="L73" s="137">
        <v>13.601406214977757</v>
      </c>
      <c r="M73" s="135">
        <v>5.259466052549307</v>
      </c>
      <c r="N73" s="135">
        <v>4.584420970456929</v>
      </c>
      <c r="O73" s="135">
        <v>2.1789976720836326</v>
      </c>
      <c r="P73" s="135">
        <v>1.0622329965059514</v>
      </c>
      <c r="Q73" s="138">
        <v>-1.7820748144775425</v>
      </c>
      <c r="R73" s="139">
        <v>-0.08062689180737721</v>
      </c>
      <c r="S73" s="138">
        <v>-1.0610505536929271</v>
      </c>
      <c r="T73" s="138" t="e">
        <f>100*T62/T72</f>
        <v>#REF!</v>
      </c>
      <c r="U73" s="138" t="e">
        <f>100*U62/U72</f>
        <v>#REF!</v>
      </c>
      <c r="V73" s="138" t="e">
        <f>100*V62/V72</f>
        <v>#REF!</v>
      </c>
      <c r="W73" s="138" t="e">
        <f>100*W62/W72</f>
        <v>#REF!</v>
      </c>
    </row>
    <row r="74" spans="1:23" s="87" customFormat="1" ht="15" customHeight="1">
      <c r="A74" s="89"/>
      <c r="B74" s="78" t="s">
        <v>148</v>
      </c>
      <c r="C74" s="66"/>
      <c r="D74" s="66"/>
      <c r="E74" s="66"/>
      <c r="F74" s="66"/>
      <c r="G74" s="66"/>
      <c r="H74" s="66"/>
      <c r="I74" s="96">
        <v>471.9</v>
      </c>
      <c r="J74" s="96">
        <v>510.6</v>
      </c>
      <c r="K74" s="96">
        <v>494.1</v>
      </c>
      <c r="L74" s="140">
        <v>494.3</v>
      </c>
      <c r="M74" s="96">
        <v>597</v>
      </c>
      <c r="N74" s="96">
        <v>596.3245454545454</v>
      </c>
      <c r="O74" s="96">
        <v>580.4929203539823</v>
      </c>
      <c r="P74" s="96">
        <v>571</v>
      </c>
      <c r="Q74" s="97">
        <v>585.97</v>
      </c>
      <c r="R74" s="98">
        <v>590</v>
      </c>
      <c r="S74" s="97">
        <v>585.68</v>
      </c>
      <c r="T74" s="97">
        <v>585.68</v>
      </c>
      <c r="U74" s="97">
        <v>550.6</v>
      </c>
      <c r="V74" s="97">
        <v>551.6</v>
      </c>
      <c r="W74" s="97">
        <v>552.6</v>
      </c>
    </row>
    <row r="75" spans="1:23" s="87" customFormat="1" ht="15" customHeight="1">
      <c r="A75" s="89"/>
      <c r="B75" s="78" t="s">
        <v>149</v>
      </c>
      <c r="C75" s="66"/>
      <c r="D75" s="66"/>
      <c r="E75" s="66"/>
      <c r="F75" s="66"/>
      <c r="G75" s="66"/>
      <c r="H75" s="66"/>
      <c r="I75" s="96">
        <v>1301.8</v>
      </c>
      <c r="J75" s="96">
        <v>1017.5</v>
      </c>
      <c r="K75" s="140">
        <v>800</v>
      </c>
      <c r="L75" s="140">
        <v>1000</v>
      </c>
      <c r="M75" s="96">
        <v>1300</v>
      </c>
      <c r="N75" s="96">
        <v>1400</v>
      </c>
      <c r="O75" s="96">
        <v>1950</v>
      </c>
      <c r="P75" s="96">
        <v>1648</v>
      </c>
      <c r="Q75" s="97">
        <v>1098</v>
      </c>
      <c r="R75" s="98">
        <v>900</v>
      </c>
      <c r="S75" s="97">
        <v>1021</v>
      </c>
      <c r="T75" s="97">
        <v>1000</v>
      </c>
      <c r="U75" s="97">
        <v>1000</v>
      </c>
      <c r="V75" s="97">
        <v>1755</v>
      </c>
      <c r="W75" s="97">
        <v>1756</v>
      </c>
    </row>
    <row r="76" spans="1:23" s="87" customFormat="1" ht="15" customHeight="1">
      <c r="A76" s="89"/>
      <c r="B76" s="134" t="s">
        <v>150</v>
      </c>
      <c r="C76" s="141"/>
      <c r="D76" s="141"/>
      <c r="E76" s="141"/>
      <c r="F76" s="141"/>
      <c r="G76" s="141"/>
      <c r="H76" s="141"/>
      <c r="I76" s="142">
        <v>95.8</v>
      </c>
      <c r="J76" s="142">
        <v>94.6</v>
      </c>
      <c r="K76" s="142">
        <v>98</v>
      </c>
      <c r="L76" s="143">
        <v>92.4</v>
      </c>
      <c r="M76" s="142">
        <v>53.9</v>
      </c>
      <c r="N76" s="142">
        <v>44.2</v>
      </c>
      <c r="O76" s="142">
        <v>55</v>
      </c>
      <c r="P76" s="142">
        <v>67.6</v>
      </c>
      <c r="Q76" s="144">
        <v>65.4</v>
      </c>
      <c r="R76" s="145">
        <v>66.4</v>
      </c>
      <c r="S76" s="144">
        <v>67.4</v>
      </c>
      <c r="T76" s="144">
        <v>68.4</v>
      </c>
      <c r="U76" s="144">
        <v>69.4</v>
      </c>
      <c r="V76" s="144">
        <v>70.4</v>
      </c>
      <c r="W76" s="144">
        <v>71.4</v>
      </c>
    </row>
    <row r="77" spans="1:23" s="87" customFormat="1" ht="15" customHeight="1">
      <c r="A77" s="89"/>
      <c r="B77" s="146" t="s">
        <v>151</v>
      </c>
      <c r="C77" s="147"/>
      <c r="D77" s="147"/>
      <c r="E77" s="147"/>
      <c r="F77" s="147"/>
      <c r="G77" s="147"/>
      <c r="H77" s="147"/>
      <c r="I77" s="148"/>
      <c r="J77" s="148"/>
      <c r="K77" s="148"/>
      <c r="L77" s="148"/>
      <c r="M77" s="148"/>
      <c r="N77" s="148"/>
      <c r="O77" s="148"/>
      <c r="P77" s="148"/>
      <c r="Q77" s="149"/>
      <c r="R77" s="149"/>
      <c r="S77" s="149"/>
      <c r="T77" s="149"/>
      <c r="U77" s="149"/>
      <c r="V77" s="149"/>
      <c r="W77" s="149"/>
    </row>
    <row r="78" spans="1:23" s="87" customFormat="1" ht="15" customHeight="1">
      <c r="A78" s="89"/>
      <c r="B78" s="150"/>
      <c r="C78" s="151"/>
      <c r="D78" s="151"/>
      <c r="E78" s="151"/>
      <c r="F78" s="151"/>
      <c r="G78" s="151"/>
      <c r="H78" s="151"/>
      <c r="I78" s="152"/>
      <c r="J78" s="152"/>
      <c r="K78" s="152"/>
      <c r="L78" s="89"/>
      <c r="M78" s="89"/>
      <c r="N78" s="153"/>
      <c r="O78" s="148"/>
      <c r="P78" s="148"/>
      <c r="Q78" s="149"/>
      <c r="R78" s="149"/>
      <c r="S78" s="149"/>
      <c r="T78" s="149"/>
      <c r="U78" s="149"/>
      <c r="V78" s="149">
        <v>5</v>
      </c>
      <c r="W78" s="149">
        <v>6</v>
      </c>
    </row>
    <row r="79" spans="1:23" ht="15" customHeight="1">
      <c r="A79" s="50"/>
      <c r="B79" s="154" t="s">
        <v>152</v>
      </c>
      <c r="C79" s="151"/>
      <c r="D79" s="151"/>
      <c r="E79" s="151"/>
      <c r="F79" s="151"/>
      <c r="G79" s="151"/>
      <c r="H79" s="151"/>
      <c r="I79" s="151"/>
      <c r="J79" s="151"/>
      <c r="K79" s="155"/>
      <c r="L79" s="155"/>
      <c r="N79" s="52"/>
      <c r="O79" s="148"/>
      <c r="P79" s="148"/>
      <c r="Q79" s="149"/>
      <c r="R79" s="149"/>
      <c r="S79" s="149"/>
      <c r="T79" s="149"/>
      <c r="U79" s="149"/>
      <c r="V79" s="149"/>
      <c r="W79" s="149"/>
    </row>
    <row r="80" spans="1:23" ht="15" customHeight="1">
      <c r="A80" s="50"/>
      <c r="B80" s="154" t="s">
        <v>153</v>
      </c>
      <c r="C80" s="151"/>
      <c r="D80" s="151"/>
      <c r="E80" s="151"/>
      <c r="F80" s="151"/>
      <c r="G80" s="151"/>
      <c r="H80" s="151"/>
      <c r="I80" s="151"/>
      <c r="J80" s="151"/>
      <c r="K80" s="155"/>
      <c r="L80" s="155"/>
      <c r="M80" s="156"/>
      <c r="N80" s="157"/>
      <c r="O80" s="148"/>
      <c r="P80" s="148"/>
      <c r="Q80" s="149"/>
      <c r="R80" s="149"/>
      <c r="S80" s="149"/>
      <c r="T80" s="149"/>
      <c r="U80" s="149"/>
      <c r="V80" s="149"/>
      <c r="W80" s="149"/>
    </row>
    <row r="81" spans="1:23" ht="15" customHeight="1">
      <c r="A81" s="50"/>
      <c r="B81" s="154" t="s">
        <v>154</v>
      </c>
      <c r="C81" s="151"/>
      <c r="D81" s="151"/>
      <c r="E81" s="151"/>
      <c r="F81" s="151"/>
      <c r="G81" s="151"/>
      <c r="H81" s="151"/>
      <c r="I81" s="151"/>
      <c r="J81" s="151"/>
      <c r="K81" s="155"/>
      <c r="L81" s="155"/>
      <c r="M81" s="156"/>
      <c r="N81" s="157"/>
      <c r="O81" s="148"/>
      <c r="P81" s="148"/>
      <c r="Q81" s="149"/>
      <c r="R81" s="149"/>
      <c r="S81" s="149"/>
      <c r="T81" s="149"/>
      <c r="U81" s="149"/>
      <c r="V81" s="149">
        <v>2400</v>
      </c>
      <c r="W81" s="149">
        <f>U81-V81</f>
        <v>-2400</v>
      </c>
    </row>
    <row r="82" spans="14:23" ht="15" customHeight="1">
      <c r="N82" s="49"/>
      <c r="O82" s="49"/>
      <c r="P82" s="49"/>
      <c r="Q82" s="49"/>
      <c r="R82" s="49"/>
      <c r="S82" s="49"/>
      <c r="T82" s="49"/>
      <c r="U82" s="49"/>
      <c r="V82" s="49"/>
      <c r="W82" s="49"/>
    </row>
    <row r="83" spans="14:23" ht="15" customHeight="1">
      <c r="N83" s="49"/>
      <c r="O83" s="49"/>
      <c r="P83" s="49"/>
      <c r="Q83" s="49"/>
      <c r="R83" s="49"/>
      <c r="S83" s="49"/>
      <c r="T83" s="49"/>
      <c r="U83" s="49"/>
      <c r="V83" s="49"/>
      <c r="W83" s="49"/>
    </row>
    <row r="84" spans="14:23" ht="15" customHeight="1">
      <c r="N84" s="49"/>
      <c r="O84" s="49"/>
      <c r="P84" s="49"/>
      <c r="Q84" s="49"/>
      <c r="R84" s="49"/>
      <c r="S84" s="49"/>
      <c r="T84" s="49"/>
      <c r="U84" s="49"/>
      <c r="V84" s="49"/>
      <c r="W84" s="49"/>
    </row>
    <row r="85" spans="14:23" ht="15" customHeight="1"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4:23" ht="15" customHeight="1"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spans="14:23" ht="15" customHeight="1">
      <c r="N87" s="49"/>
      <c r="O87" s="49"/>
      <c r="P87" s="49"/>
      <c r="Q87" s="49"/>
      <c r="R87" s="49"/>
      <c r="S87" s="49"/>
      <c r="T87" s="49"/>
      <c r="U87" s="49"/>
      <c r="V87" s="49"/>
      <c r="W87" s="49"/>
    </row>
    <row r="88" spans="14:23" ht="15" customHeight="1">
      <c r="N88" s="49"/>
      <c r="O88" s="49"/>
      <c r="P88" s="49"/>
      <c r="Q88" s="49"/>
      <c r="R88" s="49"/>
      <c r="S88" s="49"/>
      <c r="T88" s="49"/>
      <c r="U88" s="49"/>
      <c r="V88" s="49"/>
      <c r="W88" s="49"/>
    </row>
    <row r="89" spans="14:23" ht="15" customHeight="1">
      <c r="N89" s="49"/>
      <c r="O89" s="49"/>
      <c r="P89" s="49"/>
      <c r="Q89" s="49"/>
      <c r="R89" s="49"/>
      <c r="S89" s="49"/>
      <c r="T89" s="49"/>
      <c r="U89" s="49"/>
      <c r="V89" s="49"/>
      <c r="W89" s="49"/>
    </row>
    <row r="90" spans="14:23" ht="15" customHeight="1">
      <c r="N90" s="49"/>
      <c r="O90" s="49"/>
      <c r="P90" s="49"/>
      <c r="Q90" s="49"/>
      <c r="R90" s="49"/>
      <c r="S90" s="49"/>
      <c r="T90" s="49"/>
      <c r="U90" s="49"/>
      <c r="V90" s="49"/>
      <c r="W90" s="49"/>
    </row>
    <row r="91" spans="14:23" ht="15" customHeight="1"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4:23" ht="15" customHeight="1">
      <c r="N92" s="49"/>
      <c r="O92" s="49"/>
      <c r="P92" s="49"/>
      <c r="Q92" s="49"/>
      <c r="R92" s="49"/>
      <c r="S92" s="49"/>
      <c r="T92" s="49"/>
      <c r="U92" s="49"/>
      <c r="V92" s="49"/>
      <c r="W92" s="49"/>
    </row>
    <row r="93" spans="14:23" ht="15" customHeight="1">
      <c r="N93" s="49"/>
      <c r="O93" s="49"/>
      <c r="P93" s="49"/>
      <c r="Q93" s="49"/>
      <c r="R93" s="49"/>
      <c r="S93" s="49"/>
      <c r="T93" s="49"/>
      <c r="U93" s="49"/>
      <c r="V93" s="49"/>
      <c r="W93" s="49"/>
    </row>
    <row r="94" spans="14:23" ht="15" customHeight="1">
      <c r="N94" s="49"/>
      <c r="O94" s="49"/>
      <c r="P94" s="49"/>
      <c r="Q94" s="49"/>
      <c r="R94" s="49"/>
      <c r="S94" s="49"/>
      <c r="T94" s="49"/>
      <c r="U94" s="49"/>
      <c r="V94" s="49"/>
      <c r="W94" s="49"/>
    </row>
    <row r="95" spans="14:23" ht="15" customHeight="1">
      <c r="N95" s="49"/>
      <c r="O95" s="49"/>
      <c r="P95" s="49"/>
      <c r="Q95" s="49"/>
      <c r="R95" s="49"/>
      <c r="S95" s="49"/>
      <c r="T95" s="49"/>
      <c r="U95" s="49"/>
      <c r="V95" s="49"/>
      <c r="W95" s="49"/>
    </row>
    <row r="96" spans="14:23" ht="15" customHeight="1">
      <c r="N96" s="49"/>
      <c r="O96" s="49"/>
      <c r="P96" s="49"/>
      <c r="Q96" s="49"/>
      <c r="R96" s="49"/>
      <c r="S96" s="49"/>
      <c r="T96" s="49"/>
      <c r="U96" s="49"/>
      <c r="V96" s="49"/>
      <c r="W96" s="49"/>
    </row>
    <row r="97" spans="1:13" s="49" customFormat="1" ht="15" customHeight="1">
      <c r="A97" s="48"/>
      <c r="M97" s="50"/>
    </row>
    <row r="98" spans="1:13" s="49" customFormat="1" ht="15" customHeight="1">
      <c r="A98" s="48"/>
      <c r="M98" s="50"/>
    </row>
    <row r="99" spans="1:13" s="49" customFormat="1" ht="15" customHeight="1">
      <c r="A99" s="48"/>
      <c r="M99" s="50"/>
    </row>
    <row r="100" spans="1:13" s="49" customFormat="1" ht="15" customHeight="1">
      <c r="A100" s="48"/>
      <c r="M100" s="50"/>
    </row>
    <row r="101" spans="1:13" s="49" customFormat="1" ht="15" customHeight="1">
      <c r="A101" s="48"/>
      <c r="M101" s="50"/>
    </row>
    <row r="102" spans="1:13" s="49" customFormat="1" ht="15" customHeight="1">
      <c r="A102" s="48"/>
      <c r="M102" s="50"/>
    </row>
    <row r="103" spans="1:13" s="49" customFormat="1" ht="15" customHeight="1">
      <c r="A103" s="48"/>
      <c r="M103" s="50"/>
    </row>
    <row r="104" spans="1:13" s="49" customFormat="1" ht="15" customHeight="1">
      <c r="A104" s="48"/>
      <c r="M104" s="50"/>
    </row>
    <row r="105" spans="1:13" s="49" customFormat="1" ht="15" customHeight="1">
      <c r="A105" s="48"/>
      <c r="M105" s="50"/>
    </row>
    <row r="106" spans="1:13" s="49" customFormat="1" ht="15" customHeight="1">
      <c r="A106" s="48"/>
      <c r="M106" s="50"/>
    </row>
    <row r="107" spans="1:13" s="49" customFormat="1" ht="15" customHeight="1">
      <c r="A107" s="48"/>
      <c r="M107" s="50"/>
    </row>
    <row r="108" spans="1:13" s="49" customFormat="1" ht="15" customHeight="1">
      <c r="A108" s="48"/>
      <c r="M108" s="50"/>
    </row>
    <row r="109" spans="1:13" s="49" customFormat="1" ht="15" customHeight="1">
      <c r="A109" s="48"/>
      <c r="M109" s="50"/>
    </row>
    <row r="110" spans="1:13" s="49" customFormat="1" ht="15" customHeight="1">
      <c r="A110" s="48"/>
      <c r="M110" s="50"/>
    </row>
    <row r="111" spans="1:13" s="49" customFormat="1" ht="15" customHeight="1">
      <c r="A111" s="48"/>
      <c r="M111" s="50"/>
    </row>
    <row r="112" spans="1:13" s="49" customFormat="1" ht="15" customHeight="1">
      <c r="A112" s="48"/>
      <c r="M112" s="50"/>
    </row>
    <row r="113" spans="1:13" s="49" customFormat="1" ht="15" customHeight="1">
      <c r="A113" s="48"/>
      <c r="M113" s="50"/>
    </row>
    <row r="114" spans="1:13" s="49" customFormat="1" ht="15" customHeight="1">
      <c r="A114" s="48"/>
      <c r="M114" s="50"/>
    </row>
    <row r="115" spans="1:13" s="49" customFormat="1" ht="15" customHeight="1">
      <c r="A115" s="48"/>
      <c r="M115" s="50"/>
    </row>
    <row r="116" spans="1:13" s="49" customFormat="1" ht="15" customHeight="1">
      <c r="A116" s="48"/>
      <c r="M116" s="50"/>
    </row>
    <row r="117" spans="1:13" s="49" customFormat="1" ht="15" customHeight="1">
      <c r="A117" s="48"/>
      <c r="M117" s="50"/>
    </row>
    <row r="118" spans="1:13" s="49" customFormat="1" ht="15" customHeight="1">
      <c r="A118" s="48"/>
      <c r="M118" s="50"/>
    </row>
    <row r="119" spans="1:13" s="49" customFormat="1" ht="15" customHeight="1">
      <c r="A119" s="48"/>
      <c r="M119" s="50"/>
    </row>
    <row r="120" spans="1:13" s="49" customFormat="1" ht="15" customHeight="1">
      <c r="A120" s="48"/>
      <c r="M120" s="50"/>
    </row>
    <row r="121" spans="1:13" s="49" customFormat="1" ht="15" customHeight="1">
      <c r="A121" s="48"/>
      <c r="M121" s="50"/>
    </row>
    <row r="122" spans="1:13" s="49" customFormat="1" ht="15" customHeight="1">
      <c r="A122" s="48"/>
      <c r="M122" s="50"/>
    </row>
    <row r="123" spans="1:13" s="49" customFormat="1" ht="15" customHeight="1">
      <c r="A123" s="48"/>
      <c r="M123" s="50"/>
    </row>
    <row r="124" spans="1:13" s="49" customFormat="1" ht="15" customHeight="1">
      <c r="A124" s="48"/>
      <c r="M124" s="50"/>
    </row>
    <row r="125" spans="1:13" s="49" customFormat="1" ht="15" customHeight="1">
      <c r="A125" s="48"/>
      <c r="M125" s="50"/>
    </row>
    <row r="126" spans="1:13" s="49" customFormat="1" ht="15" customHeight="1">
      <c r="A126" s="48"/>
      <c r="M126" s="50"/>
    </row>
    <row r="127" spans="1:13" s="49" customFormat="1" ht="15" customHeight="1">
      <c r="A127" s="48"/>
      <c r="M127" s="50"/>
    </row>
    <row r="128" spans="1:13" s="49" customFormat="1" ht="15" customHeight="1">
      <c r="A128" s="48"/>
      <c r="M128" s="50"/>
    </row>
    <row r="129" spans="1:13" s="49" customFormat="1" ht="15" customHeight="1">
      <c r="A129" s="48"/>
      <c r="M129" s="50"/>
    </row>
    <row r="130" spans="1:13" s="49" customFormat="1" ht="15" customHeight="1">
      <c r="A130" s="48"/>
      <c r="M130" s="50"/>
    </row>
    <row r="131" spans="1:13" s="49" customFormat="1" ht="15" customHeight="1">
      <c r="A131" s="48"/>
      <c r="M131" s="50"/>
    </row>
    <row r="132" spans="1:13" s="49" customFormat="1" ht="15" customHeight="1">
      <c r="A132" s="48"/>
      <c r="M132" s="50"/>
    </row>
    <row r="133" spans="1:13" s="49" customFormat="1" ht="15" customHeight="1">
      <c r="A133" s="48"/>
      <c r="M133" s="50"/>
    </row>
    <row r="134" spans="1:13" s="49" customFormat="1" ht="15" customHeight="1">
      <c r="A134" s="48"/>
      <c r="M134" s="50"/>
    </row>
    <row r="135" spans="1:13" s="49" customFormat="1" ht="15" customHeight="1">
      <c r="A135" s="48"/>
      <c r="M135" s="50"/>
    </row>
    <row r="136" spans="1:13" s="49" customFormat="1" ht="15" customHeight="1">
      <c r="A136" s="48"/>
      <c r="M136" s="50"/>
    </row>
    <row r="137" spans="1:13" s="49" customFormat="1" ht="15" customHeight="1">
      <c r="A137" s="48"/>
      <c r="M137" s="50"/>
    </row>
    <row r="138" spans="1:13" s="49" customFormat="1" ht="15" customHeight="1">
      <c r="A138" s="48"/>
      <c r="M138" s="50"/>
    </row>
    <row r="139" spans="1:13" s="49" customFormat="1" ht="15" customHeight="1">
      <c r="A139" s="48"/>
      <c r="M139" s="50"/>
    </row>
    <row r="140" spans="1:13" s="49" customFormat="1" ht="15" customHeight="1">
      <c r="A140" s="48"/>
      <c r="M140" s="50"/>
    </row>
    <row r="141" spans="1:13" s="49" customFormat="1" ht="15" customHeight="1">
      <c r="A141" s="48"/>
      <c r="M141" s="50"/>
    </row>
    <row r="142" spans="1:13" s="49" customFormat="1" ht="15" customHeight="1">
      <c r="A142" s="48"/>
      <c r="M142" s="50"/>
    </row>
    <row r="143" spans="1:13" s="49" customFormat="1" ht="15" customHeight="1">
      <c r="A143" s="48"/>
      <c r="M143" s="50"/>
    </row>
    <row r="144" spans="1:13" s="49" customFormat="1" ht="15" customHeight="1">
      <c r="A144" s="48"/>
      <c r="M144" s="50"/>
    </row>
    <row r="145" spans="1:13" s="49" customFormat="1" ht="15" customHeight="1">
      <c r="A145" s="48"/>
      <c r="M145" s="50"/>
    </row>
    <row r="146" spans="1:13" s="49" customFormat="1" ht="15" customHeight="1">
      <c r="A146" s="48"/>
      <c r="M146" s="50"/>
    </row>
    <row r="147" spans="1:13" s="49" customFormat="1" ht="15" customHeight="1">
      <c r="A147" s="48"/>
      <c r="M147" s="50"/>
    </row>
    <row r="148" spans="1:13" s="49" customFormat="1" ht="15" customHeight="1">
      <c r="A148" s="48"/>
      <c r="M148" s="50"/>
    </row>
    <row r="149" spans="1:13" s="49" customFormat="1" ht="15" customHeight="1">
      <c r="A149" s="48"/>
      <c r="M149" s="50"/>
    </row>
    <row r="150" spans="1:13" s="49" customFormat="1" ht="15" customHeight="1">
      <c r="A150" s="48"/>
      <c r="M150" s="50"/>
    </row>
    <row r="151" spans="1:13" s="49" customFormat="1" ht="15" customHeight="1">
      <c r="A151" s="48"/>
      <c r="M151" s="50"/>
    </row>
    <row r="152" spans="1:13" s="49" customFormat="1" ht="15" customHeight="1">
      <c r="A152" s="48"/>
      <c r="M152" s="50"/>
    </row>
    <row r="153" spans="1:13" s="49" customFormat="1" ht="15" customHeight="1">
      <c r="A153" s="48"/>
      <c r="M153" s="50"/>
    </row>
    <row r="154" spans="1:13" s="49" customFormat="1" ht="15" customHeight="1">
      <c r="A154" s="48"/>
      <c r="M154" s="50"/>
    </row>
    <row r="155" spans="1:13" s="49" customFormat="1" ht="15" customHeight="1">
      <c r="A155" s="48"/>
      <c r="M155" s="50"/>
    </row>
    <row r="156" spans="1:13" s="49" customFormat="1" ht="15" customHeight="1">
      <c r="A156" s="48"/>
      <c r="M156" s="50"/>
    </row>
    <row r="157" spans="1:13" s="49" customFormat="1" ht="15" customHeight="1">
      <c r="A157" s="48"/>
      <c r="M157" s="50"/>
    </row>
    <row r="158" spans="1:13" s="49" customFormat="1" ht="15" customHeight="1">
      <c r="A158" s="48"/>
      <c r="M158" s="50"/>
    </row>
    <row r="159" spans="1:13" s="49" customFormat="1" ht="15" customHeight="1">
      <c r="A159" s="48"/>
      <c r="M159" s="50"/>
    </row>
    <row r="160" spans="1:13" s="49" customFormat="1" ht="15" customHeight="1">
      <c r="A160" s="48"/>
      <c r="M160" s="50"/>
    </row>
    <row r="161" spans="1:13" s="49" customFormat="1" ht="15" customHeight="1">
      <c r="A161" s="48"/>
      <c r="M161" s="50"/>
    </row>
    <row r="162" spans="1:13" s="49" customFormat="1" ht="15" customHeight="1">
      <c r="A162" s="48"/>
      <c r="M162" s="50"/>
    </row>
    <row r="163" spans="1:13" s="49" customFormat="1" ht="15" customHeight="1">
      <c r="A163" s="48"/>
      <c r="M163" s="50"/>
    </row>
    <row r="164" spans="1:13" s="49" customFormat="1" ht="15" customHeight="1">
      <c r="A164" s="48"/>
      <c r="M164" s="50"/>
    </row>
    <row r="165" spans="1:13" s="49" customFormat="1" ht="15" customHeight="1">
      <c r="A165" s="48"/>
      <c r="M165" s="50"/>
    </row>
    <row r="166" spans="1:13" s="49" customFormat="1" ht="15" customHeight="1">
      <c r="A166" s="48"/>
      <c r="M166" s="50"/>
    </row>
    <row r="167" spans="1:13" s="49" customFormat="1" ht="15" customHeight="1">
      <c r="A167" s="48"/>
      <c r="M167" s="50"/>
    </row>
    <row r="168" spans="1:13" s="49" customFormat="1" ht="15" customHeight="1">
      <c r="A168" s="48"/>
      <c r="M168" s="50"/>
    </row>
    <row r="169" spans="1:13" s="49" customFormat="1" ht="15" customHeight="1">
      <c r="A169" s="48"/>
      <c r="M169" s="50"/>
    </row>
    <row r="170" spans="1:13" s="49" customFormat="1" ht="15" customHeight="1">
      <c r="A170" s="48"/>
      <c r="M170" s="50"/>
    </row>
    <row r="171" spans="1:13" s="49" customFormat="1" ht="15" customHeight="1">
      <c r="A171" s="48"/>
      <c r="M171" s="50"/>
    </row>
    <row r="172" spans="1:13" s="49" customFormat="1" ht="15" customHeight="1">
      <c r="A172" s="48"/>
      <c r="M172" s="50"/>
    </row>
    <row r="173" spans="1:13" s="49" customFormat="1" ht="15" customHeight="1">
      <c r="A173" s="48"/>
      <c r="M173" s="50"/>
    </row>
    <row r="174" spans="1:13" s="49" customFormat="1" ht="15" customHeight="1">
      <c r="A174" s="48"/>
      <c r="M174" s="50"/>
    </row>
    <row r="175" spans="1:13" s="49" customFormat="1" ht="15" customHeight="1">
      <c r="A175" s="48"/>
      <c r="M175" s="50"/>
    </row>
    <row r="176" spans="1:13" s="49" customFormat="1" ht="15" customHeight="1">
      <c r="A176" s="48"/>
      <c r="M176" s="50"/>
    </row>
    <row r="177" spans="1:13" s="49" customFormat="1" ht="15" customHeight="1">
      <c r="A177" s="48"/>
      <c r="M177" s="50"/>
    </row>
    <row r="178" spans="1:13" s="49" customFormat="1" ht="15" customHeight="1">
      <c r="A178" s="48"/>
      <c r="M178" s="50"/>
    </row>
    <row r="179" spans="1:13" s="49" customFormat="1" ht="15" customHeight="1">
      <c r="A179" s="48"/>
      <c r="M179" s="50"/>
    </row>
    <row r="180" spans="1:13" s="49" customFormat="1" ht="15" customHeight="1">
      <c r="A180" s="48"/>
      <c r="M180" s="50"/>
    </row>
    <row r="181" spans="1:13" s="49" customFormat="1" ht="15" customHeight="1">
      <c r="A181" s="48"/>
      <c r="M181" s="50"/>
    </row>
    <row r="182" spans="1:13" s="49" customFormat="1" ht="15" customHeight="1">
      <c r="A182" s="48"/>
      <c r="M182" s="50"/>
    </row>
    <row r="183" spans="1:13" s="49" customFormat="1" ht="15" customHeight="1">
      <c r="A183" s="48"/>
      <c r="M183" s="50"/>
    </row>
    <row r="184" spans="1:13" s="49" customFormat="1" ht="15" customHeight="1">
      <c r="A184" s="48"/>
      <c r="M184" s="50"/>
    </row>
    <row r="185" spans="1:13" s="49" customFormat="1" ht="15" customHeight="1">
      <c r="A185" s="48"/>
      <c r="M185" s="50"/>
    </row>
    <row r="186" spans="1:13" s="49" customFormat="1" ht="15" customHeight="1">
      <c r="A186" s="48"/>
      <c r="M186" s="50"/>
    </row>
    <row r="187" spans="1:13" s="49" customFormat="1" ht="15" customHeight="1">
      <c r="A187" s="48"/>
      <c r="M187" s="50"/>
    </row>
    <row r="188" spans="1:13" s="49" customFormat="1" ht="15" customHeight="1">
      <c r="A188" s="48"/>
      <c r="M188" s="50"/>
    </row>
    <row r="189" spans="1:13" s="49" customFormat="1" ht="15" customHeight="1">
      <c r="A189" s="48"/>
      <c r="M189" s="50"/>
    </row>
  </sheetData>
  <sheetProtection selectLockedCells="1" selectUnlockedCells="1"/>
  <mergeCells count="8">
    <mergeCell ref="AE35:AF35"/>
    <mergeCell ref="AG35:AH35"/>
    <mergeCell ref="B5:P5"/>
    <mergeCell ref="Z8:AA8"/>
    <mergeCell ref="AB8:AC8"/>
    <mergeCell ref="Y35:Z35"/>
    <mergeCell ref="AA35:AB35"/>
    <mergeCell ref="AC35:AD3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9" sqref="A9:A10"/>
    </sheetView>
  </sheetViews>
  <sheetFormatPr defaultColWidth="11.57421875" defaultRowHeight="12.75"/>
  <cols>
    <col min="1" max="1" width="6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modified xsi:type="dcterms:W3CDTF">2020-08-20T16:08:20Z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